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19"/>
  <fileSharing readOnlyRecommended="1"/>
  <workbookPr filterPrivacy="1"/>
  <xr:revisionPtr revIDLastSave="0" documentId="8_{9FC66DCC-4FF8-412D-BCEC-DD7E039DC0EA}" xr6:coauthVersionLast="47" xr6:coauthVersionMax="47" xr10:uidLastSave="{00000000-0000-0000-0000-000000000000}"/>
  <bookViews>
    <workbookView xWindow="5670" yWindow="-16320" windowWidth="29040" windowHeight="15720" tabRatio="935" xr2:uid="{00000000-000D-0000-FFFF-FFFF00000000}"/>
  </bookViews>
  <sheets>
    <sheet name="Cover" sheetId="98" r:id="rId1"/>
    <sheet name="Change Log" sheetId="110" r:id="rId2"/>
    <sheet name="Conceptual model" sheetId="97" r:id="rId3"/>
    <sheet name="Inputs &gt;&gt;" sheetId="20" r:id="rId4"/>
    <sheet name="F_Inputs" sheetId="103" r:id="rId5"/>
    <sheet name="F_Inputs adjusted" sheetId="99" r:id="rId6"/>
    <sheet name="Consolidated Input" sheetId="64" r:id="rId7"/>
    <sheet name="F_Input Override" sheetId="65" r:id="rId8"/>
    <sheet name="Final Input" sheetId="66" r:id="rId9"/>
    <sheet name="PR24_NETTOTEX_WASTE" sheetId="85" r:id="rId10"/>
    <sheet name="Company level efficiencies" sheetId="87" r:id="rId11"/>
    <sheet name="Data_final_model_format" sheetId="73" r:id="rId12"/>
    <sheet name="Post Adj &amp; FS Allowances" sheetId="96" r:id="rId13"/>
    <sheet name="Analysis &gt;&gt;" sheetId="32" r:id="rId14"/>
    <sheet name="QueryResponse_SchemeBreakdown" sheetId="78" r:id="rId15"/>
    <sheet name="Materiality &amp; shallow dive" sheetId="41" r:id="rId16"/>
    <sheet name="Modelled costs_FD" sheetId="106" r:id="rId17"/>
    <sheet name="Deep dive ANH_NEW" sheetId="107" r:id="rId18"/>
    <sheet name="Deep dive_WSH" sheetId="90" r:id="rId19"/>
    <sheet name="Deep dive_NES" sheetId="88" r:id="rId20"/>
    <sheet name="Deep dive_SRN" sheetId="89" r:id="rId21"/>
    <sheet name="Deep dive TMS_NEW" sheetId="109" r:id="rId22"/>
    <sheet name="Deep dive_NWT" sheetId="92" r:id="rId23"/>
    <sheet name="Deep dive_WSX" sheetId="94" r:id="rId24"/>
    <sheet name="Deep dive_YKY" sheetId="91" r:id="rId25"/>
    <sheet name="Outputs &gt;&gt;" sheetId="45" r:id="rId26"/>
    <sheet name="Allowance" sheetId="38" r:id="rId27"/>
    <sheet name="Outputs to aggregator" sheetId="82" r:id="rId28"/>
    <sheet name="F_Outputs" sheetId="86" r:id="rId29"/>
    <sheet name="PCD" sheetId="43" r:id="rId30"/>
    <sheet name="DROPDOWN LISTS" sheetId="58" r:id="rId31"/>
  </sheets>
  <definedNames>
    <definedName name="____net1" localSheetId="0" hidden="1">{"NET",#N/A,FALSE,"401C11"}</definedName>
    <definedName name="____net1" hidden="1">{"NET",#N/A,FALSE,"401C11"}</definedName>
    <definedName name="__123Graph_A" hidden="1">#REF!</definedName>
    <definedName name="__123Graph_AHSIZE" hidden="1">#REF!</definedName>
    <definedName name="__123Graph_B" hidden="1">#REF!</definedName>
    <definedName name="__123Graph_BHSIZE" hidden="1">#REF!</definedName>
    <definedName name="__123Graph_C" hidden="1">#REF!</definedName>
    <definedName name="__123Graph_CHSIZE" hidden="1">#REF!</definedName>
    <definedName name="__123Graph_X" hidden="1">#REF!</definedName>
    <definedName name="__123Graph_XHSIZE" hidden="1">#REF!</definedName>
    <definedName name="__net1" localSheetId="0" hidden="1">{"NET",#N/A,FALSE,"401C11"}</definedName>
    <definedName name="__net1" hidden="1">{"NET",#N/A,FALSE,"401C11"}</definedName>
    <definedName name="_1_0__123Grap" hidden="1">#REF!</definedName>
    <definedName name="_1_123Grap" hidden="1">#REF!</definedName>
    <definedName name="_123Graph_F" hidden="1">#REF!</definedName>
    <definedName name="_2_0__123Grap" hidden="1">#REF!</definedName>
    <definedName name="_2_123Grap" hidden="1">#REF!</definedName>
    <definedName name="_3_0_S" hidden="1">#REF!</definedName>
    <definedName name="_3_123Grap" hidden="1">#REF!</definedName>
    <definedName name="_34_123Grap" hidden="1">#REF!</definedName>
    <definedName name="_42S" hidden="1">#REF!</definedName>
    <definedName name="_4S" hidden="1">#REF!</definedName>
    <definedName name="_5_0__123Grap" hidden="1">#REF!</definedName>
    <definedName name="_6_0_S" hidden="1">#REF!</definedName>
    <definedName name="_6_123Grap" hidden="1">#REF!</definedName>
    <definedName name="_8_123Grap"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hidden="1">#REF!</definedName>
    <definedName name="_Fill" hidden="1">#REF!</definedName>
    <definedName name="_xlnm._FilterDatabase" localSheetId="7" hidden="1">'F_Input Override'!$A$4:$K$160</definedName>
    <definedName name="_xlnm._FilterDatabase" localSheetId="8" hidden="1">'Final Input'!$A$4:$K$162</definedName>
    <definedName name="_xlnm._FilterDatabase" localSheetId="12" hidden="1">'Post Adj &amp; FS Allowances'!$A$4:$M$735</definedName>
    <definedName name="_xlnm._FilterDatabase" localSheetId="14" hidden="1">QueryResponse_SchemeBreakdown!$B$3:$I$3</definedName>
    <definedName name="_Key1" hidden="1">#REF!</definedName>
    <definedName name="_Key2" hidden="1">#REF!</definedName>
    <definedName name="_net1" localSheetId="0" hidden="1">{"NET",#N/A,FALSE,"401C11"}</definedName>
    <definedName name="_net1" hidden="1">{"NET",#N/A,FALSE,"401C11"}</definedName>
    <definedName name="_Order1">255</definedName>
    <definedName name="_Order2">255</definedName>
    <definedName name="_Sort" localSheetId="2" hidden="1">#REF!</definedName>
    <definedName name="_Sort" localSheetId="0" hidden="1">#REF!</definedName>
    <definedName name="_Sort" hidden="1">#REF!</definedName>
    <definedName name="aa" localSheetId="0" hidden="1">{"CHARGE",#N/A,FALSE,"401C11"}</definedName>
    <definedName name="aa" hidden="1">{"CHARGE",#N/A,FALSE,"401C11"}</definedName>
    <definedName name="aaaa" localSheetId="0" hidden="1">{"CHARGE",#N/A,FALSE,"401C11"}</definedName>
    <definedName name="aaaa" hidden="1">{"CHARGE",#N/A,FALSE,"401C11"}</definedName>
    <definedName name="AccessDatabase" hidden="1">"C:\Budgets\2003\NM and VS BP forecast 2003 NM37 VS197 311002 v1.mdb"</definedName>
    <definedName name="adbr" localSheetId="0" hidden="1">{"CHARGE",#N/A,FALSE,"401C11"}</definedName>
    <definedName name="adbr" hidden="1">{"CHARGE",#N/A,FALSE,"401C11"}</definedName>
    <definedName name="b" localSheetId="0" hidden="1">{"CHARGE",#N/A,FALSE,"401C11"}</definedName>
    <definedName name="b" hidden="1">{"CHARGE",#N/A,FALSE,"401C11"}</definedName>
    <definedName name="BMGHIndex" hidden="1">"O"</definedName>
    <definedName name="change1" localSheetId="0" hidden="1">{"CHARGE",#N/A,FALSE,"401C11"}</definedName>
    <definedName name="change1" hidden="1">{"CHARGE",#N/A,FALSE,"401C11"}</definedName>
    <definedName name="charge" localSheetId="0" hidden="1">{"CHARGE",#N/A,FALSE,"401C11"}</definedName>
    <definedName name="charge" hidden="1">{"CHARGE",#N/A,FALSE,"401C11"}</definedName>
    <definedName name="CIQWBGuid" hidden="1">"0f0259b9-6046-41aa-ac9c-7befc2576c88"</definedName>
    <definedName name="da" hidden="1">#REF!</definedName>
    <definedName name="dog" localSheetId="0" hidden="1">{"NET",#N/A,FALSE,"401C11"}</definedName>
    <definedName name="dog" hidden="1">{"NET",#N/A,FALSE,"401C11"}</definedName>
    <definedName name="EV__LASTREFTIME__" hidden="1">40339.4799074074</definedName>
    <definedName name="Expired" hidden="1">FALSE</definedName>
    <definedName name="F">{"bal",#N/A,FALSE,"working papers";"income",#N/A,FALSE,"working papers"}</definedName>
    <definedName name="fdraf">{"bal",#N/A,FALSE,"working papers";"income",#N/A,FALSE,"working papers"}</definedName>
    <definedName name="Fdraft">{"bal",#N/A,FALSE,"working papers";"income",#N/A,FALSE,"working papers"}</definedName>
    <definedName name="Foutput" hidden="1">#REF!</definedName>
    <definedName name="fsdfffd" hidden="1">#REF!</definedName>
    <definedName name="fsdfsd" hidden="1">#REF!</definedName>
    <definedName name="fsfds" hidden="1">#REF!</definedName>
    <definedName name="fsfsd" hidden="1">#REF!</definedName>
    <definedName name="gfff" localSheetId="0" hidden="1">{"CHARGE",#N/A,FALSE,"401C11"}</definedName>
    <definedName name="gfff" hidden="1">{"CHARGE",#N/A,FALSE,"401C11"}</definedName>
    <definedName name="gross" localSheetId="0" hidden="1">{"GROSS",#N/A,FALSE,"401C11"}</definedName>
    <definedName name="gross" hidden="1">{"GROSS",#N/A,FALSE,"401C11"}</definedName>
    <definedName name="gross1" localSheetId="0" hidden="1">{"GROSS",#N/A,FALSE,"401C11"}</definedName>
    <definedName name="gross1" hidden="1">{"GROSS",#N/A,FALSE,"401C11"}</definedName>
    <definedName name="hasdfjklhklj" localSheetId="0" hidden="1">{"NET",#N/A,FALSE,"401C11"}</definedName>
    <definedName name="hasdfjklhklj" hidden="1">{"NET",#N/A,FALSE,"401C11"}</definedName>
    <definedName name="help" localSheetId="0" hidden="1">{"CHARGE",#N/A,FALSE,"401C11"}</definedName>
    <definedName name="help" hidden="1">{"CHARGE",#N/A,FALSE,"401C11"}</definedName>
    <definedName name="hghghhj" localSheetId="0" hidden="1">{"CHARGE",#N/A,FALSE,"401C11"}</definedName>
    <definedName name="hghghhj" hidden="1">{"CHARGE",#N/A,FALSE,"401C11"}</definedName>
    <definedName name="HTML_CodePage" hidden="1">1252</definedName>
    <definedName name="HTML_Control" localSheetId="0"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JFELL" hidden="1">#REF!</definedName>
    <definedName name="new" localSheetId="2" hidden="1">{"bal",#N/A,FALSE,"working papers";"income",#N/A,FALSE,"working papers"}</definedName>
    <definedName name="new" localSheetId="0" hidden="1">{"bal",#N/A,FALSE,"working papers";"income",#N/A,FALSE,"working papers"}</definedName>
    <definedName name="new" hidden="1">{"bal",#N/A,FALSE,"working papers";"income",#N/A,FALSE,"working papers"}</definedName>
    <definedName name="OISIII" hidden="1">#REF!</definedName>
    <definedName name="qfx" localSheetId="0" hidden="1">{"NET",#N/A,FALSE,"401C11"}</definedName>
    <definedName name="qfx" hidden="1">{"NET",#N/A,FALSE,"401C11"}</definedName>
    <definedName name="qwefqefa" hidden="1">#REF!</definedName>
    <definedName name="real" hidden="1">#REF!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ytry" localSheetId="0" hidden="1">{"NET",#N/A,FALSE,"401C11"}</definedName>
    <definedName name="rytry" hidden="1">{"NET",#N/A,FALSE,"401C11"}</definedName>
    <definedName name="SAPBEXrevision">1</definedName>
    <definedName name="SAPBEXsysID">"BWB"</definedName>
    <definedName name="SAPBEXwbID">"49ZLUKBQR0WG29D9LLI3IBIIT"</definedName>
    <definedName name="sort" hidden="1">#REF!</definedName>
    <definedName name="Table3.4" localSheetId="0" hidden="1">{"CHARGE",#N/A,FALSE,"401C11"}</definedName>
    <definedName name="Table3.4" hidden="1">{"CHARGE",#N/A,FALSE,"401C11"}</definedName>
    <definedName name="Test23" localSheetId="0" hidden="1">{"NET",#N/A,FALSE,"401C11"}</definedName>
    <definedName name="Test23" hidden="1">{"NET",#N/A,FALSE,"401C11"}</definedName>
    <definedName name="trdhtr" hidden="1">#REF!</definedName>
    <definedName name="wert" localSheetId="0" hidden="1">{"GROSS",#N/A,FALSE,"401C11"}</definedName>
    <definedName name="wert" hidden="1">{"GROSS",#N/A,FALSE,"401C11"}</definedName>
    <definedName name="wombat" hidden="1">#REF!</definedName>
    <definedName name="wotsthis" localSheetId="0"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CHARGE." localSheetId="0" hidden="1">{"CHARGE",#N/A,FALSE,"401C11"}</definedName>
    <definedName name="wrn.CHARGE." hidden="1">{"CHARGE",#N/A,FALSE,"401C11"}</definedName>
    <definedName name="wrn.GROSS." localSheetId="0" hidden="1">{"GROSS",#N/A,FALSE,"401C11"}</definedName>
    <definedName name="wrn.GROSS." hidden="1">{"GROSS",#N/A,FALSE,"401C11"}</definedName>
    <definedName name="wrn.NET." localSheetId="0" hidden="1">{"NET",#N/A,FALSE,"401C11"}</definedName>
    <definedName name="wrn.NET." hidden="1">{"NET",#N/A,FALSE,"401C11"}</definedName>
    <definedName name="wrn.papersdraft">{"bal",#N/A,FALSE,"working papers";"income",#N/A,FALSE,"working papers"}</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0"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{"bal",#N/A,FALSE,"working papers";"income",#N/A,FALSE,"working papers"}</definedName>
    <definedName name="zzz" localSheetId="0" hidden="1">{"NET",#N/A,FALSE,"401C11"}</definedName>
    <definedName name="zzz" hidden="1">{"NET",#N/A,FALSE,"401C11"}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8" l="1"/>
  <c r="A1" i="86"/>
  <c r="A1" i="96"/>
  <c r="A1" i="87"/>
  <c r="A1" i="85"/>
  <c r="A1" i="103"/>
  <c r="A1" i="99"/>
  <c r="E2" i="99" l="1"/>
  <c r="H12" i="41"/>
  <c r="B10" i="109"/>
  <c r="A1" i="109"/>
  <c r="B10" i="88"/>
  <c r="O13" i="106" a="1"/>
  <c r="O13" i="106" s="1"/>
  <c r="X16" i="43" s="1"/>
  <c r="H15" i="106" a="1"/>
  <c r="H15" i="106" s="1"/>
  <c r="P18" i="43" s="1"/>
  <c r="U8" i="106" l="1"/>
  <c r="U9" i="106"/>
  <c r="U10" i="106"/>
  <c r="U11" i="106"/>
  <c r="U12" i="106"/>
  <c r="U13" i="106"/>
  <c r="U14" i="106"/>
  <c r="U15" i="106"/>
  <c r="U16" i="106"/>
  <c r="U17" i="106"/>
  <c r="U7" i="106"/>
  <c r="H7" i="78"/>
  <c r="G7" i="78"/>
  <c r="G4" i="78"/>
  <c r="F4" i="78"/>
  <c r="F7" i="78"/>
  <c r="E7" i="78"/>
  <c r="D7" i="78"/>
  <c r="D4" i="78"/>
  <c r="B10" i="107" l="1"/>
  <c r="F14" i="106" a="1"/>
  <c r="F14" i="106" s="1"/>
  <c r="U17" i="43" s="1"/>
  <c r="A1" i="107"/>
  <c r="K13" i="106" l="1" a="1"/>
  <c r="K13" i="106" s="1"/>
  <c r="Q16" i="43" s="1"/>
  <c r="K7" i="106" a="1"/>
  <c r="K7" i="106" s="1"/>
  <c r="Q10" i="43" s="1"/>
  <c r="E7" i="106" a="1"/>
  <c r="E7" i="106" s="1"/>
  <c r="O10" i="43" s="1"/>
  <c r="Q7" i="106" a="1"/>
  <c r="Q7" i="106" s="1"/>
  <c r="S10" i="43" s="1"/>
  <c r="N7" i="106" a="1"/>
  <c r="N7" i="106" s="1"/>
  <c r="R10" i="43" s="1"/>
  <c r="R17" i="106" a="1"/>
  <c r="R17" i="106" s="1"/>
  <c r="Y20" i="43" s="1"/>
  <c r="Q17" i="106" a="1"/>
  <c r="Q17" i="106" s="1"/>
  <c r="S20" i="43" s="1"/>
  <c r="O17" i="106" a="1"/>
  <c r="O17" i="106" s="1"/>
  <c r="X20" i="43" s="1"/>
  <c r="N17" i="106" a="1"/>
  <c r="N17" i="106" s="1"/>
  <c r="R20" i="43" s="1"/>
  <c r="L17" i="106" a="1"/>
  <c r="L17" i="106" s="1"/>
  <c r="W20" i="43" s="1"/>
  <c r="K17" i="106" a="1"/>
  <c r="K17" i="106" s="1"/>
  <c r="Q20" i="43" s="1"/>
  <c r="I17" i="106" a="1"/>
  <c r="I17" i="106" s="1"/>
  <c r="V20" i="43" s="1"/>
  <c r="H17" i="106" a="1"/>
  <c r="H17" i="106" s="1"/>
  <c r="P20" i="43" s="1"/>
  <c r="F17" i="106" a="1"/>
  <c r="F17" i="106" s="1"/>
  <c r="U20" i="43" s="1"/>
  <c r="E17" i="106" a="1"/>
  <c r="E17" i="106" s="1"/>
  <c r="O20" i="43" s="1"/>
  <c r="R16" i="106" a="1"/>
  <c r="R16" i="106" s="1"/>
  <c r="Y19" i="43" s="1"/>
  <c r="Q16" i="106" a="1"/>
  <c r="Q16" i="106" s="1"/>
  <c r="S19" i="43" s="1"/>
  <c r="O16" i="106" a="1"/>
  <c r="O16" i="106" s="1"/>
  <c r="X19" i="43" s="1"/>
  <c r="N16" i="106" a="1"/>
  <c r="N16" i="106" s="1"/>
  <c r="R19" i="43" s="1"/>
  <c r="L16" i="106" a="1"/>
  <c r="L16" i="106" s="1"/>
  <c r="W19" i="43" s="1"/>
  <c r="K16" i="106" a="1"/>
  <c r="K16" i="106" s="1"/>
  <c r="Q19" i="43" s="1"/>
  <c r="I16" i="106" a="1"/>
  <c r="I16" i="106" s="1"/>
  <c r="V19" i="43" s="1"/>
  <c r="H16" i="106" a="1"/>
  <c r="H16" i="106" s="1"/>
  <c r="P19" i="43" s="1"/>
  <c r="F16" i="106" a="1"/>
  <c r="F16" i="106" s="1"/>
  <c r="U19" i="43" s="1"/>
  <c r="E16" i="106" a="1"/>
  <c r="E16" i="106" s="1"/>
  <c r="R15" i="106" a="1"/>
  <c r="R15" i="106" s="1"/>
  <c r="Y18" i="43" s="1"/>
  <c r="Q15" i="106" a="1"/>
  <c r="Q15" i="106" s="1"/>
  <c r="S18" i="43" s="1"/>
  <c r="O15" i="106" a="1"/>
  <c r="O15" i="106" s="1"/>
  <c r="X18" i="43" s="1"/>
  <c r="N15" i="106" a="1"/>
  <c r="N15" i="106" s="1"/>
  <c r="R18" i="43" s="1"/>
  <c r="L15" i="106" a="1"/>
  <c r="L15" i="106" s="1"/>
  <c r="W18" i="43" s="1"/>
  <c r="K15" i="106" a="1"/>
  <c r="K15" i="106" s="1"/>
  <c r="Q18" i="43" s="1"/>
  <c r="I15" i="106" a="1"/>
  <c r="I15" i="106" s="1"/>
  <c r="V18" i="43" s="1"/>
  <c r="F15" i="106" a="1"/>
  <c r="F15" i="106" s="1"/>
  <c r="U18" i="43" s="1"/>
  <c r="E15" i="106" a="1"/>
  <c r="E15" i="106" s="1"/>
  <c r="R14" i="106" a="1"/>
  <c r="R14" i="106" s="1"/>
  <c r="Y17" i="43" s="1"/>
  <c r="Q14" i="106" a="1"/>
  <c r="Q14" i="106" s="1"/>
  <c r="S17" i="43" s="1"/>
  <c r="O14" i="106" a="1"/>
  <c r="O14" i="106" s="1"/>
  <c r="X17" i="43" s="1"/>
  <c r="N14" i="106" a="1"/>
  <c r="N14" i="106" s="1"/>
  <c r="R17" i="43" s="1"/>
  <c r="L14" i="106" a="1"/>
  <c r="L14" i="106" s="1"/>
  <c r="W17" i="43" s="1"/>
  <c r="K14" i="106" a="1"/>
  <c r="K14" i="106" s="1"/>
  <c r="Q17" i="43" s="1"/>
  <c r="I14" i="106" a="1"/>
  <c r="I14" i="106" s="1"/>
  <c r="V17" i="43" s="1"/>
  <c r="H14" i="106" a="1"/>
  <c r="H14" i="106" s="1"/>
  <c r="P17" i="43" s="1"/>
  <c r="E14" i="106" a="1"/>
  <c r="E14" i="106" s="1"/>
  <c r="R13" i="106" a="1"/>
  <c r="R13" i="106" s="1"/>
  <c r="Y16" i="43" s="1"/>
  <c r="Q13" i="106" a="1"/>
  <c r="Q13" i="106" s="1"/>
  <c r="S16" i="43" s="1"/>
  <c r="N13" i="106" a="1"/>
  <c r="N13" i="106" s="1"/>
  <c r="L13" i="106" a="1"/>
  <c r="L13" i="106" s="1"/>
  <c r="W16" i="43" s="1"/>
  <c r="I13" i="106" a="1"/>
  <c r="I13" i="106" s="1"/>
  <c r="V16" i="43" s="1"/>
  <c r="H13" i="106" a="1"/>
  <c r="H13" i="106" s="1"/>
  <c r="P16" i="43" s="1"/>
  <c r="F13" i="106" a="1"/>
  <c r="F13" i="106" s="1"/>
  <c r="U16" i="43" s="1"/>
  <c r="E13" i="106" a="1"/>
  <c r="E13" i="106" s="1"/>
  <c r="R12" i="106" a="1"/>
  <c r="R12" i="106" s="1"/>
  <c r="Y15" i="43" s="1"/>
  <c r="Q12" i="106" a="1"/>
  <c r="Q12" i="106" s="1"/>
  <c r="S15" i="43" s="1"/>
  <c r="O12" i="106" a="1"/>
  <c r="O12" i="106" s="1"/>
  <c r="X15" i="43" s="1"/>
  <c r="N12" i="106" a="1"/>
  <c r="N12" i="106" s="1"/>
  <c r="R15" i="43" s="1"/>
  <c r="L12" i="106" a="1"/>
  <c r="L12" i="106" s="1"/>
  <c r="W15" i="43" s="1"/>
  <c r="K12" i="106" a="1"/>
  <c r="K12" i="106" s="1"/>
  <c r="Q15" i="43" s="1"/>
  <c r="I12" i="106" a="1"/>
  <c r="I12" i="106" s="1"/>
  <c r="V15" i="43" s="1"/>
  <c r="H12" i="106" a="1"/>
  <c r="H12" i="106" s="1"/>
  <c r="P15" i="43" s="1"/>
  <c r="F12" i="106" a="1"/>
  <c r="F12" i="106" s="1"/>
  <c r="U15" i="43" s="1"/>
  <c r="E12" i="106" a="1"/>
  <c r="E12" i="106" s="1"/>
  <c r="R11" i="106" a="1"/>
  <c r="R11" i="106" s="1"/>
  <c r="Y14" i="43" s="1"/>
  <c r="Q11" i="106" a="1"/>
  <c r="Q11" i="106" s="1"/>
  <c r="S14" i="43" s="1"/>
  <c r="O11" i="106" a="1"/>
  <c r="O11" i="106" s="1"/>
  <c r="X14" i="43" s="1"/>
  <c r="N11" i="106" a="1"/>
  <c r="N11" i="106" s="1"/>
  <c r="R14" i="43" s="1"/>
  <c r="L11" i="106" a="1"/>
  <c r="L11" i="106" s="1"/>
  <c r="W14" i="43" s="1"/>
  <c r="K11" i="106" a="1"/>
  <c r="K11" i="106" s="1"/>
  <c r="Q14" i="43" s="1"/>
  <c r="I11" i="106" a="1"/>
  <c r="I11" i="106" s="1"/>
  <c r="V14" i="43" s="1"/>
  <c r="H11" i="106" a="1"/>
  <c r="H11" i="106" s="1"/>
  <c r="P14" i="43" s="1"/>
  <c r="F11" i="106" a="1"/>
  <c r="F11" i="106" s="1"/>
  <c r="U14" i="43" s="1"/>
  <c r="E11" i="106" a="1"/>
  <c r="E11" i="106" s="1"/>
  <c r="R10" i="106" a="1"/>
  <c r="R10" i="106" s="1"/>
  <c r="Y13" i="43" s="1"/>
  <c r="Q10" i="106" a="1"/>
  <c r="Q10" i="106" s="1"/>
  <c r="S13" i="43" s="1"/>
  <c r="O10" i="106" a="1"/>
  <c r="O10" i="106" s="1"/>
  <c r="X13" i="43" s="1"/>
  <c r="N10" i="106" a="1"/>
  <c r="N10" i="106" s="1"/>
  <c r="R13" i="43" s="1"/>
  <c r="L10" i="106" a="1"/>
  <c r="L10" i="106" s="1"/>
  <c r="W13" i="43" s="1"/>
  <c r="K10" i="106" a="1"/>
  <c r="K10" i="106" s="1"/>
  <c r="Q13" i="43" s="1"/>
  <c r="I10" i="106" a="1"/>
  <c r="I10" i="106" s="1"/>
  <c r="V13" i="43" s="1"/>
  <c r="H10" i="106" a="1"/>
  <c r="H10" i="106" s="1"/>
  <c r="P13" i="43" s="1"/>
  <c r="F10" i="106" a="1"/>
  <c r="F10" i="106" s="1"/>
  <c r="U13" i="43" s="1"/>
  <c r="E10" i="106" a="1"/>
  <c r="E10" i="106" s="1"/>
  <c r="R9" i="106" a="1"/>
  <c r="R9" i="106" s="1"/>
  <c r="Y12" i="43" s="1"/>
  <c r="Q9" i="106" a="1"/>
  <c r="Q9" i="106" s="1"/>
  <c r="S12" i="43" s="1"/>
  <c r="O9" i="106" a="1"/>
  <c r="O9" i="106" s="1"/>
  <c r="X12" i="43" s="1"/>
  <c r="N9" i="106" a="1"/>
  <c r="N9" i="106" s="1"/>
  <c r="R12" i="43" s="1"/>
  <c r="L9" i="106" a="1"/>
  <c r="L9" i="106" s="1"/>
  <c r="W12" i="43" s="1"/>
  <c r="K9" i="106" a="1"/>
  <c r="K9" i="106" s="1"/>
  <c r="Q12" i="43" s="1"/>
  <c r="I9" i="106" a="1"/>
  <c r="I9" i="106" s="1"/>
  <c r="V12" i="43" s="1"/>
  <c r="H9" i="106" a="1"/>
  <c r="H9" i="106" s="1"/>
  <c r="P12" i="43" s="1"/>
  <c r="F9" i="106" a="1"/>
  <c r="F9" i="106" s="1"/>
  <c r="U12" i="43" s="1"/>
  <c r="E9" i="106" a="1"/>
  <c r="E9" i="106" s="1"/>
  <c r="R8" i="106" a="1"/>
  <c r="R8" i="106" s="1"/>
  <c r="Y11" i="43" s="1"/>
  <c r="Q8" i="106" a="1"/>
  <c r="Q8" i="106" s="1"/>
  <c r="S11" i="43" s="1"/>
  <c r="O8" i="106" a="1"/>
  <c r="O8" i="106" s="1"/>
  <c r="X11" i="43" s="1"/>
  <c r="N8" i="106" a="1"/>
  <c r="N8" i="106" s="1"/>
  <c r="R11" i="43" s="1"/>
  <c r="L8" i="106" a="1"/>
  <c r="L8" i="106" s="1"/>
  <c r="W11" i="43" s="1"/>
  <c r="K8" i="106" a="1"/>
  <c r="K8" i="106" s="1"/>
  <c r="Q11" i="43" s="1"/>
  <c r="I8" i="106" a="1"/>
  <c r="I8" i="106" s="1"/>
  <c r="V11" i="43" s="1"/>
  <c r="H8" i="106" a="1"/>
  <c r="H8" i="106" s="1"/>
  <c r="P11" i="43" s="1"/>
  <c r="F8" i="106" a="1"/>
  <c r="F8" i="106" s="1"/>
  <c r="U11" i="43" s="1"/>
  <c r="E8" i="106" a="1"/>
  <c r="E8" i="106" s="1"/>
  <c r="R7" i="106" a="1"/>
  <c r="R7" i="106" s="1"/>
  <c r="O7" i="106" a="1"/>
  <c r="O7" i="106" s="1"/>
  <c r="X10" i="43" s="1"/>
  <c r="L7" i="106" a="1"/>
  <c r="L7" i="106" s="1"/>
  <c r="W10" i="43" s="1"/>
  <c r="I7" i="106" a="1"/>
  <c r="I7" i="106" s="1"/>
  <c r="V10" i="43" s="1"/>
  <c r="H7" i="106" a="1"/>
  <c r="H7" i="106" s="1"/>
  <c r="P10" i="43" s="1"/>
  <c r="F7" i="106" a="1"/>
  <c r="F7" i="106" s="1"/>
  <c r="U10" i="43" s="1"/>
  <c r="A1" i="106"/>
  <c r="U21" i="43" l="1"/>
  <c r="Z16" i="43"/>
  <c r="AE16" i="43" s="1"/>
  <c r="Z17" i="43"/>
  <c r="AB17" i="43" s="1"/>
  <c r="Z18" i="43"/>
  <c r="AE18" i="43" s="1"/>
  <c r="O19" i="43"/>
  <c r="S16" i="106"/>
  <c r="E19" i="43" s="1"/>
  <c r="W21" i="43"/>
  <c r="Z13" i="43"/>
  <c r="AD13" i="43" s="1"/>
  <c r="Z19" i="43"/>
  <c r="AD19" i="43" s="1"/>
  <c r="AD16" i="43"/>
  <c r="Z14" i="43"/>
  <c r="AB14" i="43" s="1"/>
  <c r="Z20" i="43"/>
  <c r="AD20" i="43" s="1"/>
  <c r="Q21" i="43"/>
  <c r="S13" i="106"/>
  <c r="E16" i="43" s="1"/>
  <c r="O16" i="43"/>
  <c r="P21" i="43"/>
  <c r="O18" i="43"/>
  <c r="S15" i="106"/>
  <c r="E18" i="43" s="1"/>
  <c r="X21" i="43"/>
  <c r="S17" i="106"/>
  <c r="E20" i="43" s="1"/>
  <c r="S7" i="106"/>
  <c r="E10" i="43" s="1"/>
  <c r="R18" i="106"/>
  <c r="Y10" i="43"/>
  <c r="Z10" i="43" s="1"/>
  <c r="O11" i="43"/>
  <c r="S8" i="106"/>
  <c r="E11" i="43" s="1"/>
  <c r="S12" i="106"/>
  <c r="E15" i="43" s="1"/>
  <c r="O15" i="43"/>
  <c r="O12" i="43"/>
  <c r="S9" i="106"/>
  <c r="E12" i="43" s="1"/>
  <c r="S14" i="106"/>
  <c r="E17" i="43" s="1"/>
  <c r="O17" i="43"/>
  <c r="Z12" i="43"/>
  <c r="AC12" i="43" s="1"/>
  <c r="V21" i="43"/>
  <c r="O13" i="43"/>
  <c r="S10" i="106"/>
  <c r="E13" i="43" s="1"/>
  <c r="O14" i="43"/>
  <c r="S11" i="106"/>
  <c r="E14" i="43" s="1"/>
  <c r="P13" i="106"/>
  <c r="R16" i="43"/>
  <c r="R21" i="43" s="1"/>
  <c r="Z11" i="43"/>
  <c r="AE11" i="43" s="1"/>
  <c r="Z15" i="43"/>
  <c r="AE15" i="43" s="1"/>
  <c r="S21" i="43"/>
  <c r="J11" i="106"/>
  <c r="G14" i="106"/>
  <c r="P7" i="106"/>
  <c r="P8" i="106"/>
  <c r="M14" i="106"/>
  <c r="P11" i="106"/>
  <c r="M15" i="106"/>
  <c r="M12" i="106"/>
  <c r="M10" i="106"/>
  <c r="P15" i="106"/>
  <c r="M8" i="106"/>
  <c r="M11" i="106"/>
  <c r="M7" i="106"/>
  <c r="P16" i="106"/>
  <c r="P12" i="106"/>
  <c r="P10" i="106"/>
  <c r="M9" i="106"/>
  <c r="M17" i="106"/>
  <c r="P17" i="106"/>
  <c r="M13" i="106"/>
  <c r="M16" i="106"/>
  <c r="P9" i="106"/>
  <c r="P14" i="106"/>
  <c r="J14" i="106"/>
  <c r="J9" i="106"/>
  <c r="J13" i="106"/>
  <c r="J15" i="106"/>
  <c r="J12" i="106"/>
  <c r="J17" i="106"/>
  <c r="N18" i="106"/>
  <c r="J10" i="106"/>
  <c r="G10" i="106"/>
  <c r="J16" i="106"/>
  <c r="F18" i="106"/>
  <c r="G7" i="106"/>
  <c r="Q18" i="106"/>
  <c r="G15" i="106"/>
  <c r="G13" i="106"/>
  <c r="J8" i="106"/>
  <c r="H18" i="106"/>
  <c r="G12" i="106"/>
  <c r="L18" i="106"/>
  <c r="J7" i="106"/>
  <c r="I18" i="106"/>
  <c r="G17" i="106"/>
  <c r="E18" i="106"/>
  <c r="O18" i="106"/>
  <c r="G9" i="106"/>
  <c r="K18" i="106"/>
  <c r="G11" i="106"/>
  <c r="G8" i="106"/>
  <c r="G16" i="106"/>
  <c r="AF18" i="43" l="1"/>
  <c r="AB16" i="43"/>
  <c r="AF16" i="43"/>
  <c r="AF17" i="43"/>
  <c r="AE17" i="43"/>
  <c r="AF15" i="43"/>
  <c r="AB15" i="43"/>
  <c r="AB11" i="43"/>
  <c r="AD14" i="43"/>
  <c r="AB19" i="43"/>
  <c r="AD15" i="43"/>
  <c r="AC14" i="43"/>
  <c r="AE14" i="43"/>
  <c r="AF14" i="43"/>
  <c r="AE12" i="43"/>
  <c r="AD12" i="43"/>
  <c r="AB12" i="43"/>
  <c r="AC15" i="43"/>
  <c r="AF20" i="43"/>
  <c r="AF12" i="43"/>
  <c r="AB20" i="43"/>
  <c r="AD17" i="43"/>
  <c r="AD18" i="43"/>
  <c r="AC20" i="43"/>
  <c r="AE19" i="43"/>
  <c r="AF10" i="43"/>
  <c r="Z21" i="43"/>
  <c r="AD10" i="43"/>
  <c r="AB10" i="43"/>
  <c r="AE10" i="43"/>
  <c r="AC10" i="43"/>
  <c r="AE20" i="43"/>
  <c r="AF13" i="43"/>
  <c r="AE13" i="43"/>
  <c r="AC13" i="43"/>
  <c r="AC19" i="43"/>
  <c r="AF19" i="43"/>
  <c r="AB13" i="43"/>
  <c r="AB18" i="43"/>
  <c r="AC11" i="43"/>
  <c r="E21" i="43"/>
  <c r="AC18" i="43"/>
  <c r="AD11" i="43"/>
  <c r="AC17" i="43"/>
  <c r="Y21" i="43"/>
  <c r="AF11" i="43"/>
  <c r="O21" i="43"/>
  <c r="AC16" i="43"/>
  <c r="G18" i="106"/>
  <c r="P18" i="106"/>
  <c r="J18" i="106"/>
  <c r="M18" i="106"/>
  <c r="S18" i="106"/>
  <c r="T13" i="106" l="1"/>
  <c r="T8" i="106"/>
  <c r="T14" i="106"/>
  <c r="T17" i="106"/>
  <c r="T7" i="106"/>
  <c r="T15" i="106"/>
  <c r="T16" i="106"/>
  <c r="T11" i="106"/>
  <c r="T9" i="106"/>
  <c r="T12" i="106"/>
  <c r="T10" i="106"/>
  <c r="K118" i="65"/>
  <c r="J118" i="65"/>
  <c r="I118" i="65"/>
  <c r="H118" i="65"/>
  <c r="G118" i="65"/>
  <c r="K117" i="65"/>
  <c r="J117" i="65"/>
  <c r="I117" i="65"/>
  <c r="H117" i="65"/>
  <c r="G117" i="65"/>
  <c r="K145" i="65"/>
  <c r="J145" i="65"/>
  <c r="I145" i="65"/>
  <c r="H145" i="65"/>
  <c r="G145" i="65"/>
  <c r="K132" i="65"/>
  <c r="J132" i="65"/>
  <c r="I132" i="65"/>
  <c r="H132" i="65"/>
  <c r="G131" i="65"/>
  <c r="H131" i="65"/>
  <c r="I131" i="65"/>
  <c r="J131" i="65"/>
  <c r="K131" i="65"/>
  <c r="B10" i="91"/>
  <c r="B10" i="94"/>
  <c r="A1" i="94"/>
  <c r="B10" i="90"/>
  <c r="T18" i="106" l="1"/>
  <c r="M90" i="86"/>
  <c r="L90" i="86"/>
  <c r="K90" i="86"/>
  <c r="J90" i="86"/>
  <c r="I90" i="86"/>
  <c r="H90" i="86"/>
  <c r="G90" i="86"/>
  <c r="F90" i="86"/>
  <c r="M82" i="86"/>
  <c r="L82" i="86"/>
  <c r="K82" i="86"/>
  <c r="J82" i="86"/>
  <c r="I82" i="86"/>
  <c r="H82" i="86"/>
  <c r="G82" i="86"/>
  <c r="F82" i="86"/>
  <c r="M74" i="86"/>
  <c r="L74" i="86"/>
  <c r="K74" i="86"/>
  <c r="J74" i="86"/>
  <c r="I74" i="86"/>
  <c r="H74" i="86"/>
  <c r="G74" i="86"/>
  <c r="F74" i="86"/>
  <c r="M66" i="86"/>
  <c r="L66" i="86"/>
  <c r="K66" i="86"/>
  <c r="J66" i="86"/>
  <c r="I66" i="86"/>
  <c r="H66" i="86"/>
  <c r="G66" i="86"/>
  <c r="F66" i="86"/>
  <c r="M58" i="86"/>
  <c r="L58" i="86"/>
  <c r="K58" i="86"/>
  <c r="J58" i="86"/>
  <c r="I58" i="86"/>
  <c r="H58" i="86"/>
  <c r="G58" i="86"/>
  <c r="F58" i="86"/>
  <c r="M50" i="86"/>
  <c r="L50" i="86"/>
  <c r="K50" i="86"/>
  <c r="J50" i="86"/>
  <c r="I50" i="86"/>
  <c r="H50" i="86"/>
  <c r="G50" i="86"/>
  <c r="F50" i="86"/>
  <c r="M42" i="86"/>
  <c r="L42" i="86"/>
  <c r="K42" i="86"/>
  <c r="J42" i="86"/>
  <c r="I42" i="86"/>
  <c r="H42" i="86"/>
  <c r="G42" i="86"/>
  <c r="F42" i="86"/>
  <c r="M34" i="86"/>
  <c r="L34" i="86"/>
  <c r="K34" i="86"/>
  <c r="J34" i="86"/>
  <c r="I34" i="86"/>
  <c r="H34" i="86"/>
  <c r="G34" i="86"/>
  <c r="F34" i="86"/>
  <c r="M26" i="86"/>
  <c r="L26" i="86"/>
  <c r="K26" i="86"/>
  <c r="J26" i="86"/>
  <c r="I26" i="86"/>
  <c r="H26" i="86"/>
  <c r="G26" i="86"/>
  <c r="F26" i="86"/>
  <c r="M18" i="86"/>
  <c r="L18" i="86"/>
  <c r="K18" i="86"/>
  <c r="J18" i="86"/>
  <c r="I18" i="86"/>
  <c r="H18" i="86"/>
  <c r="G18" i="86"/>
  <c r="F18" i="86"/>
  <c r="M10" i="86"/>
  <c r="L10" i="86"/>
  <c r="K10" i="86"/>
  <c r="J10" i="86"/>
  <c r="I10" i="86"/>
  <c r="H10" i="86"/>
  <c r="G10" i="86"/>
  <c r="F10" i="86"/>
  <c r="A149" i="64"/>
  <c r="A149" i="66" s="1"/>
  <c r="B149" i="64"/>
  <c r="B149" i="66" s="1"/>
  <c r="C149" i="64"/>
  <c r="C149" i="65" s="1"/>
  <c r="D149" i="64"/>
  <c r="A150" i="64"/>
  <c r="A150" i="66" s="1"/>
  <c r="B150" i="64"/>
  <c r="C150" i="64"/>
  <c r="C150" i="66" s="1"/>
  <c r="D150" i="64"/>
  <c r="A151" i="64"/>
  <c r="A151" i="65" s="1"/>
  <c r="B151" i="64"/>
  <c r="C151" i="64"/>
  <c r="C151" i="66" s="1"/>
  <c r="D151" i="64"/>
  <c r="A152" i="64"/>
  <c r="A152" i="66" s="1"/>
  <c r="B152" i="64"/>
  <c r="B152" i="66" s="1"/>
  <c r="C152" i="64"/>
  <c r="C152" i="65" s="1"/>
  <c r="D152" i="64"/>
  <c r="A153" i="64"/>
  <c r="A153" i="66" s="1"/>
  <c r="B153" i="64"/>
  <c r="B153" i="66" s="1"/>
  <c r="C153" i="64"/>
  <c r="C153" i="66" s="1"/>
  <c r="D153" i="64"/>
  <c r="A154" i="64"/>
  <c r="A154" i="66" s="1"/>
  <c r="B154" i="64"/>
  <c r="B154" i="66" s="1"/>
  <c r="C154" i="64"/>
  <c r="C154" i="66" s="1"/>
  <c r="D154" i="64"/>
  <c r="A155" i="64"/>
  <c r="A155" i="65" s="1"/>
  <c r="B155" i="64"/>
  <c r="C155" i="64"/>
  <c r="C155" i="65" s="1"/>
  <c r="D155" i="64"/>
  <c r="A156" i="64"/>
  <c r="A156" i="66" s="1"/>
  <c r="B156" i="64"/>
  <c r="B156" i="65" s="1"/>
  <c r="C156" i="64"/>
  <c r="C156" i="65" s="1"/>
  <c r="D156" i="64"/>
  <c r="A157" i="64"/>
  <c r="A157" i="65" s="1"/>
  <c r="B157" i="64"/>
  <c r="B157" i="65" s="1"/>
  <c r="C157" i="64"/>
  <c r="C157" i="66" s="1"/>
  <c r="D157" i="64"/>
  <c r="A158" i="64"/>
  <c r="B158" i="64"/>
  <c r="C158" i="64"/>
  <c r="C158" i="66" s="1"/>
  <c r="D158" i="64"/>
  <c r="A140" i="99"/>
  <c r="B140" i="99"/>
  <c r="Q140" i="99" s="1"/>
  <c r="C140" i="99"/>
  <c r="D140" i="99"/>
  <c r="E140" i="99"/>
  <c r="F140" i="99"/>
  <c r="G140" i="99"/>
  <c r="H140" i="99"/>
  <c r="I140" i="99"/>
  <c r="J140" i="99"/>
  <c r="K140" i="99"/>
  <c r="L140" i="99"/>
  <c r="A141" i="99"/>
  <c r="B141" i="99"/>
  <c r="Q141" i="99" s="1"/>
  <c r="C141" i="99"/>
  <c r="D141" i="99"/>
  <c r="E141" i="99"/>
  <c r="F141" i="99"/>
  <c r="G141" i="99"/>
  <c r="H141" i="99"/>
  <c r="I141" i="99"/>
  <c r="J141" i="99"/>
  <c r="K141" i="99"/>
  <c r="L141" i="99"/>
  <c r="A142" i="99"/>
  <c r="B142" i="99"/>
  <c r="Q142" i="99" s="1"/>
  <c r="C142" i="99"/>
  <c r="D142" i="99"/>
  <c r="E142" i="99"/>
  <c r="F142" i="99"/>
  <c r="G142" i="99"/>
  <c r="H142" i="99"/>
  <c r="I142" i="99"/>
  <c r="J142" i="99"/>
  <c r="K142" i="99"/>
  <c r="L142" i="99"/>
  <c r="A143" i="99"/>
  <c r="B143" i="99"/>
  <c r="Q143" i="99" s="1"/>
  <c r="C143" i="99"/>
  <c r="D143" i="99"/>
  <c r="E143" i="99"/>
  <c r="F143" i="99"/>
  <c r="G143" i="99"/>
  <c r="H143" i="99"/>
  <c r="I143" i="99"/>
  <c r="J143" i="99"/>
  <c r="K143" i="99"/>
  <c r="L143" i="99"/>
  <c r="A144" i="99"/>
  <c r="B144" i="99"/>
  <c r="Q144" i="99" s="1"/>
  <c r="C144" i="99"/>
  <c r="D144" i="99"/>
  <c r="E144" i="99"/>
  <c r="F144" i="99"/>
  <c r="G144" i="99"/>
  <c r="H144" i="99"/>
  <c r="I144" i="99"/>
  <c r="J144" i="99"/>
  <c r="K144" i="99"/>
  <c r="L144" i="99"/>
  <c r="A145" i="99"/>
  <c r="B145" i="99"/>
  <c r="Q145" i="99" s="1"/>
  <c r="C145" i="99"/>
  <c r="D145" i="99"/>
  <c r="E145" i="99"/>
  <c r="F145" i="99"/>
  <c r="G145" i="99"/>
  <c r="H145" i="99"/>
  <c r="I145" i="99"/>
  <c r="J145" i="99"/>
  <c r="K145" i="99"/>
  <c r="L145" i="99"/>
  <c r="A146" i="99"/>
  <c r="B146" i="99"/>
  <c r="Q146" i="99" s="1"/>
  <c r="C146" i="99"/>
  <c r="D146" i="99"/>
  <c r="E146" i="99"/>
  <c r="F146" i="99"/>
  <c r="G146" i="99"/>
  <c r="H146" i="99"/>
  <c r="I146" i="99"/>
  <c r="J146" i="99"/>
  <c r="K146" i="99"/>
  <c r="L146" i="99"/>
  <c r="A147" i="99"/>
  <c r="B147" i="99"/>
  <c r="Q147" i="99" s="1"/>
  <c r="C147" i="99"/>
  <c r="D147" i="99"/>
  <c r="E147" i="99"/>
  <c r="F147" i="99"/>
  <c r="G147" i="99"/>
  <c r="H147" i="99"/>
  <c r="I147" i="99"/>
  <c r="J147" i="99"/>
  <c r="K147" i="99"/>
  <c r="L147" i="99"/>
  <c r="A148" i="99"/>
  <c r="B148" i="99"/>
  <c r="Q148" i="99" s="1"/>
  <c r="C148" i="99"/>
  <c r="D148" i="99"/>
  <c r="E148" i="99"/>
  <c r="F148" i="99"/>
  <c r="G148" i="99"/>
  <c r="H148" i="99"/>
  <c r="I148" i="99"/>
  <c r="J148" i="99"/>
  <c r="K148" i="99"/>
  <c r="L148" i="99"/>
  <c r="A149" i="99"/>
  <c r="B149" i="99"/>
  <c r="Q149" i="99" s="1"/>
  <c r="C149" i="99"/>
  <c r="D149" i="99"/>
  <c r="E149" i="99"/>
  <c r="F149" i="99"/>
  <c r="G149" i="99"/>
  <c r="H149" i="99"/>
  <c r="I149" i="99"/>
  <c r="J149" i="99"/>
  <c r="K149" i="99"/>
  <c r="L149" i="99"/>
  <c r="A150" i="99"/>
  <c r="B150" i="99"/>
  <c r="Q150" i="99" s="1"/>
  <c r="C150" i="99"/>
  <c r="D150" i="99"/>
  <c r="E150" i="99"/>
  <c r="F150" i="99"/>
  <c r="G150" i="99"/>
  <c r="H150" i="99"/>
  <c r="I150" i="99"/>
  <c r="J150" i="99"/>
  <c r="K150" i="99"/>
  <c r="L150" i="99"/>
  <c r="A151" i="99"/>
  <c r="B151" i="99"/>
  <c r="Q151" i="99" s="1"/>
  <c r="C151" i="99"/>
  <c r="D151" i="99"/>
  <c r="E151" i="99"/>
  <c r="F151" i="99"/>
  <c r="G151" i="99"/>
  <c r="H151" i="99"/>
  <c r="I151" i="99"/>
  <c r="J151" i="99"/>
  <c r="K151" i="99"/>
  <c r="L151" i="99"/>
  <c r="A152" i="99"/>
  <c r="B152" i="99"/>
  <c r="Q152" i="99" s="1"/>
  <c r="C152" i="99"/>
  <c r="D152" i="99"/>
  <c r="E152" i="99"/>
  <c r="F152" i="99"/>
  <c r="G152" i="99"/>
  <c r="H152" i="99"/>
  <c r="I152" i="99"/>
  <c r="J152" i="99"/>
  <c r="K152" i="99"/>
  <c r="L152" i="99"/>
  <c r="A153" i="99"/>
  <c r="B153" i="99"/>
  <c r="Q153" i="99" s="1"/>
  <c r="C153" i="99"/>
  <c r="D153" i="99"/>
  <c r="E153" i="99"/>
  <c r="F153" i="99"/>
  <c r="G153" i="99"/>
  <c r="H153" i="99"/>
  <c r="I153" i="99"/>
  <c r="J153" i="99"/>
  <c r="K153" i="99"/>
  <c r="L153" i="99"/>
  <c r="A154" i="99"/>
  <c r="B154" i="99"/>
  <c r="Q154" i="99" s="1"/>
  <c r="C154" i="99"/>
  <c r="D154" i="99"/>
  <c r="E154" i="99"/>
  <c r="F154" i="99"/>
  <c r="G154" i="99"/>
  <c r="H154" i="99"/>
  <c r="I154" i="99"/>
  <c r="J154" i="99"/>
  <c r="K154" i="99"/>
  <c r="L154" i="99"/>
  <c r="A155" i="99"/>
  <c r="B155" i="99"/>
  <c r="Q155" i="99" s="1"/>
  <c r="C155" i="99"/>
  <c r="D155" i="99"/>
  <c r="E155" i="99"/>
  <c r="F155" i="99"/>
  <c r="G155" i="99"/>
  <c r="H155" i="99"/>
  <c r="I155" i="99"/>
  <c r="J155" i="99"/>
  <c r="K155" i="99"/>
  <c r="L155" i="99"/>
  <c r="A156" i="99"/>
  <c r="B156" i="99"/>
  <c r="Q156" i="99" s="1"/>
  <c r="C156" i="99"/>
  <c r="D156" i="99"/>
  <c r="E156" i="99"/>
  <c r="F156" i="99"/>
  <c r="G156" i="99"/>
  <c r="H156" i="99"/>
  <c r="I156" i="99"/>
  <c r="J156" i="99"/>
  <c r="K156" i="99"/>
  <c r="L156" i="99"/>
  <c r="A157" i="99"/>
  <c r="B157" i="99"/>
  <c r="Q157" i="99" s="1"/>
  <c r="C157" i="99"/>
  <c r="D157" i="99"/>
  <c r="E157" i="99"/>
  <c r="F157" i="99"/>
  <c r="G157" i="99"/>
  <c r="H157" i="99"/>
  <c r="I157" i="99"/>
  <c r="J157" i="99"/>
  <c r="K157" i="99"/>
  <c r="L157" i="99"/>
  <c r="A158" i="99"/>
  <c r="B158" i="99"/>
  <c r="Q158" i="99" s="1"/>
  <c r="C158" i="99"/>
  <c r="D158" i="99"/>
  <c r="E158" i="99"/>
  <c r="F158" i="99"/>
  <c r="G158" i="99"/>
  <c r="H158" i="99"/>
  <c r="I158" i="99"/>
  <c r="J158" i="99"/>
  <c r="K158" i="99"/>
  <c r="L158" i="99"/>
  <c r="A159" i="99"/>
  <c r="B159" i="99"/>
  <c r="Q159" i="99" s="1"/>
  <c r="C159" i="99"/>
  <c r="D159" i="99"/>
  <c r="E159" i="99"/>
  <c r="F159" i="99"/>
  <c r="G159" i="99"/>
  <c r="H159" i="99"/>
  <c r="I159" i="99"/>
  <c r="J159" i="99"/>
  <c r="K159" i="99"/>
  <c r="L159" i="99"/>
  <c r="A160" i="99"/>
  <c r="B160" i="99"/>
  <c r="Q160" i="99" s="1"/>
  <c r="C160" i="99"/>
  <c r="D160" i="99"/>
  <c r="E160" i="99"/>
  <c r="F160" i="99"/>
  <c r="G160" i="99"/>
  <c r="H160" i="99"/>
  <c r="I160" i="99"/>
  <c r="J160" i="99"/>
  <c r="K160" i="99"/>
  <c r="L160" i="99"/>
  <c r="C154" i="65" l="1"/>
  <c r="B149" i="65"/>
  <c r="B157" i="66"/>
  <c r="C156" i="66"/>
  <c r="B152" i="65"/>
  <c r="B154" i="65"/>
  <c r="A152" i="65"/>
  <c r="C149" i="66"/>
  <c r="C157" i="65"/>
  <c r="C153" i="65"/>
  <c r="A157" i="66"/>
  <c r="C151" i="65"/>
  <c r="A149" i="65"/>
  <c r="B156" i="66"/>
  <c r="C152" i="66"/>
  <c r="A154" i="65"/>
  <c r="B151" i="65"/>
  <c r="C155" i="66"/>
  <c r="C158" i="65"/>
  <c r="A156" i="65"/>
  <c r="B153" i="65"/>
  <c r="C150" i="65"/>
  <c r="B155" i="66"/>
  <c r="B151" i="66"/>
  <c r="B158" i="65"/>
  <c r="A153" i="65"/>
  <c r="B150" i="65"/>
  <c r="B158" i="66"/>
  <c r="A155" i="66"/>
  <c r="A151" i="66"/>
  <c r="A158" i="65"/>
  <c r="B155" i="65"/>
  <c r="A150" i="65"/>
  <c r="A158" i="66"/>
  <c r="B150" i="66"/>
  <c r="R159" i="99"/>
  <c r="S159" i="99"/>
  <c r="T159" i="99"/>
  <c r="X159" i="99"/>
  <c r="U159" i="99"/>
  <c r="V159" i="99"/>
  <c r="W159" i="99"/>
  <c r="R155" i="99"/>
  <c r="X155" i="99"/>
  <c r="S155" i="99"/>
  <c r="T155" i="99"/>
  <c r="U155" i="99"/>
  <c r="V155" i="99"/>
  <c r="W155" i="99"/>
  <c r="R151" i="99"/>
  <c r="X151" i="99"/>
  <c r="S151" i="99"/>
  <c r="T151" i="99"/>
  <c r="U151" i="99"/>
  <c r="V151" i="99"/>
  <c r="W151" i="99"/>
  <c r="R143" i="99"/>
  <c r="X143" i="99"/>
  <c r="S143" i="99"/>
  <c r="T143" i="99"/>
  <c r="U143" i="99"/>
  <c r="V143" i="99"/>
  <c r="W143" i="99"/>
  <c r="R147" i="99"/>
  <c r="X147" i="99"/>
  <c r="S147" i="99"/>
  <c r="T147" i="99"/>
  <c r="U147" i="99"/>
  <c r="V147" i="99"/>
  <c r="W147" i="99"/>
  <c r="R157" i="99"/>
  <c r="S157" i="99"/>
  <c r="T157" i="99"/>
  <c r="U157" i="99"/>
  <c r="V157" i="99"/>
  <c r="W157" i="99"/>
  <c r="X157" i="99"/>
  <c r="R153" i="99"/>
  <c r="X153" i="99"/>
  <c r="S153" i="99"/>
  <c r="T153" i="99"/>
  <c r="U153" i="99"/>
  <c r="V153" i="99"/>
  <c r="W153" i="99"/>
  <c r="R149" i="99"/>
  <c r="S149" i="99"/>
  <c r="T149" i="99"/>
  <c r="X149" i="99"/>
  <c r="U149" i="99"/>
  <c r="V149" i="99"/>
  <c r="W149" i="99"/>
  <c r="R145" i="99"/>
  <c r="S145" i="99"/>
  <c r="T145" i="99"/>
  <c r="U145" i="99"/>
  <c r="V145" i="99"/>
  <c r="W145" i="99"/>
  <c r="X145" i="99"/>
  <c r="X141" i="99"/>
  <c r="R141" i="99"/>
  <c r="S141" i="99"/>
  <c r="T141" i="99"/>
  <c r="U141" i="99"/>
  <c r="V141" i="99"/>
  <c r="W141" i="99"/>
  <c r="U160" i="99"/>
  <c r="V160" i="99"/>
  <c r="T160" i="99"/>
  <c r="W160" i="99"/>
  <c r="X160" i="99"/>
  <c r="S160" i="99"/>
  <c r="R160" i="99"/>
  <c r="U158" i="99"/>
  <c r="V158" i="99"/>
  <c r="W158" i="99"/>
  <c r="X158" i="99"/>
  <c r="T158" i="99"/>
  <c r="R158" i="99"/>
  <c r="S158" i="99"/>
  <c r="U156" i="99"/>
  <c r="T156" i="99"/>
  <c r="V156" i="99"/>
  <c r="W156" i="99"/>
  <c r="X156" i="99"/>
  <c r="R156" i="99"/>
  <c r="S156" i="99"/>
  <c r="U154" i="99"/>
  <c r="V154" i="99"/>
  <c r="T154" i="99"/>
  <c r="W154" i="99"/>
  <c r="X154" i="99"/>
  <c r="R154" i="99"/>
  <c r="S154" i="99"/>
  <c r="U152" i="99"/>
  <c r="V152" i="99"/>
  <c r="T152" i="99"/>
  <c r="W152" i="99"/>
  <c r="X152" i="99"/>
  <c r="R152" i="99"/>
  <c r="S152" i="99"/>
  <c r="U150" i="99"/>
  <c r="V150" i="99"/>
  <c r="T150" i="99"/>
  <c r="W150" i="99"/>
  <c r="X150" i="99"/>
  <c r="R150" i="99"/>
  <c r="S150" i="99"/>
  <c r="U148" i="99"/>
  <c r="V148" i="99"/>
  <c r="W148" i="99"/>
  <c r="X148" i="99"/>
  <c r="R148" i="99"/>
  <c r="S148" i="99"/>
  <c r="T148" i="99"/>
  <c r="U146" i="99"/>
  <c r="V146" i="99"/>
  <c r="T146" i="99"/>
  <c r="W146" i="99"/>
  <c r="X146" i="99"/>
  <c r="R146" i="99"/>
  <c r="S146" i="99"/>
  <c r="U144" i="99"/>
  <c r="V144" i="99"/>
  <c r="W144" i="99"/>
  <c r="X144" i="99"/>
  <c r="R144" i="99"/>
  <c r="S144" i="99"/>
  <c r="T144" i="99"/>
  <c r="U142" i="99"/>
  <c r="V142" i="99"/>
  <c r="T142" i="99"/>
  <c r="W142" i="99"/>
  <c r="X142" i="99"/>
  <c r="R142" i="99"/>
  <c r="S142" i="99"/>
  <c r="U140" i="99"/>
  <c r="V140" i="99"/>
  <c r="W140" i="99"/>
  <c r="X140" i="99"/>
  <c r="S140" i="99"/>
  <c r="R140" i="99"/>
  <c r="T140" i="99"/>
  <c r="C6" i="64" l="1"/>
  <c r="C6" i="65" s="1"/>
  <c r="C7" i="64"/>
  <c r="C7" i="65" s="1"/>
  <c r="C8" i="64"/>
  <c r="C8" i="66" s="1"/>
  <c r="C9" i="64"/>
  <c r="C10" i="64"/>
  <c r="C10" i="65" s="1"/>
  <c r="C11" i="64"/>
  <c r="C11" i="66" s="1"/>
  <c r="C12" i="64"/>
  <c r="C12" i="65" s="1"/>
  <c r="C13" i="64"/>
  <c r="C13" i="66" s="1"/>
  <c r="C14" i="64"/>
  <c r="C14" i="65" s="1"/>
  <c r="C15" i="64"/>
  <c r="C15" i="65" s="1"/>
  <c r="C16" i="64"/>
  <c r="C16" i="66" s="1"/>
  <c r="C17" i="64"/>
  <c r="C18" i="64"/>
  <c r="C18" i="65" s="1"/>
  <c r="C19" i="64"/>
  <c r="C19" i="66" s="1"/>
  <c r="C20" i="64"/>
  <c r="C20" i="65" s="1"/>
  <c r="C21" i="64"/>
  <c r="C21" i="66" s="1"/>
  <c r="C22" i="64"/>
  <c r="C22" i="65" s="1"/>
  <c r="C23" i="64"/>
  <c r="C23" i="65" s="1"/>
  <c r="C24" i="64"/>
  <c r="C24" i="66" s="1"/>
  <c r="C25" i="64"/>
  <c r="C26" i="64"/>
  <c r="C26" i="65" s="1"/>
  <c r="C27" i="64"/>
  <c r="C27" i="66" s="1"/>
  <c r="C28" i="64"/>
  <c r="C28" i="65" s="1"/>
  <c r="C29" i="64"/>
  <c r="C29" i="66" s="1"/>
  <c r="C30" i="64"/>
  <c r="C30" i="65" s="1"/>
  <c r="C31" i="64"/>
  <c r="C31" i="65" s="1"/>
  <c r="C32" i="64"/>
  <c r="C32" i="66" s="1"/>
  <c r="C33" i="64"/>
  <c r="C34" i="64"/>
  <c r="C34" i="65" s="1"/>
  <c r="C35" i="64"/>
  <c r="C35" i="66" s="1"/>
  <c r="C36" i="64"/>
  <c r="C36" i="65" s="1"/>
  <c r="C37" i="64"/>
  <c r="C37" i="66" s="1"/>
  <c r="C38" i="64"/>
  <c r="C38" i="65" s="1"/>
  <c r="C39" i="64"/>
  <c r="C39" i="65" s="1"/>
  <c r="C40" i="64"/>
  <c r="C40" i="66" s="1"/>
  <c r="C41" i="64"/>
  <c r="C42" i="64"/>
  <c r="C42" i="65" s="1"/>
  <c r="C43" i="64"/>
  <c r="C43" i="66" s="1"/>
  <c r="C44" i="64"/>
  <c r="C44" i="65" s="1"/>
  <c r="C45" i="64"/>
  <c r="C45" i="66" s="1"/>
  <c r="C46" i="64"/>
  <c r="C46" i="65" s="1"/>
  <c r="C47" i="64"/>
  <c r="C47" i="65" s="1"/>
  <c r="C48" i="64"/>
  <c r="C48" i="66" s="1"/>
  <c r="C49" i="64"/>
  <c r="C50" i="64"/>
  <c r="C50" i="65" s="1"/>
  <c r="C51" i="64"/>
  <c r="C51" i="66" s="1"/>
  <c r="C52" i="64"/>
  <c r="C52" i="65" s="1"/>
  <c r="C53" i="64"/>
  <c r="C53" i="66" s="1"/>
  <c r="C54" i="64"/>
  <c r="C54" i="65" s="1"/>
  <c r="C55" i="64"/>
  <c r="C55" i="65" s="1"/>
  <c r="C56" i="64"/>
  <c r="C56" i="66" s="1"/>
  <c r="C57" i="64"/>
  <c r="C58" i="64"/>
  <c r="C58" i="65" s="1"/>
  <c r="C59" i="64"/>
  <c r="C59" i="66" s="1"/>
  <c r="C60" i="64"/>
  <c r="C60" i="65" s="1"/>
  <c r="C61" i="64"/>
  <c r="C61" i="66" s="1"/>
  <c r="C62" i="64"/>
  <c r="C62" i="65" s="1"/>
  <c r="C63" i="64"/>
  <c r="C63" i="65" s="1"/>
  <c r="C64" i="64"/>
  <c r="C64" i="66" s="1"/>
  <c r="C65" i="64"/>
  <c r="C66" i="64"/>
  <c r="C66" i="65" s="1"/>
  <c r="C67" i="64"/>
  <c r="C67" i="66" s="1"/>
  <c r="C68" i="64"/>
  <c r="C68" i="65" s="1"/>
  <c r="C69" i="64"/>
  <c r="C69" i="66" s="1"/>
  <c r="C70" i="64"/>
  <c r="C70" i="65" s="1"/>
  <c r="C71" i="64"/>
  <c r="C71" i="65" s="1"/>
  <c r="C72" i="64"/>
  <c r="C72" i="66" s="1"/>
  <c r="C73" i="64"/>
  <c r="C74" i="64"/>
  <c r="C74" i="65" s="1"/>
  <c r="C75" i="64"/>
  <c r="C75" i="66" s="1"/>
  <c r="C76" i="64"/>
  <c r="C76" i="65" s="1"/>
  <c r="C77" i="64"/>
  <c r="C77" i="66" s="1"/>
  <c r="C78" i="64"/>
  <c r="C78" i="65" s="1"/>
  <c r="C79" i="64"/>
  <c r="C79" i="65" s="1"/>
  <c r="C80" i="64"/>
  <c r="C80" i="66" s="1"/>
  <c r="C81" i="64"/>
  <c r="C82" i="64"/>
  <c r="C82" i="65" s="1"/>
  <c r="C83" i="64"/>
  <c r="C83" i="66" s="1"/>
  <c r="C84" i="64"/>
  <c r="C84" i="65" s="1"/>
  <c r="C85" i="64"/>
  <c r="C85" i="66" s="1"/>
  <c r="C86" i="64"/>
  <c r="C86" i="65" s="1"/>
  <c r="C87" i="64"/>
  <c r="C87" i="65" s="1"/>
  <c r="C88" i="64"/>
  <c r="C88" i="66" s="1"/>
  <c r="C89" i="64"/>
  <c r="C90" i="64"/>
  <c r="C90" i="65" s="1"/>
  <c r="C91" i="64"/>
  <c r="C91" i="66" s="1"/>
  <c r="C92" i="64"/>
  <c r="C92" i="65" s="1"/>
  <c r="C93" i="64"/>
  <c r="C93" i="66" s="1"/>
  <c r="C94" i="64"/>
  <c r="C94" i="65" s="1"/>
  <c r="C95" i="64"/>
  <c r="C95" i="65" s="1"/>
  <c r="C96" i="64"/>
  <c r="C96" i="66" s="1"/>
  <c r="C97" i="64"/>
  <c r="C98" i="64"/>
  <c r="C98" i="65" s="1"/>
  <c r="C99" i="64"/>
  <c r="C99" i="66" s="1"/>
  <c r="C100" i="64"/>
  <c r="C100" i="65" s="1"/>
  <c r="C101" i="64"/>
  <c r="C101" i="66" s="1"/>
  <c r="C102" i="64"/>
  <c r="C102" i="65" s="1"/>
  <c r="C103" i="64"/>
  <c r="C103" i="65" s="1"/>
  <c r="C104" i="64"/>
  <c r="C104" i="66" s="1"/>
  <c r="C105" i="64"/>
  <c r="C106" i="64"/>
  <c r="C106" i="65" s="1"/>
  <c r="C107" i="64"/>
  <c r="C107" i="66" s="1"/>
  <c r="C108" i="64"/>
  <c r="C108" i="65" s="1"/>
  <c r="C109" i="64"/>
  <c r="C109" i="66" s="1"/>
  <c r="C110" i="64"/>
  <c r="C110" i="65" s="1"/>
  <c r="C111" i="64"/>
  <c r="C111" i="65" s="1"/>
  <c r="C112" i="64"/>
  <c r="C112" i="66" s="1"/>
  <c r="C113" i="64"/>
  <c r="C114" i="64"/>
  <c r="C114" i="65" s="1"/>
  <c r="C115" i="64"/>
  <c r="C115" i="66" s="1"/>
  <c r="C116" i="64"/>
  <c r="C116" i="65" s="1"/>
  <c r="C117" i="64"/>
  <c r="C117" i="66" s="1"/>
  <c r="C118" i="64"/>
  <c r="C118" i="65" s="1"/>
  <c r="C119" i="64"/>
  <c r="C119" i="65" s="1"/>
  <c r="C120" i="64"/>
  <c r="C120" i="66" s="1"/>
  <c r="C121" i="64"/>
  <c r="C122" i="64"/>
  <c r="C122" i="65" s="1"/>
  <c r="C123" i="64"/>
  <c r="C123" i="66" s="1"/>
  <c r="C124" i="64"/>
  <c r="C124" i="65" s="1"/>
  <c r="C125" i="64"/>
  <c r="C125" i="66" s="1"/>
  <c r="C126" i="64"/>
  <c r="C126" i="65" s="1"/>
  <c r="C127" i="64"/>
  <c r="C127" i="65" s="1"/>
  <c r="C128" i="64"/>
  <c r="C128" i="66" s="1"/>
  <c r="C129" i="64"/>
  <c r="C130" i="64"/>
  <c r="C130" i="65" s="1"/>
  <c r="C131" i="64"/>
  <c r="C131" i="66" s="1"/>
  <c r="C132" i="64"/>
  <c r="C132" i="65" s="1"/>
  <c r="C133" i="64"/>
  <c r="C133" i="66" s="1"/>
  <c r="C134" i="64"/>
  <c r="C134" i="65" s="1"/>
  <c r="C135" i="64"/>
  <c r="C135" i="65" s="1"/>
  <c r="C136" i="64"/>
  <c r="C136" i="66" s="1"/>
  <c r="C137" i="64"/>
  <c r="C138" i="64"/>
  <c r="C138" i="65" s="1"/>
  <c r="C139" i="64"/>
  <c r="C139" i="66" s="1"/>
  <c r="C140" i="64"/>
  <c r="C140" i="65" s="1"/>
  <c r="C141" i="64"/>
  <c r="C141" i="66" s="1"/>
  <c r="C142" i="64"/>
  <c r="C142" i="65" s="1"/>
  <c r="C143" i="64"/>
  <c r="C143" i="65" s="1"/>
  <c r="C144" i="64"/>
  <c r="C144" i="66" s="1"/>
  <c r="C145" i="64"/>
  <c r="C146" i="64"/>
  <c r="C146" i="65" s="1"/>
  <c r="C147" i="64"/>
  <c r="C147" i="66" s="1"/>
  <c r="C148" i="64"/>
  <c r="C5" i="64"/>
  <c r="C5" i="65" s="1"/>
  <c r="A6" i="64"/>
  <c r="A6" i="66" s="1"/>
  <c r="A7" i="64"/>
  <c r="A7" i="65" s="1"/>
  <c r="A8" i="64"/>
  <c r="A8" i="65" s="1"/>
  <c r="A9" i="64"/>
  <c r="A9" i="66" s="1"/>
  <c r="A10" i="64"/>
  <c r="A11" i="64"/>
  <c r="A11" i="66" s="1"/>
  <c r="A12" i="64"/>
  <c r="A12" i="65" s="1"/>
  <c r="A13" i="64"/>
  <c r="A13" i="66" s="1"/>
  <c r="A14" i="64"/>
  <c r="A14" i="66" s="1"/>
  <c r="A15" i="64"/>
  <c r="A15" i="65" s="1"/>
  <c r="A16" i="64"/>
  <c r="A16" i="65" s="1"/>
  <c r="A17" i="64"/>
  <c r="A17" i="66" s="1"/>
  <c r="A18" i="64"/>
  <c r="A19" i="64"/>
  <c r="A19" i="66" s="1"/>
  <c r="A20" i="64"/>
  <c r="A20" i="65" s="1"/>
  <c r="A21" i="64"/>
  <c r="A21" i="66" s="1"/>
  <c r="A22" i="64"/>
  <c r="A22" i="66" s="1"/>
  <c r="A23" i="64"/>
  <c r="A23" i="66" s="1"/>
  <c r="A24" i="64"/>
  <c r="A24" i="65" s="1"/>
  <c r="A25" i="64"/>
  <c r="A25" i="66" s="1"/>
  <c r="A26" i="64"/>
  <c r="A27" i="64"/>
  <c r="A27" i="66" s="1"/>
  <c r="A28" i="64"/>
  <c r="A28" i="65" s="1"/>
  <c r="A29" i="64"/>
  <c r="A29" i="66" s="1"/>
  <c r="A30" i="64"/>
  <c r="A30" i="66" s="1"/>
  <c r="A31" i="64"/>
  <c r="A31" i="65" s="1"/>
  <c r="A32" i="64"/>
  <c r="A32" i="65" s="1"/>
  <c r="A33" i="64"/>
  <c r="A33" i="66" s="1"/>
  <c r="A34" i="64"/>
  <c r="A35" i="64"/>
  <c r="A35" i="66" s="1"/>
  <c r="A36" i="64"/>
  <c r="A36" i="65" s="1"/>
  <c r="A37" i="64"/>
  <c r="A37" i="66" s="1"/>
  <c r="A38" i="64"/>
  <c r="A38" i="66" s="1"/>
  <c r="A39" i="64"/>
  <c r="A39" i="65" s="1"/>
  <c r="A40" i="64"/>
  <c r="A40" i="65" s="1"/>
  <c r="A41" i="64"/>
  <c r="A41" i="66" s="1"/>
  <c r="A42" i="64"/>
  <c r="A43" i="64"/>
  <c r="A43" i="66" s="1"/>
  <c r="A44" i="64"/>
  <c r="A44" i="65" s="1"/>
  <c r="A45" i="64"/>
  <c r="A45" i="65" s="1"/>
  <c r="A46" i="64"/>
  <c r="A46" i="66" s="1"/>
  <c r="A47" i="64"/>
  <c r="A47" i="65" s="1"/>
  <c r="A48" i="64"/>
  <c r="A48" i="65" s="1"/>
  <c r="A49" i="64"/>
  <c r="A49" i="66" s="1"/>
  <c r="A50" i="64"/>
  <c r="A51" i="64"/>
  <c r="A51" i="66" s="1"/>
  <c r="A52" i="64"/>
  <c r="A52" i="65" s="1"/>
  <c r="A53" i="64"/>
  <c r="A53" i="66" s="1"/>
  <c r="A54" i="64"/>
  <c r="A54" i="66" s="1"/>
  <c r="A55" i="64"/>
  <c r="A55" i="66" s="1"/>
  <c r="A56" i="64"/>
  <c r="A56" i="65" s="1"/>
  <c r="A57" i="64"/>
  <c r="A57" i="66" s="1"/>
  <c r="A58" i="64"/>
  <c r="A59" i="64"/>
  <c r="A59" i="66" s="1"/>
  <c r="A60" i="64"/>
  <c r="A60" i="65" s="1"/>
  <c r="A61" i="64"/>
  <c r="A61" i="66" s="1"/>
  <c r="A62" i="64"/>
  <c r="A62" i="66" s="1"/>
  <c r="A63" i="64"/>
  <c r="A63" i="66" s="1"/>
  <c r="A64" i="64"/>
  <c r="A64" i="65" s="1"/>
  <c r="A65" i="64"/>
  <c r="A65" i="66" s="1"/>
  <c r="A66" i="64"/>
  <c r="A67" i="64"/>
  <c r="A67" i="66" s="1"/>
  <c r="A68" i="64"/>
  <c r="A68" i="65" s="1"/>
  <c r="A69" i="64"/>
  <c r="A69" i="66" s="1"/>
  <c r="A70" i="64"/>
  <c r="A70" i="66" s="1"/>
  <c r="A71" i="64"/>
  <c r="A71" i="66" s="1"/>
  <c r="A72" i="64"/>
  <c r="A72" i="65" s="1"/>
  <c r="A73" i="64"/>
  <c r="A73" i="66" s="1"/>
  <c r="A74" i="64"/>
  <c r="A75" i="64"/>
  <c r="A75" i="66" s="1"/>
  <c r="A76" i="64"/>
  <c r="A76" i="65" s="1"/>
  <c r="A77" i="64"/>
  <c r="A77" i="65" s="1"/>
  <c r="A78" i="64"/>
  <c r="A78" i="66" s="1"/>
  <c r="A79" i="64"/>
  <c r="A79" i="65" s="1"/>
  <c r="A80" i="64"/>
  <c r="A80" i="65" s="1"/>
  <c r="A81" i="64"/>
  <c r="A81" i="66" s="1"/>
  <c r="A82" i="64"/>
  <c r="A83" i="64"/>
  <c r="A83" i="66" s="1"/>
  <c r="A84" i="64"/>
  <c r="A84" i="65" s="1"/>
  <c r="A85" i="64"/>
  <c r="A85" i="66" s="1"/>
  <c r="A86" i="64"/>
  <c r="A86" i="66" s="1"/>
  <c r="A87" i="64"/>
  <c r="A87" i="66" s="1"/>
  <c r="A88" i="64"/>
  <c r="A88" i="65" s="1"/>
  <c r="A89" i="64"/>
  <c r="A89" i="66" s="1"/>
  <c r="A90" i="64"/>
  <c r="A91" i="64"/>
  <c r="A91" i="66" s="1"/>
  <c r="A92" i="64"/>
  <c r="A92" i="65" s="1"/>
  <c r="A93" i="64"/>
  <c r="A93" i="65" s="1"/>
  <c r="A94" i="64"/>
  <c r="A94" i="66" s="1"/>
  <c r="A95" i="64"/>
  <c r="A95" i="65" s="1"/>
  <c r="A96" i="64"/>
  <c r="A96" i="65" s="1"/>
  <c r="A97" i="64"/>
  <c r="A97" i="66" s="1"/>
  <c r="A98" i="64"/>
  <c r="A99" i="64"/>
  <c r="A99" i="66" s="1"/>
  <c r="A100" i="64"/>
  <c r="A100" i="65" s="1"/>
  <c r="A101" i="64"/>
  <c r="A101" i="65" s="1"/>
  <c r="A102" i="64"/>
  <c r="A102" i="66" s="1"/>
  <c r="A103" i="64"/>
  <c r="A103" i="65" s="1"/>
  <c r="A104" i="64"/>
  <c r="A104" i="65" s="1"/>
  <c r="A105" i="64"/>
  <c r="A105" i="66" s="1"/>
  <c r="A106" i="64"/>
  <c r="A107" i="64"/>
  <c r="A107" i="66" s="1"/>
  <c r="A108" i="64"/>
  <c r="A108" i="65" s="1"/>
  <c r="A109" i="64"/>
  <c r="A109" i="66" s="1"/>
  <c r="A110" i="64"/>
  <c r="A110" i="66" s="1"/>
  <c r="A111" i="64"/>
  <c r="A111" i="65" s="1"/>
  <c r="A112" i="64"/>
  <c r="A112" i="65" s="1"/>
  <c r="A113" i="64"/>
  <c r="A113" i="66" s="1"/>
  <c r="A114" i="64"/>
  <c r="A115" i="64"/>
  <c r="A115" i="66" s="1"/>
  <c r="A116" i="64"/>
  <c r="A116" i="65" s="1"/>
  <c r="A117" i="64"/>
  <c r="A117" i="65" s="1"/>
  <c r="A118" i="64"/>
  <c r="A118" i="66" s="1"/>
  <c r="A119" i="64"/>
  <c r="A119" i="65" s="1"/>
  <c r="A120" i="64"/>
  <c r="A120" i="65" s="1"/>
  <c r="A121" i="64"/>
  <c r="A121" i="66" s="1"/>
  <c r="A122" i="64"/>
  <c r="A123" i="64"/>
  <c r="A123" i="66" s="1"/>
  <c r="A124" i="64"/>
  <c r="A124" i="65" s="1"/>
  <c r="A125" i="64"/>
  <c r="A125" i="65" s="1"/>
  <c r="A126" i="64"/>
  <c r="A126" i="66" s="1"/>
  <c r="A127" i="64"/>
  <c r="A127" i="66" s="1"/>
  <c r="A128" i="64"/>
  <c r="A128" i="65" s="1"/>
  <c r="A129" i="64"/>
  <c r="A129" i="66" s="1"/>
  <c r="A130" i="64"/>
  <c r="A131" i="64"/>
  <c r="A131" i="66" s="1"/>
  <c r="A132" i="64"/>
  <c r="A132" i="65" s="1"/>
  <c r="A133" i="64"/>
  <c r="A133" i="66" s="1"/>
  <c r="A134" i="64"/>
  <c r="A134" i="66" s="1"/>
  <c r="A135" i="64"/>
  <c r="A135" i="65" s="1"/>
  <c r="A136" i="64"/>
  <c r="A136" i="65" s="1"/>
  <c r="A137" i="64"/>
  <c r="A137" i="66" s="1"/>
  <c r="A138" i="64"/>
  <c r="A139" i="64"/>
  <c r="A139" i="66" s="1"/>
  <c r="A140" i="64"/>
  <c r="A140" i="65" s="1"/>
  <c r="A141" i="64"/>
  <c r="A141" i="66" s="1"/>
  <c r="A142" i="64"/>
  <c r="A142" i="66" s="1"/>
  <c r="A143" i="64"/>
  <c r="A143" i="65" s="1"/>
  <c r="A144" i="64"/>
  <c r="A144" i="65" s="1"/>
  <c r="A145" i="64"/>
  <c r="A145" i="66" s="1"/>
  <c r="A146" i="64"/>
  <c r="A147" i="64"/>
  <c r="A147" i="66" s="1"/>
  <c r="A148" i="64"/>
  <c r="A5" i="64"/>
  <c r="A5" i="65" s="1"/>
  <c r="B5" i="64"/>
  <c r="B5" i="65" s="1"/>
  <c r="B6" i="64"/>
  <c r="B6" i="66" s="1"/>
  <c r="B7" i="64"/>
  <c r="B8" i="64"/>
  <c r="B9" i="64"/>
  <c r="B10" i="64"/>
  <c r="B10" i="66" s="1"/>
  <c r="B11" i="64"/>
  <c r="B11" i="66" s="1"/>
  <c r="B12" i="64"/>
  <c r="B12" i="65" s="1"/>
  <c r="B13" i="64"/>
  <c r="B13" i="65" s="1"/>
  <c r="B14" i="64"/>
  <c r="B14" i="66" s="1"/>
  <c r="B15" i="64"/>
  <c r="B16" i="64"/>
  <c r="B17" i="64"/>
  <c r="B18" i="64"/>
  <c r="B18" i="66" s="1"/>
  <c r="B19" i="64"/>
  <c r="B19" i="66" s="1"/>
  <c r="B20" i="64"/>
  <c r="B20" i="65" s="1"/>
  <c r="B21" i="64"/>
  <c r="B21" i="66" s="1"/>
  <c r="B22" i="64"/>
  <c r="B22" i="66" s="1"/>
  <c r="B23" i="64"/>
  <c r="B24" i="64"/>
  <c r="B25" i="64"/>
  <c r="B26" i="64"/>
  <c r="B26" i="66" s="1"/>
  <c r="B27" i="64"/>
  <c r="B27" i="66" s="1"/>
  <c r="B28" i="64"/>
  <c r="B28" i="65" s="1"/>
  <c r="B29" i="64"/>
  <c r="B29" i="66" s="1"/>
  <c r="B30" i="64"/>
  <c r="B30" i="66" s="1"/>
  <c r="B31" i="64"/>
  <c r="B32" i="64"/>
  <c r="B33" i="64"/>
  <c r="B34" i="64"/>
  <c r="B34" i="66" s="1"/>
  <c r="B35" i="64"/>
  <c r="B35" i="66" s="1"/>
  <c r="B36" i="64"/>
  <c r="B36" i="65" s="1"/>
  <c r="B37" i="64"/>
  <c r="B37" i="66" s="1"/>
  <c r="B38" i="64"/>
  <c r="B38" i="66" s="1"/>
  <c r="B39" i="64"/>
  <c r="B40" i="64"/>
  <c r="B41" i="64"/>
  <c r="B42" i="64"/>
  <c r="B42" i="65" s="1"/>
  <c r="B43" i="64"/>
  <c r="B43" i="66" s="1"/>
  <c r="B44" i="64"/>
  <c r="B44" i="65" s="1"/>
  <c r="B45" i="64"/>
  <c r="B45" i="65" s="1"/>
  <c r="B46" i="64"/>
  <c r="B46" i="66" s="1"/>
  <c r="B47" i="64"/>
  <c r="B48" i="64"/>
  <c r="B49" i="64"/>
  <c r="B50" i="64"/>
  <c r="B50" i="66" s="1"/>
  <c r="B51" i="64"/>
  <c r="B51" i="66" s="1"/>
  <c r="B52" i="64"/>
  <c r="B52" i="65" s="1"/>
  <c r="B53" i="64"/>
  <c r="B53" i="66" s="1"/>
  <c r="B54" i="64"/>
  <c r="B54" i="66" s="1"/>
  <c r="B55" i="64"/>
  <c r="B56" i="64"/>
  <c r="B57" i="64"/>
  <c r="B58" i="64"/>
  <c r="B58" i="66" s="1"/>
  <c r="B59" i="64"/>
  <c r="B59" i="66" s="1"/>
  <c r="B60" i="64"/>
  <c r="B60" i="65" s="1"/>
  <c r="B61" i="64"/>
  <c r="B61" i="66" s="1"/>
  <c r="B62" i="64"/>
  <c r="B62" i="66" s="1"/>
  <c r="B63" i="64"/>
  <c r="B64" i="64"/>
  <c r="B65" i="64"/>
  <c r="B66" i="64"/>
  <c r="B66" i="66" s="1"/>
  <c r="B67" i="64"/>
  <c r="B67" i="66" s="1"/>
  <c r="B68" i="64"/>
  <c r="B68" i="65" s="1"/>
  <c r="B69" i="64"/>
  <c r="B69" i="66" s="1"/>
  <c r="B70" i="64"/>
  <c r="B70" i="66" s="1"/>
  <c r="B71" i="64"/>
  <c r="B72" i="64"/>
  <c r="B73" i="64"/>
  <c r="B74" i="64"/>
  <c r="B74" i="66" s="1"/>
  <c r="B75" i="64"/>
  <c r="B75" i="66" s="1"/>
  <c r="B76" i="64"/>
  <c r="B76" i="65" s="1"/>
  <c r="B77" i="64"/>
  <c r="B77" i="66" s="1"/>
  <c r="B78" i="64"/>
  <c r="B78" i="66" s="1"/>
  <c r="B79" i="64"/>
  <c r="B80" i="64"/>
  <c r="B81" i="64"/>
  <c r="B82" i="64"/>
  <c r="B82" i="65" s="1"/>
  <c r="B83" i="64"/>
  <c r="B83" i="66" s="1"/>
  <c r="B84" i="64"/>
  <c r="B84" i="65" s="1"/>
  <c r="B85" i="64"/>
  <c r="B85" i="66" s="1"/>
  <c r="B86" i="64"/>
  <c r="B86" i="66" s="1"/>
  <c r="B87" i="64"/>
  <c r="B88" i="64"/>
  <c r="B89" i="64"/>
  <c r="B90" i="64"/>
  <c r="B90" i="65" s="1"/>
  <c r="B91" i="64"/>
  <c r="B91" i="66" s="1"/>
  <c r="B92" i="64"/>
  <c r="B92" i="65" s="1"/>
  <c r="B93" i="64"/>
  <c r="B93" i="66" s="1"/>
  <c r="B94" i="64"/>
  <c r="B94" i="66" s="1"/>
  <c r="B95" i="64"/>
  <c r="B96" i="64"/>
  <c r="B97" i="64"/>
  <c r="B98" i="64"/>
  <c r="B98" i="66" s="1"/>
  <c r="B99" i="64"/>
  <c r="B99" i="66" s="1"/>
  <c r="B100" i="64"/>
  <c r="B100" i="65" s="1"/>
  <c r="B101" i="64"/>
  <c r="B101" i="65" s="1"/>
  <c r="B102" i="64"/>
  <c r="B102" i="66" s="1"/>
  <c r="B103" i="64"/>
  <c r="B104" i="64"/>
  <c r="B105" i="64"/>
  <c r="B106" i="64"/>
  <c r="B106" i="66" s="1"/>
  <c r="B107" i="64"/>
  <c r="B107" i="66" s="1"/>
  <c r="B108" i="64"/>
  <c r="B108" i="65" s="1"/>
  <c r="B109" i="64"/>
  <c r="B109" i="66" s="1"/>
  <c r="B110" i="64"/>
  <c r="B110" i="66" s="1"/>
  <c r="B111" i="64"/>
  <c r="B112" i="64"/>
  <c r="B113" i="64"/>
  <c r="B114" i="64"/>
  <c r="B114" i="65" s="1"/>
  <c r="B115" i="64"/>
  <c r="B115" i="66" s="1"/>
  <c r="B116" i="64"/>
  <c r="B116" i="65" s="1"/>
  <c r="B117" i="64"/>
  <c r="B117" i="66" s="1"/>
  <c r="B118" i="64"/>
  <c r="B118" i="66" s="1"/>
  <c r="B119" i="64"/>
  <c r="B120" i="64"/>
  <c r="B120" i="66" s="1"/>
  <c r="B121" i="64"/>
  <c r="B122" i="64"/>
  <c r="B122" i="66" s="1"/>
  <c r="B123" i="64"/>
  <c r="B123" i="66" s="1"/>
  <c r="B124" i="64"/>
  <c r="B124" i="65" s="1"/>
  <c r="B125" i="64"/>
  <c r="B125" i="65" s="1"/>
  <c r="B126" i="64"/>
  <c r="B126" i="66" s="1"/>
  <c r="B127" i="64"/>
  <c r="B128" i="64"/>
  <c r="B128" i="66" s="1"/>
  <c r="B129" i="64"/>
  <c r="B130" i="64"/>
  <c r="B130" i="65" s="1"/>
  <c r="B131" i="64"/>
  <c r="B131" i="66" s="1"/>
  <c r="B132" i="64"/>
  <c r="B132" i="65" s="1"/>
  <c r="B133" i="64"/>
  <c r="B133" i="66" s="1"/>
  <c r="B134" i="64"/>
  <c r="B134" i="66" s="1"/>
  <c r="B135" i="64"/>
  <c r="B136" i="64"/>
  <c r="B136" i="66" s="1"/>
  <c r="B137" i="64"/>
  <c r="B138" i="64"/>
  <c r="B138" i="66" s="1"/>
  <c r="B139" i="64"/>
  <c r="B139" i="66" s="1"/>
  <c r="B140" i="64"/>
  <c r="B140" i="65" s="1"/>
  <c r="B141" i="64"/>
  <c r="B141" i="66" s="1"/>
  <c r="B142" i="64"/>
  <c r="B142" i="66" s="1"/>
  <c r="B143" i="64"/>
  <c r="B144" i="64"/>
  <c r="B144" i="66" s="1"/>
  <c r="B145" i="64"/>
  <c r="B146" i="64"/>
  <c r="B146" i="65" s="1"/>
  <c r="B147" i="64"/>
  <c r="B147" i="66" s="1"/>
  <c r="B148" i="64"/>
  <c r="A8" i="99"/>
  <c r="B8" i="99"/>
  <c r="C8" i="99"/>
  <c r="D8" i="99"/>
  <c r="E8" i="99"/>
  <c r="F8" i="99"/>
  <c r="G8" i="99"/>
  <c r="H8" i="99"/>
  <c r="I8" i="99"/>
  <c r="J8" i="99"/>
  <c r="K8" i="99"/>
  <c r="L8" i="99"/>
  <c r="A9" i="99"/>
  <c r="B9" i="99"/>
  <c r="C9" i="99"/>
  <c r="D9" i="99"/>
  <c r="E9" i="99"/>
  <c r="F9" i="99"/>
  <c r="G9" i="99"/>
  <c r="H9" i="99"/>
  <c r="I9" i="99"/>
  <c r="J9" i="99"/>
  <c r="K9" i="99"/>
  <c r="L9" i="99"/>
  <c r="A10" i="99"/>
  <c r="B10" i="99"/>
  <c r="C10" i="99"/>
  <c r="D10" i="99"/>
  <c r="E10" i="99"/>
  <c r="F10" i="99"/>
  <c r="G10" i="99"/>
  <c r="H10" i="99"/>
  <c r="I10" i="99"/>
  <c r="J10" i="99"/>
  <c r="K10" i="99"/>
  <c r="L10" i="99"/>
  <c r="A11" i="99"/>
  <c r="B11" i="99"/>
  <c r="C11" i="99"/>
  <c r="D11" i="99"/>
  <c r="E11" i="99"/>
  <c r="F11" i="99"/>
  <c r="G11" i="99"/>
  <c r="H11" i="99"/>
  <c r="I11" i="99"/>
  <c r="J11" i="99"/>
  <c r="K11" i="99"/>
  <c r="L11" i="99"/>
  <c r="A12" i="99"/>
  <c r="B12" i="99"/>
  <c r="C12" i="99"/>
  <c r="D12" i="99"/>
  <c r="E12" i="99"/>
  <c r="F12" i="99"/>
  <c r="G12" i="99"/>
  <c r="H12" i="99"/>
  <c r="I12" i="99"/>
  <c r="J12" i="99"/>
  <c r="K12" i="99"/>
  <c r="L12" i="99"/>
  <c r="A13" i="99"/>
  <c r="B13" i="99"/>
  <c r="C13" i="99"/>
  <c r="D13" i="99"/>
  <c r="E13" i="99"/>
  <c r="F13" i="99"/>
  <c r="G13" i="99"/>
  <c r="H13" i="99"/>
  <c r="I13" i="99"/>
  <c r="J13" i="99"/>
  <c r="K13" i="99"/>
  <c r="L13" i="99"/>
  <c r="A14" i="99"/>
  <c r="B14" i="99"/>
  <c r="C14" i="99"/>
  <c r="D14" i="99"/>
  <c r="E14" i="99"/>
  <c r="F14" i="99"/>
  <c r="G14" i="99"/>
  <c r="H14" i="99"/>
  <c r="I14" i="99"/>
  <c r="J14" i="99"/>
  <c r="K14" i="99"/>
  <c r="L14" i="99"/>
  <c r="A15" i="99"/>
  <c r="B15" i="99"/>
  <c r="C15" i="99"/>
  <c r="D15" i="99"/>
  <c r="E15" i="99"/>
  <c r="F15" i="99"/>
  <c r="G15" i="99"/>
  <c r="H15" i="99"/>
  <c r="I15" i="99"/>
  <c r="J15" i="99"/>
  <c r="K15" i="99"/>
  <c r="L15" i="99"/>
  <c r="A16" i="99"/>
  <c r="B16" i="99"/>
  <c r="C16" i="99"/>
  <c r="D16" i="99"/>
  <c r="E16" i="99"/>
  <c r="F16" i="99"/>
  <c r="G16" i="99"/>
  <c r="H16" i="99"/>
  <c r="I16" i="99"/>
  <c r="J16" i="99"/>
  <c r="K16" i="99"/>
  <c r="L16" i="99"/>
  <c r="A17" i="99"/>
  <c r="B17" i="99"/>
  <c r="C17" i="99"/>
  <c r="D17" i="99"/>
  <c r="E17" i="99"/>
  <c r="F17" i="99"/>
  <c r="G17" i="99"/>
  <c r="H17" i="99"/>
  <c r="I17" i="99"/>
  <c r="J17" i="99"/>
  <c r="K17" i="99"/>
  <c r="L17" i="99"/>
  <c r="A18" i="99"/>
  <c r="B18" i="99"/>
  <c r="C18" i="99"/>
  <c r="D18" i="99"/>
  <c r="E18" i="99"/>
  <c r="F18" i="99"/>
  <c r="G18" i="99"/>
  <c r="H18" i="99"/>
  <c r="I18" i="99"/>
  <c r="J18" i="99"/>
  <c r="K18" i="99"/>
  <c r="L18" i="99"/>
  <c r="A19" i="99"/>
  <c r="B19" i="99"/>
  <c r="C19" i="99"/>
  <c r="D19" i="99"/>
  <c r="E19" i="99"/>
  <c r="F19" i="99"/>
  <c r="G19" i="99"/>
  <c r="H19" i="99"/>
  <c r="I19" i="99"/>
  <c r="J19" i="99"/>
  <c r="K19" i="99"/>
  <c r="L19" i="99"/>
  <c r="A20" i="99"/>
  <c r="B20" i="99"/>
  <c r="C20" i="99"/>
  <c r="D20" i="99"/>
  <c r="E20" i="99"/>
  <c r="F20" i="99"/>
  <c r="G20" i="99"/>
  <c r="H20" i="99"/>
  <c r="I20" i="99"/>
  <c r="J20" i="99"/>
  <c r="K20" i="99"/>
  <c r="L20" i="99"/>
  <c r="A21" i="99"/>
  <c r="B21" i="99"/>
  <c r="C21" i="99"/>
  <c r="D21" i="99"/>
  <c r="E21" i="99"/>
  <c r="F21" i="99"/>
  <c r="G21" i="99"/>
  <c r="H21" i="99"/>
  <c r="I21" i="99"/>
  <c r="J21" i="99"/>
  <c r="K21" i="99"/>
  <c r="L21" i="99"/>
  <c r="A22" i="99"/>
  <c r="B22" i="99"/>
  <c r="C22" i="99"/>
  <c r="D22" i="99"/>
  <c r="E22" i="99"/>
  <c r="F22" i="99"/>
  <c r="G22" i="99"/>
  <c r="H22" i="99"/>
  <c r="I22" i="99"/>
  <c r="J22" i="99"/>
  <c r="K22" i="99"/>
  <c r="L22" i="99"/>
  <c r="A23" i="99"/>
  <c r="B23" i="99"/>
  <c r="C23" i="99"/>
  <c r="D23" i="99"/>
  <c r="E23" i="99"/>
  <c r="F23" i="99"/>
  <c r="G23" i="99"/>
  <c r="H23" i="99"/>
  <c r="I23" i="99"/>
  <c r="J23" i="99"/>
  <c r="K23" i="99"/>
  <c r="L23" i="99"/>
  <c r="A24" i="99"/>
  <c r="B24" i="99"/>
  <c r="C24" i="99"/>
  <c r="D24" i="99"/>
  <c r="E24" i="99"/>
  <c r="F24" i="99"/>
  <c r="G24" i="99"/>
  <c r="H24" i="99"/>
  <c r="I24" i="99"/>
  <c r="J24" i="99"/>
  <c r="K24" i="99"/>
  <c r="L24" i="99"/>
  <c r="A25" i="99"/>
  <c r="B25" i="99"/>
  <c r="C25" i="99"/>
  <c r="D25" i="99"/>
  <c r="E25" i="99"/>
  <c r="F25" i="99"/>
  <c r="G25" i="99"/>
  <c r="H25" i="99"/>
  <c r="I25" i="99"/>
  <c r="J25" i="99"/>
  <c r="K25" i="99"/>
  <c r="L25" i="99"/>
  <c r="A26" i="99"/>
  <c r="B26" i="99"/>
  <c r="C26" i="99"/>
  <c r="D26" i="99"/>
  <c r="E26" i="99"/>
  <c r="F26" i="99"/>
  <c r="G26" i="99"/>
  <c r="H26" i="99"/>
  <c r="I26" i="99"/>
  <c r="J26" i="99"/>
  <c r="K26" i="99"/>
  <c r="L26" i="99"/>
  <c r="A27" i="99"/>
  <c r="B27" i="99"/>
  <c r="C27" i="99"/>
  <c r="D27" i="99"/>
  <c r="E27" i="99"/>
  <c r="F27" i="99"/>
  <c r="G27" i="99"/>
  <c r="H27" i="99"/>
  <c r="I27" i="99"/>
  <c r="J27" i="99"/>
  <c r="K27" i="99"/>
  <c r="L27" i="99"/>
  <c r="A28" i="99"/>
  <c r="B28" i="99"/>
  <c r="C28" i="99"/>
  <c r="D28" i="99"/>
  <c r="E28" i="99"/>
  <c r="F28" i="99"/>
  <c r="G28" i="99"/>
  <c r="H28" i="99"/>
  <c r="I28" i="99"/>
  <c r="J28" i="99"/>
  <c r="K28" i="99"/>
  <c r="L28" i="99"/>
  <c r="A29" i="99"/>
  <c r="B29" i="99"/>
  <c r="C29" i="99"/>
  <c r="D29" i="99"/>
  <c r="E29" i="99"/>
  <c r="F29" i="99"/>
  <c r="G29" i="99"/>
  <c r="H29" i="99"/>
  <c r="I29" i="99"/>
  <c r="J29" i="99"/>
  <c r="K29" i="99"/>
  <c r="L29" i="99"/>
  <c r="A30" i="99"/>
  <c r="B30" i="99"/>
  <c r="C30" i="99"/>
  <c r="D30" i="99"/>
  <c r="E30" i="99"/>
  <c r="F30" i="99"/>
  <c r="G30" i="99"/>
  <c r="H30" i="99"/>
  <c r="I30" i="99"/>
  <c r="J30" i="99"/>
  <c r="K30" i="99"/>
  <c r="L30" i="99"/>
  <c r="A31" i="99"/>
  <c r="B31" i="99"/>
  <c r="C31" i="99"/>
  <c r="D31" i="99"/>
  <c r="E31" i="99"/>
  <c r="F31" i="99"/>
  <c r="G31" i="99"/>
  <c r="H31" i="99"/>
  <c r="I31" i="99"/>
  <c r="J31" i="99"/>
  <c r="K31" i="99"/>
  <c r="L31" i="99"/>
  <c r="A32" i="99"/>
  <c r="B32" i="99"/>
  <c r="C32" i="99"/>
  <c r="D32" i="99"/>
  <c r="E32" i="99"/>
  <c r="F32" i="99"/>
  <c r="G32" i="99"/>
  <c r="H32" i="99"/>
  <c r="I32" i="99"/>
  <c r="J32" i="99"/>
  <c r="K32" i="99"/>
  <c r="L32" i="99"/>
  <c r="A33" i="99"/>
  <c r="B33" i="99"/>
  <c r="C33" i="99"/>
  <c r="D33" i="99"/>
  <c r="E33" i="99"/>
  <c r="F33" i="99"/>
  <c r="G33" i="99"/>
  <c r="H33" i="99"/>
  <c r="I33" i="99"/>
  <c r="J33" i="99"/>
  <c r="K33" i="99"/>
  <c r="L33" i="99"/>
  <c r="A34" i="99"/>
  <c r="B34" i="99"/>
  <c r="C34" i="99"/>
  <c r="D34" i="99"/>
  <c r="E34" i="99"/>
  <c r="F34" i="99"/>
  <c r="G34" i="99"/>
  <c r="H34" i="99"/>
  <c r="I34" i="99"/>
  <c r="J34" i="99"/>
  <c r="K34" i="99"/>
  <c r="L34" i="99"/>
  <c r="A35" i="99"/>
  <c r="B35" i="99"/>
  <c r="C35" i="99"/>
  <c r="D35" i="99"/>
  <c r="E35" i="99"/>
  <c r="F35" i="99"/>
  <c r="G35" i="99"/>
  <c r="H35" i="99"/>
  <c r="I35" i="99"/>
  <c r="J35" i="99"/>
  <c r="K35" i="99"/>
  <c r="L35" i="99"/>
  <c r="A36" i="99"/>
  <c r="B36" i="99"/>
  <c r="C36" i="99"/>
  <c r="D36" i="99"/>
  <c r="E36" i="99"/>
  <c r="F36" i="99"/>
  <c r="G36" i="99"/>
  <c r="H36" i="99"/>
  <c r="I36" i="99"/>
  <c r="J36" i="99"/>
  <c r="K36" i="99"/>
  <c r="L36" i="99"/>
  <c r="A37" i="99"/>
  <c r="B37" i="99"/>
  <c r="C37" i="99"/>
  <c r="D37" i="99"/>
  <c r="E37" i="99"/>
  <c r="F37" i="99"/>
  <c r="G37" i="99"/>
  <c r="H37" i="99"/>
  <c r="I37" i="99"/>
  <c r="J37" i="99"/>
  <c r="K37" i="99"/>
  <c r="L37" i="99"/>
  <c r="A38" i="99"/>
  <c r="B38" i="99"/>
  <c r="C38" i="99"/>
  <c r="D38" i="99"/>
  <c r="E38" i="99"/>
  <c r="F38" i="99"/>
  <c r="G38" i="99"/>
  <c r="H38" i="99"/>
  <c r="I38" i="99"/>
  <c r="J38" i="99"/>
  <c r="K38" i="99"/>
  <c r="L38" i="99"/>
  <c r="A39" i="99"/>
  <c r="B39" i="99"/>
  <c r="C39" i="99"/>
  <c r="D39" i="99"/>
  <c r="E39" i="99"/>
  <c r="F39" i="99"/>
  <c r="G39" i="99"/>
  <c r="H39" i="99"/>
  <c r="I39" i="99"/>
  <c r="J39" i="99"/>
  <c r="K39" i="99"/>
  <c r="L39" i="99"/>
  <c r="A40" i="99"/>
  <c r="B40" i="99"/>
  <c r="C40" i="99"/>
  <c r="D40" i="99"/>
  <c r="E40" i="99"/>
  <c r="F40" i="99"/>
  <c r="G40" i="99"/>
  <c r="H40" i="99"/>
  <c r="I40" i="99"/>
  <c r="J40" i="99"/>
  <c r="K40" i="99"/>
  <c r="L40" i="99"/>
  <c r="A41" i="99"/>
  <c r="B41" i="99"/>
  <c r="C41" i="99"/>
  <c r="D41" i="99"/>
  <c r="E41" i="99"/>
  <c r="F41" i="99"/>
  <c r="G41" i="99"/>
  <c r="H41" i="99"/>
  <c r="I41" i="99"/>
  <c r="J41" i="99"/>
  <c r="K41" i="99"/>
  <c r="L41" i="99"/>
  <c r="A42" i="99"/>
  <c r="B42" i="99"/>
  <c r="C42" i="99"/>
  <c r="D42" i="99"/>
  <c r="E42" i="99"/>
  <c r="F42" i="99"/>
  <c r="G42" i="99"/>
  <c r="H42" i="99"/>
  <c r="I42" i="99"/>
  <c r="J42" i="99"/>
  <c r="K42" i="99"/>
  <c r="L42" i="99"/>
  <c r="A43" i="99"/>
  <c r="B43" i="99"/>
  <c r="C43" i="99"/>
  <c r="D43" i="99"/>
  <c r="E43" i="99"/>
  <c r="F43" i="99"/>
  <c r="G43" i="99"/>
  <c r="H43" i="99"/>
  <c r="I43" i="99"/>
  <c r="J43" i="99"/>
  <c r="K43" i="99"/>
  <c r="L43" i="99"/>
  <c r="A44" i="99"/>
  <c r="B44" i="99"/>
  <c r="C44" i="99"/>
  <c r="D44" i="99"/>
  <c r="E44" i="99"/>
  <c r="F44" i="99"/>
  <c r="G44" i="99"/>
  <c r="H44" i="99"/>
  <c r="I44" i="99"/>
  <c r="J44" i="99"/>
  <c r="K44" i="99"/>
  <c r="L44" i="99"/>
  <c r="A45" i="99"/>
  <c r="B45" i="99"/>
  <c r="C45" i="99"/>
  <c r="D45" i="99"/>
  <c r="E45" i="99"/>
  <c r="F45" i="99"/>
  <c r="G45" i="99"/>
  <c r="H45" i="99"/>
  <c r="I45" i="99"/>
  <c r="J45" i="99"/>
  <c r="K45" i="99"/>
  <c r="L45" i="99"/>
  <c r="A46" i="99"/>
  <c r="B46" i="99"/>
  <c r="C46" i="99"/>
  <c r="D46" i="99"/>
  <c r="E46" i="99"/>
  <c r="F46" i="99"/>
  <c r="G46" i="99"/>
  <c r="H46" i="99"/>
  <c r="I46" i="99"/>
  <c r="J46" i="99"/>
  <c r="K46" i="99"/>
  <c r="L46" i="99"/>
  <c r="A47" i="99"/>
  <c r="B47" i="99"/>
  <c r="C47" i="99"/>
  <c r="D47" i="99"/>
  <c r="E47" i="99"/>
  <c r="F47" i="99"/>
  <c r="G47" i="99"/>
  <c r="H47" i="99"/>
  <c r="I47" i="99"/>
  <c r="J47" i="99"/>
  <c r="K47" i="99"/>
  <c r="L47" i="99"/>
  <c r="A48" i="99"/>
  <c r="B48" i="99"/>
  <c r="C48" i="99"/>
  <c r="D48" i="99"/>
  <c r="E48" i="99"/>
  <c r="F48" i="99"/>
  <c r="G48" i="99"/>
  <c r="H48" i="99"/>
  <c r="I48" i="99"/>
  <c r="J48" i="99"/>
  <c r="K48" i="99"/>
  <c r="L48" i="99"/>
  <c r="A49" i="99"/>
  <c r="B49" i="99"/>
  <c r="C49" i="99"/>
  <c r="D49" i="99"/>
  <c r="E49" i="99"/>
  <c r="F49" i="99"/>
  <c r="G49" i="99"/>
  <c r="H49" i="99"/>
  <c r="I49" i="99"/>
  <c r="J49" i="99"/>
  <c r="K49" i="99"/>
  <c r="L49" i="99"/>
  <c r="A50" i="99"/>
  <c r="B50" i="99"/>
  <c r="C50" i="99"/>
  <c r="D50" i="99"/>
  <c r="E50" i="99"/>
  <c r="F50" i="99"/>
  <c r="G50" i="99"/>
  <c r="H50" i="99"/>
  <c r="I50" i="99"/>
  <c r="J50" i="99"/>
  <c r="K50" i="99"/>
  <c r="L50" i="99"/>
  <c r="A51" i="99"/>
  <c r="B51" i="99"/>
  <c r="C51" i="99"/>
  <c r="D51" i="99"/>
  <c r="E51" i="99"/>
  <c r="F51" i="99"/>
  <c r="G51" i="99"/>
  <c r="H51" i="99"/>
  <c r="I51" i="99"/>
  <c r="J51" i="99"/>
  <c r="K51" i="99"/>
  <c r="L51" i="99"/>
  <c r="A52" i="99"/>
  <c r="B52" i="99"/>
  <c r="C52" i="99"/>
  <c r="D52" i="99"/>
  <c r="E52" i="99"/>
  <c r="F52" i="99"/>
  <c r="G52" i="99"/>
  <c r="H52" i="99"/>
  <c r="I52" i="99"/>
  <c r="J52" i="99"/>
  <c r="K52" i="99"/>
  <c r="L52" i="99"/>
  <c r="A53" i="99"/>
  <c r="B53" i="99"/>
  <c r="C53" i="99"/>
  <c r="D53" i="99"/>
  <c r="E53" i="99"/>
  <c r="F53" i="99"/>
  <c r="G53" i="99"/>
  <c r="H53" i="99"/>
  <c r="I53" i="99"/>
  <c r="J53" i="99"/>
  <c r="K53" i="99"/>
  <c r="L53" i="99"/>
  <c r="A54" i="99"/>
  <c r="B54" i="99"/>
  <c r="C54" i="99"/>
  <c r="D54" i="99"/>
  <c r="E54" i="99"/>
  <c r="F54" i="99"/>
  <c r="G54" i="99"/>
  <c r="H54" i="99"/>
  <c r="I54" i="99"/>
  <c r="J54" i="99"/>
  <c r="K54" i="99"/>
  <c r="L54" i="99"/>
  <c r="A55" i="99"/>
  <c r="B55" i="99"/>
  <c r="C55" i="99"/>
  <c r="D55" i="99"/>
  <c r="E55" i="99"/>
  <c r="F55" i="99"/>
  <c r="G55" i="99"/>
  <c r="H55" i="99"/>
  <c r="I55" i="99"/>
  <c r="J55" i="99"/>
  <c r="K55" i="99"/>
  <c r="L55" i="99"/>
  <c r="A56" i="99"/>
  <c r="B56" i="99"/>
  <c r="C56" i="99"/>
  <c r="D56" i="99"/>
  <c r="E56" i="99"/>
  <c r="F56" i="99"/>
  <c r="G56" i="99"/>
  <c r="H56" i="99"/>
  <c r="I56" i="99"/>
  <c r="J56" i="99"/>
  <c r="K56" i="99"/>
  <c r="L56" i="99"/>
  <c r="A57" i="99"/>
  <c r="B57" i="99"/>
  <c r="C57" i="99"/>
  <c r="D57" i="99"/>
  <c r="E57" i="99"/>
  <c r="F57" i="99"/>
  <c r="G57" i="99"/>
  <c r="H57" i="99"/>
  <c r="I57" i="99"/>
  <c r="J57" i="99"/>
  <c r="K57" i="99"/>
  <c r="L57" i="99"/>
  <c r="A58" i="99"/>
  <c r="B58" i="99"/>
  <c r="C58" i="99"/>
  <c r="D58" i="99"/>
  <c r="E58" i="99"/>
  <c r="F58" i="99"/>
  <c r="G58" i="99"/>
  <c r="H58" i="99"/>
  <c r="I58" i="99"/>
  <c r="J58" i="99"/>
  <c r="K58" i="99"/>
  <c r="L58" i="99"/>
  <c r="A59" i="99"/>
  <c r="B59" i="99"/>
  <c r="C59" i="99"/>
  <c r="D59" i="99"/>
  <c r="E59" i="99"/>
  <c r="F59" i="99"/>
  <c r="G59" i="99"/>
  <c r="H59" i="99"/>
  <c r="I59" i="99"/>
  <c r="J59" i="99"/>
  <c r="K59" i="99"/>
  <c r="L59" i="99"/>
  <c r="A60" i="99"/>
  <c r="B60" i="99"/>
  <c r="C60" i="99"/>
  <c r="D60" i="99"/>
  <c r="E60" i="99"/>
  <c r="F60" i="99"/>
  <c r="G60" i="99"/>
  <c r="H60" i="99"/>
  <c r="I60" i="99"/>
  <c r="J60" i="99"/>
  <c r="K60" i="99"/>
  <c r="L60" i="99"/>
  <c r="A61" i="99"/>
  <c r="B61" i="99"/>
  <c r="C61" i="99"/>
  <c r="D61" i="99"/>
  <c r="E61" i="99"/>
  <c r="F61" i="99"/>
  <c r="G61" i="99"/>
  <c r="H61" i="99"/>
  <c r="I61" i="99"/>
  <c r="J61" i="99"/>
  <c r="K61" i="99"/>
  <c r="L61" i="99"/>
  <c r="A62" i="99"/>
  <c r="B62" i="99"/>
  <c r="C62" i="99"/>
  <c r="D62" i="99"/>
  <c r="E62" i="99"/>
  <c r="F62" i="99"/>
  <c r="G62" i="99"/>
  <c r="H62" i="99"/>
  <c r="I62" i="99"/>
  <c r="J62" i="99"/>
  <c r="K62" i="99"/>
  <c r="L62" i="99"/>
  <c r="A63" i="99"/>
  <c r="B63" i="99"/>
  <c r="C63" i="99"/>
  <c r="D63" i="99"/>
  <c r="E63" i="99"/>
  <c r="F63" i="99"/>
  <c r="G63" i="99"/>
  <c r="H63" i="99"/>
  <c r="I63" i="99"/>
  <c r="J63" i="99"/>
  <c r="K63" i="99"/>
  <c r="L63" i="99"/>
  <c r="A64" i="99"/>
  <c r="B64" i="99"/>
  <c r="C64" i="99"/>
  <c r="D64" i="99"/>
  <c r="E64" i="99"/>
  <c r="F64" i="99"/>
  <c r="G64" i="99"/>
  <c r="H64" i="99"/>
  <c r="I64" i="99"/>
  <c r="J64" i="99"/>
  <c r="K64" i="99"/>
  <c r="L64" i="99"/>
  <c r="A65" i="99"/>
  <c r="B65" i="99"/>
  <c r="C65" i="99"/>
  <c r="D65" i="99"/>
  <c r="E65" i="99"/>
  <c r="F65" i="99"/>
  <c r="G65" i="99"/>
  <c r="H65" i="99"/>
  <c r="I65" i="99"/>
  <c r="J65" i="99"/>
  <c r="K65" i="99"/>
  <c r="L65" i="99"/>
  <c r="A66" i="99"/>
  <c r="B66" i="99"/>
  <c r="C66" i="99"/>
  <c r="D66" i="99"/>
  <c r="E66" i="99"/>
  <c r="F66" i="99"/>
  <c r="G66" i="99"/>
  <c r="H66" i="99"/>
  <c r="I66" i="99"/>
  <c r="J66" i="99"/>
  <c r="K66" i="99"/>
  <c r="L66" i="99"/>
  <c r="A67" i="99"/>
  <c r="B67" i="99"/>
  <c r="C67" i="99"/>
  <c r="D67" i="99"/>
  <c r="E67" i="99"/>
  <c r="F67" i="99"/>
  <c r="G67" i="99"/>
  <c r="H67" i="99"/>
  <c r="I67" i="99"/>
  <c r="J67" i="99"/>
  <c r="K67" i="99"/>
  <c r="L67" i="99"/>
  <c r="A68" i="99"/>
  <c r="B68" i="99"/>
  <c r="C68" i="99"/>
  <c r="D68" i="99"/>
  <c r="E68" i="99"/>
  <c r="F68" i="99"/>
  <c r="G68" i="99"/>
  <c r="H68" i="99"/>
  <c r="I68" i="99"/>
  <c r="J68" i="99"/>
  <c r="K68" i="99"/>
  <c r="L68" i="99"/>
  <c r="A69" i="99"/>
  <c r="B69" i="99"/>
  <c r="C69" i="99"/>
  <c r="D69" i="99"/>
  <c r="E69" i="99"/>
  <c r="F69" i="99"/>
  <c r="G69" i="99"/>
  <c r="H69" i="99"/>
  <c r="I69" i="99"/>
  <c r="J69" i="99"/>
  <c r="K69" i="99"/>
  <c r="L69" i="99"/>
  <c r="A70" i="99"/>
  <c r="B70" i="99"/>
  <c r="C70" i="99"/>
  <c r="D70" i="99"/>
  <c r="E70" i="99"/>
  <c r="F70" i="99"/>
  <c r="G70" i="99"/>
  <c r="H70" i="99"/>
  <c r="I70" i="99"/>
  <c r="J70" i="99"/>
  <c r="K70" i="99"/>
  <c r="L70" i="99"/>
  <c r="A71" i="99"/>
  <c r="B71" i="99"/>
  <c r="C71" i="99"/>
  <c r="D71" i="99"/>
  <c r="E71" i="99"/>
  <c r="F71" i="99"/>
  <c r="G71" i="99"/>
  <c r="H71" i="99"/>
  <c r="I71" i="99"/>
  <c r="J71" i="99"/>
  <c r="K71" i="99"/>
  <c r="L71" i="99"/>
  <c r="A72" i="99"/>
  <c r="B72" i="99"/>
  <c r="C72" i="99"/>
  <c r="D72" i="99"/>
  <c r="E72" i="99"/>
  <c r="F72" i="99"/>
  <c r="G72" i="99"/>
  <c r="H72" i="99"/>
  <c r="I72" i="99"/>
  <c r="J72" i="99"/>
  <c r="K72" i="99"/>
  <c r="L72" i="99"/>
  <c r="A73" i="99"/>
  <c r="B73" i="99"/>
  <c r="C73" i="99"/>
  <c r="D73" i="99"/>
  <c r="E73" i="99"/>
  <c r="F73" i="99"/>
  <c r="G73" i="99"/>
  <c r="H73" i="99"/>
  <c r="I73" i="99"/>
  <c r="J73" i="99"/>
  <c r="K73" i="99"/>
  <c r="L73" i="99"/>
  <c r="A74" i="99"/>
  <c r="B74" i="99"/>
  <c r="C74" i="99"/>
  <c r="D74" i="99"/>
  <c r="E74" i="99"/>
  <c r="F74" i="99"/>
  <c r="G74" i="99"/>
  <c r="H74" i="99"/>
  <c r="I74" i="99"/>
  <c r="J74" i="99"/>
  <c r="K74" i="99"/>
  <c r="L74" i="99"/>
  <c r="A75" i="99"/>
  <c r="B75" i="99"/>
  <c r="C75" i="99"/>
  <c r="D75" i="99"/>
  <c r="E75" i="99"/>
  <c r="F75" i="99"/>
  <c r="G75" i="99"/>
  <c r="H75" i="99"/>
  <c r="I75" i="99"/>
  <c r="J75" i="99"/>
  <c r="K75" i="99"/>
  <c r="L75" i="99"/>
  <c r="A76" i="99"/>
  <c r="B76" i="99"/>
  <c r="C76" i="99"/>
  <c r="D76" i="99"/>
  <c r="E76" i="99"/>
  <c r="F76" i="99"/>
  <c r="G76" i="99"/>
  <c r="H76" i="99"/>
  <c r="I76" i="99"/>
  <c r="J76" i="99"/>
  <c r="K76" i="99"/>
  <c r="L76" i="99"/>
  <c r="A77" i="99"/>
  <c r="B77" i="99"/>
  <c r="C77" i="99"/>
  <c r="D77" i="99"/>
  <c r="E77" i="99"/>
  <c r="F77" i="99"/>
  <c r="G77" i="99"/>
  <c r="H77" i="99"/>
  <c r="I77" i="99"/>
  <c r="J77" i="99"/>
  <c r="K77" i="99"/>
  <c r="L77" i="99"/>
  <c r="A78" i="99"/>
  <c r="B78" i="99"/>
  <c r="C78" i="99"/>
  <c r="D78" i="99"/>
  <c r="E78" i="99"/>
  <c r="F78" i="99"/>
  <c r="G78" i="99"/>
  <c r="H78" i="99"/>
  <c r="I78" i="99"/>
  <c r="J78" i="99"/>
  <c r="K78" i="99"/>
  <c r="L78" i="99"/>
  <c r="A79" i="99"/>
  <c r="B79" i="99"/>
  <c r="C79" i="99"/>
  <c r="D79" i="99"/>
  <c r="E79" i="99"/>
  <c r="F79" i="99"/>
  <c r="G79" i="99"/>
  <c r="H79" i="99"/>
  <c r="I79" i="99"/>
  <c r="J79" i="99"/>
  <c r="K79" i="99"/>
  <c r="L79" i="99"/>
  <c r="A80" i="99"/>
  <c r="B80" i="99"/>
  <c r="C80" i="99"/>
  <c r="D80" i="99"/>
  <c r="E80" i="99"/>
  <c r="F80" i="99"/>
  <c r="G80" i="99"/>
  <c r="H80" i="99"/>
  <c r="I80" i="99"/>
  <c r="J80" i="99"/>
  <c r="K80" i="99"/>
  <c r="L80" i="99"/>
  <c r="A81" i="99"/>
  <c r="B81" i="99"/>
  <c r="C81" i="99"/>
  <c r="D81" i="99"/>
  <c r="E81" i="99"/>
  <c r="F81" i="99"/>
  <c r="G81" i="99"/>
  <c r="H81" i="99"/>
  <c r="I81" i="99"/>
  <c r="J81" i="99"/>
  <c r="K81" i="99"/>
  <c r="L81" i="99"/>
  <c r="A82" i="99"/>
  <c r="B82" i="99"/>
  <c r="C82" i="99"/>
  <c r="D82" i="99"/>
  <c r="E82" i="99"/>
  <c r="F82" i="99"/>
  <c r="G82" i="99"/>
  <c r="H82" i="99"/>
  <c r="I82" i="99"/>
  <c r="J82" i="99"/>
  <c r="K82" i="99"/>
  <c r="L82" i="99"/>
  <c r="A83" i="99"/>
  <c r="B83" i="99"/>
  <c r="C83" i="99"/>
  <c r="D83" i="99"/>
  <c r="E83" i="99"/>
  <c r="F83" i="99"/>
  <c r="G83" i="99"/>
  <c r="H83" i="99"/>
  <c r="I83" i="99"/>
  <c r="J83" i="99"/>
  <c r="K83" i="99"/>
  <c r="L83" i="99"/>
  <c r="A84" i="99"/>
  <c r="B84" i="99"/>
  <c r="C84" i="99"/>
  <c r="D84" i="99"/>
  <c r="E84" i="99"/>
  <c r="F84" i="99"/>
  <c r="G84" i="99"/>
  <c r="H84" i="99"/>
  <c r="I84" i="99"/>
  <c r="J84" i="99"/>
  <c r="K84" i="99"/>
  <c r="L84" i="99"/>
  <c r="A85" i="99"/>
  <c r="B85" i="99"/>
  <c r="C85" i="99"/>
  <c r="D85" i="99"/>
  <c r="E85" i="99"/>
  <c r="F85" i="99"/>
  <c r="G85" i="99"/>
  <c r="H85" i="99"/>
  <c r="I85" i="99"/>
  <c r="J85" i="99"/>
  <c r="K85" i="99"/>
  <c r="L85" i="99"/>
  <c r="A86" i="99"/>
  <c r="B86" i="99"/>
  <c r="C86" i="99"/>
  <c r="D86" i="99"/>
  <c r="E86" i="99"/>
  <c r="F86" i="99"/>
  <c r="G86" i="99"/>
  <c r="H86" i="99"/>
  <c r="I86" i="99"/>
  <c r="J86" i="99"/>
  <c r="K86" i="99"/>
  <c r="L86" i="99"/>
  <c r="A87" i="99"/>
  <c r="B87" i="99"/>
  <c r="C87" i="99"/>
  <c r="D87" i="99"/>
  <c r="E87" i="99"/>
  <c r="F87" i="99"/>
  <c r="G87" i="99"/>
  <c r="H87" i="99"/>
  <c r="I87" i="99"/>
  <c r="J87" i="99"/>
  <c r="K87" i="99"/>
  <c r="L87" i="99"/>
  <c r="A88" i="99"/>
  <c r="B88" i="99"/>
  <c r="C88" i="99"/>
  <c r="D88" i="99"/>
  <c r="E88" i="99"/>
  <c r="F88" i="99"/>
  <c r="G88" i="99"/>
  <c r="H88" i="99"/>
  <c r="I88" i="99"/>
  <c r="J88" i="99"/>
  <c r="K88" i="99"/>
  <c r="L88" i="99"/>
  <c r="A89" i="99"/>
  <c r="B89" i="99"/>
  <c r="C89" i="99"/>
  <c r="D89" i="99"/>
  <c r="E89" i="99"/>
  <c r="F89" i="99"/>
  <c r="G89" i="99"/>
  <c r="H89" i="99"/>
  <c r="I89" i="99"/>
  <c r="J89" i="99"/>
  <c r="K89" i="99"/>
  <c r="L89" i="99"/>
  <c r="A90" i="99"/>
  <c r="B90" i="99"/>
  <c r="C90" i="99"/>
  <c r="D90" i="99"/>
  <c r="E90" i="99"/>
  <c r="F90" i="99"/>
  <c r="G90" i="99"/>
  <c r="H90" i="99"/>
  <c r="I90" i="99"/>
  <c r="J90" i="99"/>
  <c r="K90" i="99"/>
  <c r="L90" i="99"/>
  <c r="A91" i="99"/>
  <c r="B91" i="99"/>
  <c r="C91" i="99"/>
  <c r="D91" i="99"/>
  <c r="E91" i="99"/>
  <c r="F91" i="99"/>
  <c r="G91" i="99"/>
  <c r="H91" i="99"/>
  <c r="I91" i="99"/>
  <c r="J91" i="99"/>
  <c r="K91" i="99"/>
  <c r="L91" i="99"/>
  <c r="A92" i="99"/>
  <c r="B92" i="99"/>
  <c r="C92" i="99"/>
  <c r="D92" i="99"/>
  <c r="E92" i="99"/>
  <c r="F92" i="99"/>
  <c r="G92" i="99"/>
  <c r="H92" i="99"/>
  <c r="I92" i="99"/>
  <c r="J92" i="99"/>
  <c r="K92" i="99"/>
  <c r="L92" i="99"/>
  <c r="A93" i="99"/>
  <c r="B93" i="99"/>
  <c r="C93" i="99"/>
  <c r="D93" i="99"/>
  <c r="E93" i="99"/>
  <c r="F93" i="99"/>
  <c r="G93" i="99"/>
  <c r="H93" i="99"/>
  <c r="I93" i="99"/>
  <c r="J93" i="99"/>
  <c r="K93" i="99"/>
  <c r="L93" i="99"/>
  <c r="A94" i="99"/>
  <c r="B94" i="99"/>
  <c r="C94" i="99"/>
  <c r="D94" i="99"/>
  <c r="E94" i="99"/>
  <c r="F94" i="99"/>
  <c r="G94" i="99"/>
  <c r="H94" i="99"/>
  <c r="I94" i="99"/>
  <c r="J94" i="99"/>
  <c r="K94" i="99"/>
  <c r="L94" i="99"/>
  <c r="A95" i="99"/>
  <c r="B95" i="99"/>
  <c r="C95" i="99"/>
  <c r="D95" i="99"/>
  <c r="E95" i="99"/>
  <c r="F95" i="99"/>
  <c r="G95" i="99"/>
  <c r="H95" i="99"/>
  <c r="I95" i="99"/>
  <c r="J95" i="99"/>
  <c r="K95" i="99"/>
  <c r="L95" i="99"/>
  <c r="A96" i="99"/>
  <c r="B96" i="99"/>
  <c r="C96" i="99"/>
  <c r="D96" i="99"/>
  <c r="E96" i="99"/>
  <c r="F96" i="99"/>
  <c r="G96" i="99"/>
  <c r="H96" i="99"/>
  <c r="I96" i="99"/>
  <c r="J96" i="99"/>
  <c r="K96" i="99"/>
  <c r="L96" i="99"/>
  <c r="A97" i="99"/>
  <c r="B97" i="99"/>
  <c r="C97" i="99"/>
  <c r="D97" i="99"/>
  <c r="E97" i="99"/>
  <c r="F97" i="99"/>
  <c r="G97" i="99"/>
  <c r="H97" i="99"/>
  <c r="I97" i="99"/>
  <c r="J97" i="99"/>
  <c r="K97" i="99"/>
  <c r="L97" i="99"/>
  <c r="A98" i="99"/>
  <c r="B98" i="99"/>
  <c r="C98" i="99"/>
  <c r="D98" i="99"/>
  <c r="E98" i="99"/>
  <c r="F98" i="99"/>
  <c r="G98" i="99"/>
  <c r="H98" i="99"/>
  <c r="I98" i="99"/>
  <c r="J98" i="99"/>
  <c r="K98" i="99"/>
  <c r="L98" i="99"/>
  <c r="A99" i="99"/>
  <c r="B99" i="99"/>
  <c r="C99" i="99"/>
  <c r="D99" i="99"/>
  <c r="E99" i="99"/>
  <c r="F99" i="99"/>
  <c r="G99" i="99"/>
  <c r="H99" i="99"/>
  <c r="I99" i="99"/>
  <c r="J99" i="99"/>
  <c r="K99" i="99"/>
  <c r="L99" i="99"/>
  <c r="A100" i="99"/>
  <c r="B100" i="99"/>
  <c r="C100" i="99"/>
  <c r="D100" i="99"/>
  <c r="E100" i="99"/>
  <c r="F100" i="99"/>
  <c r="G100" i="99"/>
  <c r="H100" i="99"/>
  <c r="I100" i="99"/>
  <c r="J100" i="99"/>
  <c r="K100" i="99"/>
  <c r="L100" i="99"/>
  <c r="A101" i="99"/>
  <c r="B101" i="99"/>
  <c r="C101" i="99"/>
  <c r="D101" i="99"/>
  <c r="E101" i="99"/>
  <c r="F101" i="99"/>
  <c r="G101" i="99"/>
  <c r="H101" i="99"/>
  <c r="I101" i="99"/>
  <c r="J101" i="99"/>
  <c r="K101" i="99"/>
  <c r="L101" i="99"/>
  <c r="A102" i="99"/>
  <c r="B102" i="99"/>
  <c r="C102" i="99"/>
  <c r="D102" i="99"/>
  <c r="E102" i="99"/>
  <c r="F102" i="99"/>
  <c r="G102" i="99"/>
  <c r="H102" i="99"/>
  <c r="I102" i="99"/>
  <c r="J102" i="99"/>
  <c r="K102" i="99"/>
  <c r="L102" i="99"/>
  <c r="A103" i="99"/>
  <c r="B103" i="99"/>
  <c r="C103" i="99"/>
  <c r="D103" i="99"/>
  <c r="E103" i="99"/>
  <c r="F103" i="99"/>
  <c r="G103" i="99"/>
  <c r="H103" i="99"/>
  <c r="I103" i="99"/>
  <c r="J103" i="99"/>
  <c r="K103" i="99"/>
  <c r="L103" i="99"/>
  <c r="A104" i="99"/>
  <c r="B104" i="99"/>
  <c r="C104" i="99"/>
  <c r="D104" i="99"/>
  <c r="E104" i="99"/>
  <c r="F104" i="99"/>
  <c r="G104" i="99"/>
  <c r="H104" i="99"/>
  <c r="I104" i="99"/>
  <c r="J104" i="99"/>
  <c r="K104" i="99"/>
  <c r="L104" i="99"/>
  <c r="A105" i="99"/>
  <c r="B105" i="99"/>
  <c r="C105" i="99"/>
  <c r="D105" i="99"/>
  <c r="E105" i="99"/>
  <c r="F105" i="99"/>
  <c r="G105" i="99"/>
  <c r="H105" i="99"/>
  <c r="I105" i="99"/>
  <c r="J105" i="99"/>
  <c r="K105" i="99"/>
  <c r="L105" i="99"/>
  <c r="A106" i="99"/>
  <c r="B106" i="99"/>
  <c r="C106" i="99"/>
  <c r="D106" i="99"/>
  <c r="E106" i="99"/>
  <c r="F106" i="99"/>
  <c r="G106" i="99"/>
  <c r="H106" i="99"/>
  <c r="I106" i="99"/>
  <c r="J106" i="99"/>
  <c r="K106" i="99"/>
  <c r="L106" i="99"/>
  <c r="A107" i="99"/>
  <c r="B107" i="99"/>
  <c r="C107" i="99"/>
  <c r="D107" i="99"/>
  <c r="E107" i="99"/>
  <c r="F107" i="99"/>
  <c r="G107" i="99"/>
  <c r="H107" i="99"/>
  <c r="I107" i="99"/>
  <c r="J107" i="99"/>
  <c r="K107" i="99"/>
  <c r="L107" i="99"/>
  <c r="A108" i="99"/>
  <c r="B108" i="99"/>
  <c r="C108" i="99"/>
  <c r="D108" i="99"/>
  <c r="E108" i="99"/>
  <c r="F108" i="99"/>
  <c r="G108" i="99"/>
  <c r="H108" i="99"/>
  <c r="I108" i="99"/>
  <c r="J108" i="99"/>
  <c r="K108" i="99"/>
  <c r="L108" i="99"/>
  <c r="A109" i="99"/>
  <c r="B109" i="99"/>
  <c r="C109" i="99"/>
  <c r="D109" i="99"/>
  <c r="E109" i="99"/>
  <c r="F109" i="99"/>
  <c r="G109" i="99"/>
  <c r="H109" i="99"/>
  <c r="I109" i="99"/>
  <c r="J109" i="99"/>
  <c r="K109" i="99"/>
  <c r="L109" i="99"/>
  <c r="A110" i="99"/>
  <c r="B110" i="99"/>
  <c r="C110" i="99"/>
  <c r="D110" i="99"/>
  <c r="E110" i="99"/>
  <c r="F110" i="99"/>
  <c r="G110" i="99"/>
  <c r="H110" i="99"/>
  <c r="I110" i="99"/>
  <c r="J110" i="99"/>
  <c r="K110" i="99"/>
  <c r="L110" i="99"/>
  <c r="A111" i="99"/>
  <c r="B111" i="99"/>
  <c r="C111" i="99"/>
  <c r="D111" i="99"/>
  <c r="E111" i="99"/>
  <c r="F111" i="99"/>
  <c r="G111" i="99"/>
  <c r="H111" i="99"/>
  <c r="I111" i="99"/>
  <c r="J111" i="99"/>
  <c r="K111" i="99"/>
  <c r="L111" i="99"/>
  <c r="A112" i="99"/>
  <c r="B112" i="99"/>
  <c r="C112" i="99"/>
  <c r="D112" i="99"/>
  <c r="E112" i="99"/>
  <c r="F112" i="99"/>
  <c r="G112" i="99"/>
  <c r="H112" i="99"/>
  <c r="I112" i="99"/>
  <c r="J112" i="99"/>
  <c r="K112" i="99"/>
  <c r="L112" i="99"/>
  <c r="A113" i="99"/>
  <c r="B113" i="99"/>
  <c r="C113" i="99"/>
  <c r="D113" i="99"/>
  <c r="E113" i="99"/>
  <c r="F113" i="99"/>
  <c r="G113" i="99"/>
  <c r="H113" i="99"/>
  <c r="I113" i="99"/>
  <c r="J113" i="99"/>
  <c r="K113" i="99"/>
  <c r="L113" i="99"/>
  <c r="A114" i="99"/>
  <c r="B114" i="99"/>
  <c r="C114" i="99"/>
  <c r="D114" i="99"/>
  <c r="E114" i="99"/>
  <c r="F114" i="99"/>
  <c r="G114" i="99"/>
  <c r="H114" i="99"/>
  <c r="I114" i="99"/>
  <c r="J114" i="99"/>
  <c r="K114" i="99"/>
  <c r="L114" i="99"/>
  <c r="A115" i="99"/>
  <c r="B115" i="99"/>
  <c r="C115" i="99"/>
  <c r="D115" i="99"/>
  <c r="E115" i="99"/>
  <c r="F115" i="99"/>
  <c r="G115" i="99"/>
  <c r="H115" i="99"/>
  <c r="I115" i="99"/>
  <c r="J115" i="99"/>
  <c r="K115" i="99"/>
  <c r="L115" i="99"/>
  <c r="A116" i="99"/>
  <c r="B116" i="99"/>
  <c r="C116" i="99"/>
  <c r="D116" i="99"/>
  <c r="E116" i="99"/>
  <c r="F116" i="99"/>
  <c r="G116" i="99"/>
  <c r="H116" i="99"/>
  <c r="I116" i="99"/>
  <c r="J116" i="99"/>
  <c r="K116" i="99"/>
  <c r="L116" i="99"/>
  <c r="A117" i="99"/>
  <c r="B117" i="99"/>
  <c r="C117" i="99"/>
  <c r="D117" i="99"/>
  <c r="E117" i="99"/>
  <c r="F117" i="99"/>
  <c r="G117" i="99"/>
  <c r="H117" i="99"/>
  <c r="I117" i="99"/>
  <c r="J117" i="99"/>
  <c r="K117" i="99"/>
  <c r="L117" i="99"/>
  <c r="A118" i="99"/>
  <c r="B118" i="99"/>
  <c r="C118" i="99"/>
  <c r="D118" i="99"/>
  <c r="E118" i="99"/>
  <c r="F118" i="99"/>
  <c r="G118" i="99"/>
  <c r="H118" i="99"/>
  <c r="I118" i="99"/>
  <c r="J118" i="99"/>
  <c r="K118" i="99"/>
  <c r="L118" i="99"/>
  <c r="A119" i="99"/>
  <c r="B119" i="99"/>
  <c r="C119" i="99"/>
  <c r="D119" i="99"/>
  <c r="E119" i="99"/>
  <c r="F119" i="99"/>
  <c r="G119" i="99"/>
  <c r="H119" i="99"/>
  <c r="I119" i="99"/>
  <c r="J119" i="99"/>
  <c r="K119" i="99"/>
  <c r="L119" i="99"/>
  <c r="A120" i="99"/>
  <c r="B120" i="99"/>
  <c r="C120" i="99"/>
  <c r="D120" i="99"/>
  <c r="E120" i="99"/>
  <c r="F120" i="99"/>
  <c r="G120" i="99"/>
  <c r="H120" i="99"/>
  <c r="I120" i="99"/>
  <c r="J120" i="99"/>
  <c r="K120" i="99"/>
  <c r="L120" i="99"/>
  <c r="A121" i="99"/>
  <c r="B121" i="99"/>
  <c r="C121" i="99"/>
  <c r="D121" i="99"/>
  <c r="E121" i="99"/>
  <c r="F121" i="99"/>
  <c r="G121" i="99"/>
  <c r="H121" i="99"/>
  <c r="I121" i="99"/>
  <c r="J121" i="99"/>
  <c r="K121" i="99"/>
  <c r="L121" i="99"/>
  <c r="A122" i="99"/>
  <c r="B122" i="99"/>
  <c r="C122" i="99"/>
  <c r="D122" i="99"/>
  <c r="E122" i="99"/>
  <c r="F122" i="99"/>
  <c r="G122" i="99"/>
  <c r="H122" i="99"/>
  <c r="I122" i="99"/>
  <c r="J122" i="99"/>
  <c r="K122" i="99"/>
  <c r="L122" i="99"/>
  <c r="A123" i="99"/>
  <c r="B123" i="99"/>
  <c r="C123" i="99"/>
  <c r="D123" i="99"/>
  <c r="E123" i="99"/>
  <c r="F123" i="99"/>
  <c r="G123" i="99"/>
  <c r="H123" i="99"/>
  <c r="I123" i="99"/>
  <c r="J123" i="99"/>
  <c r="K123" i="99"/>
  <c r="L123" i="99"/>
  <c r="A124" i="99"/>
  <c r="B124" i="99"/>
  <c r="C124" i="99"/>
  <c r="D124" i="99"/>
  <c r="E124" i="99"/>
  <c r="F124" i="99"/>
  <c r="G124" i="99"/>
  <c r="H124" i="99"/>
  <c r="I124" i="99"/>
  <c r="J124" i="99"/>
  <c r="K124" i="99"/>
  <c r="L124" i="99"/>
  <c r="A125" i="99"/>
  <c r="B125" i="99"/>
  <c r="C125" i="99"/>
  <c r="D125" i="99"/>
  <c r="E125" i="99"/>
  <c r="F125" i="99"/>
  <c r="G125" i="99"/>
  <c r="H125" i="99"/>
  <c r="I125" i="99"/>
  <c r="J125" i="99"/>
  <c r="K125" i="99"/>
  <c r="L125" i="99"/>
  <c r="A126" i="99"/>
  <c r="B126" i="99"/>
  <c r="C126" i="99"/>
  <c r="D126" i="99"/>
  <c r="E126" i="99"/>
  <c r="F126" i="99"/>
  <c r="G126" i="99"/>
  <c r="H126" i="99"/>
  <c r="I126" i="99"/>
  <c r="J126" i="99"/>
  <c r="K126" i="99"/>
  <c r="L126" i="99"/>
  <c r="A127" i="99"/>
  <c r="B127" i="99"/>
  <c r="C127" i="99"/>
  <c r="D127" i="99"/>
  <c r="E127" i="99"/>
  <c r="F127" i="99"/>
  <c r="G127" i="99"/>
  <c r="H127" i="99"/>
  <c r="I127" i="99"/>
  <c r="J127" i="99"/>
  <c r="K127" i="99"/>
  <c r="L127" i="99"/>
  <c r="A128" i="99"/>
  <c r="B128" i="99"/>
  <c r="C128" i="99"/>
  <c r="D128" i="99"/>
  <c r="E128" i="99"/>
  <c r="F128" i="99"/>
  <c r="G128" i="99"/>
  <c r="H128" i="99"/>
  <c r="I128" i="99"/>
  <c r="J128" i="99"/>
  <c r="K128" i="99"/>
  <c r="L128" i="99"/>
  <c r="A129" i="99"/>
  <c r="B129" i="99"/>
  <c r="C129" i="99"/>
  <c r="D129" i="99"/>
  <c r="E129" i="99"/>
  <c r="F129" i="99"/>
  <c r="G129" i="99"/>
  <c r="H129" i="99"/>
  <c r="I129" i="99"/>
  <c r="J129" i="99"/>
  <c r="K129" i="99"/>
  <c r="L129" i="99"/>
  <c r="A130" i="99"/>
  <c r="B130" i="99"/>
  <c r="C130" i="99"/>
  <c r="D130" i="99"/>
  <c r="E130" i="99"/>
  <c r="F130" i="99"/>
  <c r="G130" i="99"/>
  <c r="H130" i="99"/>
  <c r="I130" i="99"/>
  <c r="J130" i="99"/>
  <c r="K130" i="99"/>
  <c r="L130" i="99"/>
  <c r="A131" i="99"/>
  <c r="B131" i="99"/>
  <c r="C131" i="99"/>
  <c r="D131" i="99"/>
  <c r="E131" i="99"/>
  <c r="F131" i="99"/>
  <c r="G131" i="99"/>
  <c r="H131" i="99"/>
  <c r="I131" i="99"/>
  <c r="J131" i="99"/>
  <c r="K131" i="99"/>
  <c r="L131" i="99"/>
  <c r="A132" i="99"/>
  <c r="B132" i="99"/>
  <c r="C132" i="99"/>
  <c r="D132" i="99"/>
  <c r="E132" i="99"/>
  <c r="F132" i="99"/>
  <c r="G132" i="99"/>
  <c r="H132" i="99"/>
  <c r="I132" i="99"/>
  <c r="J132" i="99"/>
  <c r="K132" i="99"/>
  <c r="L132" i="99"/>
  <c r="A133" i="99"/>
  <c r="B133" i="99"/>
  <c r="C133" i="99"/>
  <c r="D133" i="99"/>
  <c r="E133" i="99"/>
  <c r="F133" i="99"/>
  <c r="G133" i="99"/>
  <c r="H133" i="99"/>
  <c r="I133" i="99"/>
  <c r="J133" i="99"/>
  <c r="K133" i="99"/>
  <c r="L133" i="99"/>
  <c r="A134" i="99"/>
  <c r="B134" i="99"/>
  <c r="C134" i="99"/>
  <c r="D134" i="99"/>
  <c r="E134" i="99"/>
  <c r="F134" i="99"/>
  <c r="G134" i="99"/>
  <c r="H134" i="99"/>
  <c r="I134" i="99"/>
  <c r="J134" i="99"/>
  <c r="K134" i="99"/>
  <c r="L134" i="99"/>
  <c r="A135" i="99"/>
  <c r="B135" i="99"/>
  <c r="C135" i="99"/>
  <c r="D135" i="99"/>
  <c r="E135" i="99"/>
  <c r="F135" i="99"/>
  <c r="G135" i="99"/>
  <c r="H135" i="99"/>
  <c r="I135" i="99"/>
  <c r="J135" i="99"/>
  <c r="K135" i="99"/>
  <c r="L135" i="99"/>
  <c r="A136" i="99"/>
  <c r="B136" i="99"/>
  <c r="C136" i="99"/>
  <c r="D136" i="99"/>
  <c r="E136" i="99"/>
  <c r="F136" i="99"/>
  <c r="G136" i="99"/>
  <c r="H136" i="99"/>
  <c r="I136" i="99"/>
  <c r="J136" i="99"/>
  <c r="K136" i="99"/>
  <c r="L136" i="99"/>
  <c r="A137" i="99"/>
  <c r="B137" i="99"/>
  <c r="C137" i="99"/>
  <c r="D137" i="99"/>
  <c r="E137" i="99"/>
  <c r="F137" i="99"/>
  <c r="G137" i="99"/>
  <c r="H137" i="99"/>
  <c r="I137" i="99"/>
  <c r="J137" i="99"/>
  <c r="K137" i="99"/>
  <c r="L137" i="99"/>
  <c r="A138" i="99"/>
  <c r="B138" i="99"/>
  <c r="C138" i="99"/>
  <c r="D138" i="99"/>
  <c r="E138" i="99"/>
  <c r="F138" i="99"/>
  <c r="G138" i="99"/>
  <c r="H138" i="99"/>
  <c r="I138" i="99"/>
  <c r="J138" i="99"/>
  <c r="K138" i="99"/>
  <c r="L138" i="99"/>
  <c r="A139" i="99"/>
  <c r="B139" i="99"/>
  <c r="C139" i="99"/>
  <c r="D139" i="99"/>
  <c r="E139" i="99"/>
  <c r="F139" i="99"/>
  <c r="G139" i="99"/>
  <c r="H139" i="99"/>
  <c r="I139" i="99"/>
  <c r="J139" i="99"/>
  <c r="K139" i="99"/>
  <c r="L139" i="99"/>
  <c r="B7" i="99"/>
  <c r="C7" i="99"/>
  <c r="D7" i="99"/>
  <c r="E7" i="99"/>
  <c r="F7" i="99"/>
  <c r="G7" i="99"/>
  <c r="H7" i="99"/>
  <c r="I7" i="99"/>
  <c r="J7" i="99"/>
  <c r="K7" i="99"/>
  <c r="L7" i="99"/>
  <c r="A7" i="99"/>
  <c r="A21" i="65" l="1"/>
  <c r="C19" i="65"/>
  <c r="A123" i="65"/>
  <c r="C132" i="66"/>
  <c r="B115" i="65"/>
  <c r="A86" i="65"/>
  <c r="C85" i="65"/>
  <c r="B90" i="66"/>
  <c r="B132" i="66"/>
  <c r="A92" i="66"/>
  <c r="B58" i="65"/>
  <c r="B44" i="66"/>
  <c r="A53" i="65"/>
  <c r="A44" i="66"/>
  <c r="C139" i="65"/>
  <c r="A115" i="65"/>
  <c r="B83" i="65"/>
  <c r="C51" i="65"/>
  <c r="A19" i="65"/>
  <c r="A117" i="66"/>
  <c r="C84" i="66"/>
  <c r="B42" i="66"/>
  <c r="A139" i="65"/>
  <c r="C107" i="65"/>
  <c r="A83" i="65"/>
  <c r="A43" i="65"/>
  <c r="B18" i="65"/>
  <c r="C116" i="66"/>
  <c r="B84" i="66"/>
  <c r="C28" i="66"/>
  <c r="B138" i="65"/>
  <c r="B106" i="65"/>
  <c r="B74" i="65"/>
  <c r="B11" i="65"/>
  <c r="A116" i="66"/>
  <c r="C68" i="66"/>
  <c r="B28" i="66"/>
  <c r="C125" i="65"/>
  <c r="B99" i="65"/>
  <c r="A69" i="65"/>
  <c r="B37" i="65"/>
  <c r="A11" i="65"/>
  <c r="B114" i="66"/>
  <c r="C60" i="66"/>
  <c r="A28" i="66"/>
  <c r="C123" i="65"/>
  <c r="A99" i="65"/>
  <c r="C67" i="65"/>
  <c r="A37" i="65"/>
  <c r="A5" i="66"/>
  <c r="C100" i="66"/>
  <c r="B60" i="66"/>
  <c r="B123" i="65"/>
  <c r="B98" i="65"/>
  <c r="A59" i="65"/>
  <c r="C35" i="65"/>
  <c r="A140" i="66"/>
  <c r="A100" i="66"/>
  <c r="A60" i="66"/>
  <c r="C20" i="66"/>
  <c r="A104" i="66"/>
  <c r="A48" i="66"/>
  <c r="C96" i="65"/>
  <c r="A132" i="66"/>
  <c r="C98" i="66"/>
  <c r="B136" i="65"/>
  <c r="B122" i="65"/>
  <c r="A105" i="65"/>
  <c r="C93" i="65"/>
  <c r="A81" i="65"/>
  <c r="A67" i="65"/>
  <c r="A17" i="65"/>
  <c r="C5" i="66"/>
  <c r="B130" i="66"/>
  <c r="A112" i="66"/>
  <c r="A84" i="66"/>
  <c r="A40" i="66"/>
  <c r="A9" i="65"/>
  <c r="C136" i="65"/>
  <c r="B67" i="65"/>
  <c r="C147" i="65"/>
  <c r="B131" i="65"/>
  <c r="C120" i="65"/>
  <c r="C104" i="65"/>
  <c r="C91" i="65"/>
  <c r="C80" i="65"/>
  <c r="C64" i="65"/>
  <c r="A51" i="65"/>
  <c r="B34" i="65"/>
  <c r="C16" i="65"/>
  <c r="B146" i="66"/>
  <c r="B124" i="66"/>
  <c r="C108" i="66"/>
  <c r="A96" i="66"/>
  <c r="A77" i="66"/>
  <c r="B52" i="66"/>
  <c r="B36" i="66"/>
  <c r="B13" i="66"/>
  <c r="A131" i="65"/>
  <c r="A118" i="65"/>
  <c r="C101" i="65"/>
  <c r="A91" i="65"/>
  <c r="B75" i="65"/>
  <c r="C61" i="65"/>
  <c r="B50" i="65"/>
  <c r="C27" i="65"/>
  <c r="A13" i="65"/>
  <c r="C140" i="66"/>
  <c r="A124" i="66"/>
  <c r="A108" i="66"/>
  <c r="A93" i="66"/>
  <c r="C76" i="66"/>
  <c r="A52" i="66"/>
  <c r="A36" i="66"/>
  <c r="C56" i="65"/>
  <c r="C141" i="65"/>
  <c r="C117" i="65"/>
  <c r="C99" i="65"/>
  <c r="A75" i="65"/>
  <c r="C59" i="65"/>
  <c r="B43" i="65"/>
  <c r="B26" i="65"/>
  <c r="C11" i="65"/>
  <c r="B140" i="66"/>
  <c r="B92" i="66"/>
  <c r="C12" i="66"/>
  <c r="B30" i="65"/>
  <c r="B141" i="65"/>
  <c r="A110" i="65"/>
  <c r="B93" i="65"/>
  <c r="B61" i="65"/>
  <c r="B54" i="65"/>
  <c r="A30" i="65"/>
  <c r="B134" i="65"/>
  <c r="B85" i="65"/>
  <c r="A54" i="65"/>
  <c r="C29" i="65"/>
  <c r="C146" i="66"/>
  <c r="C90" i="66"/>
  <c r="B76" i="66"/>
  <c r="C34" i="66"/>
  <c r="B22" i="65"/>
  <c r="B148" i="65"/>
  <c r="B148" i="66"/>
  <c r="A141" i="65"/>
  <c r="B117" i="65"/>
  <c r="C109" i="65"/>
  <c r="B78" i="65"/>
  <c r="A61" i="65"/>
  <c r="B46" i="65"/>
  <c r="A22" i="65"/>
  <c r="B68" i="66"/>
  <c r="B20" i="66"/>
  <c r="A148" i="65"/>
  <c r="A148" i="66"/>
  <c r="C148" i="65"/>
  <c r="C148" i="66"/>
  <c r="B147" i="65"/>
  <c r="A134" i="65"/>
  <c r="B126" i="65"/>
  <c r="B109" i="65"/>
  <c r="B102" i="65"/>
  <c r="A85" i="65"/>
  <c r="A78" i="65"/>
  <c r="A73" i="65"/>
  <c r="C53" i="65"/>
  <c r="A46" i="65"/>
  <c r="A41" i="65"/>
  <c r="B35" i="65"/>
  <c r="B29" i="65"/>
  <c r="C21" i="65"/>
  <c r="C138" i="66"/>
  <c r="C119" i="66"/>
  <c r="C111" i="66"/>
  <c r="C103" i="66"/>
  <c r="C82" i="66"/>
  <c r="A76" i="66"/>
  <c r="A68" i="66"/>
  <c r="C26" i="66"/>
  <c r="A20" i="66"/>
  <c r="B12" i="66"/>
  <c r="A147" i="65"/>
  <c r="B139" i="65"/>
  <c r="C133" i="65"/>
  <c r="A126" i="65"/>
  <c r="A121" i="65"/>
  <c r="C115" i="65"/>
  <c r="A109" i="65"/>
  <c r="A102" i="65"/>
  <c r="A97" i="65"/>
  <c r="B91" i="65"/>
  <c r="C83" i="65"/>
  <c r="C77" i="65"/>
  <c r="B70" i="65"/>
  <c r="B66" i="65"/>
  <c r="B59" i="65"/>
  <c r="B53" i="65"/>
  <c r="C45" i="65"/>
  <c r="C40" i="65"/>
  <c r="A35" i="65"/>
  <c r="A29" i="65"/>
  <c r="B21" i="65"/>
  <c r="B14" i="65"/>
  <c r="B10" i="65"/>
  <c r="A144" i="66"/>
  <c r="C127" i="66"/>
  <c r="B101" i="66"/>
  <c r="C95" i="66"/>
  <c r="A88" i="66"/>
  <c r="B82" i="66"/>
  <c r="C74" i="66"/>
  <c r="C55" i="66"/>
  <c r="C47" i="66"/>
  <c r="C39" i="66"/>
  <c r="A32" i="66"/>
  <c r="C18" i="66"/>
  <c r="A12" i="66"/>
  <c r="A101" i="66"/>
  <c r="C87" i="66"/>
  <c r="A80" i="66"/>
  <c r="C63" i="66"/>
  <c r="B45" i="66"/>
  <c r="C31" i="66"/>
  <c r="A24" i="66"/>
  <c r="C10" i="66"/>
  <c r="C79" i="66"/>
  <c r="C71" i="66"/>
  <c r="A45" i="66"/>
  <c r="C23" i="66"/>
  <c r="A16" i="66"/>
  <c r="B110" i="65"/>
  <c r="B133" i="65"/>
  <c r="B77" i="65"/>
  <c r="A70" i="65"/>
  <c r="B38" i="65"/>
  <c r="A14" i="65"/>
  <c r="C143" i="66"/>
  <c r="C135" i="66"/>
  <c r="B125" i="66"/>
  <c r="E158" i="64"/>
  <c r="E158" i="66" s="1"/>
  <c r="K150" i="64"/>
  <c r="K150" i="66" s="1"/>
  <c r="F149" i="64"/>
  <c r="F149" i="66" s="1"/>
  <c r="F157" i="64"/>
  <c r="F157" i="66" s="1"/>
  <c r="E152" i="64"/>
  <c r="E152" i="66" s="1"/>
  <c r="E150" i="64"/>
  <c r="E150" i="66" s="1"/>
  <c r="G152" i="64"/>
  <c r="G152" i="66" s="1"/>
  <c r="F158" i="64"/>
  <c r="F158" i="66" s="1"/>
  <c r="J153" i="64"/>
  <c r="J153" i="66" s="1"/>
  <c r="H151" i="64"/>
  <c r="H151" i="66" s="1"/>
  <c r="I158" i="64"/>
  <c r="I158" i="66" s="1"/>
  <c r="K149" i="64"/>
  <c r="K149" i="66" s="1"/>
  <c r="J149" i="64"/>
  <c r="J149" i="66" s="1"/>
  <c r="I157" i="64"/>
  <c r="I157" i="66" s="1"/>
  <c r="H149" i="64"/>
  <c r="H149" i="66" s="1"/>
  <c r="J156" i="64"/>
  <c r="J156" i="66" s="1"/>
  <c r="F154" i="64"/>
  <c r="F154" i="66" s="1"/>
  <c r="F151" i="64"/>
  <c r="F151" i="66" s="1"/>
  <c r="F150" i="64"/>
  <c r="F150" i="66" s="1"/>
  <c r="J154" i="64"/>
  <c r="J154" i="66" s="1"/>
  <c r="J157" i="64"/>
  <c r="J157" i="66" s="1"/>
  <c r="K158" i="64"/>
  <c r="K158" i="66" s="1"/>
  <c r="F155" i="64"/>
  <c r="F155" i="66" s="1"/>
  <c r="H154" i="64"/>
  <c r="H154" i="66" s="1"/>
  <c r="I153" i="64"/>
  <c r="I153" i="66" s="1"/>
  <c r="K157" i="64"/>
  <c r="K157" i="66" s="1"/>
  <c r="H155" i="64"/>
  <c r="H155" i="66" s="1"/>
  <c r="H158" i="64"/>
  <c r="H158" i="66" s="1"/>
  <c r="I152" i="64"/>
  <c r="I152" i="66" s="1"/>
  <c r="K153" i="64"/>
  <c r="K153" i="66" s="1"/>
  <c r="G151" i="64"/>
  <c r="G151" i="66" s="1"/>
  <c r="F156" i="64"/>
  <c r="F156" i="66" s="1"/>
  <c r="I155" i="64"/>
  <c r="I155" i="66" s="1"/>
  <c r="J155" i="64"/>
  <c r="J155" i="66" s="1"/>
  <c r="G154" i="64"/>
  <c r="G154" i="66" s="1"/>
  <c r="I156" i="64"/>
  <c r="I156" i="66" s="1"/>
  <c r="J151" i="64"/>
  <c r="J151" i="66" s="1"/>
  <c r="F152" i="64"/>
  <c r="F152" i="66" s="1"/>
  <c r="E149" i="64"/>
  <c r="E149" i="66" s="1"/>
  <c r="E151" i="64"/>
  <c r="E151" i="66" s="1"/>
  <c r="E156" i="64"/>
  <c r="E156" i="66" s="1"/>
  <c r="H156" i="64"/>
  <c r="H156" i="66" s="1"/>
  <c r="K155" i="64"/>
  <c r="K155" i="66" s="1"/>
  <c r="I154" i="64"/>
  <c r="I154" i="66" s="1"/>
  <c r="E153" i="64"/>
  <c r="E153" i="66" s="1"/>
  <c r="G155" i="64"/>
  <c r="G155" i="66" s="1"/>
  <c r="G150" i="64"/>
  <c r="G150" i="66" s="1"/>
  <c r="G158" i="64"/>
  <c r="G158" i="66" s="1"/>
  <c r="I151" i="64"/>
  <c r="I151" i="66" s="1"/>
  <c r="G156" i="64"/>
  <c r="G156" i="66" s="1"/>
  <c r="K154" i="64"/>
  <c r="K154" i="66" s="1"/>
  <c r="E155" i="64"/>
  <c r="E155" i="66" s="1"/>
  <c r="I150" i="64"/>
  <c r="I150" i="66" s="1"/>
  <c r="H150" i="64"/>
  <c r="H150" i="66" s="1"/>
  <c r="G153" i="64"/>
  <c r="G153" i="66" s="1"/>
  <c r="I149" i="64"/>
  <c r="I149" i="66" s="1"/>
  <c r="H157" i="64"/>
  <c r="H157" i="66" s="1"/>
  <c r="G149" i="64"/>
  <c r="G149" i="66" s="1"/>
  <c r="E154" i="64"/>
  <c r="E154" i="66" s="1"/>
  <c r="F153" i="64"/>
  <c r="F153" i="66" s="1"/>
  <c r="K151" i="64"/>
  <c r="K151" i="66" s="1"/>
  <c r="J152" i="64"/>
  <c r="J152" i="66" s="1"/>
  <c r="H152" i="64"/>
  <c r="H152" i="66" s="1"/>
  <c r="K156" i="64"/>
  <c r="K156" i="66" s="1"/>
  <c r="E157" i="64"/>
  <c r="E157" i="66" s="1"/>
  <c r="H153" i="64"/>
  <c r="H153" i="66" s="1"/>
  <c r="J150" i="64"/>
  <c r="J150" i="66" s="1"/>
  <c r="J158" i="64"/>
  <c r="J158" i="66" s="1"/>
  <c r="G157" i="64"/>
  <c r="G157" i="66" s="1"/>
  <c r="K152" i="64"/>
  <c r="K152" i="66" s="1"/>
  <c r="B142" i="65"/>
  <c r="A133" i="65"/>
  <c r="B120" i="65"/>
  <c r="B107" i="65"/>
  <c r="B94" i="65"/>
  <c r="C69" i="65"/>
  <c r="B62" i="65"/>
  <c r="A38" i="65"/>
  <c r="A33" i="65"/>
  <c r="B27" i="65"/>
  <c r="C13" i="65"/>
  <c r="B6" i="65"/>
  <c r="A125" i="66"/>
  <c r="A142" i="65"/>
  <c r="A137" i="65"/>
  <c r="C131" i="65"/>
  <c r="B118" i="65"/>
  <c r="A107" i="65"/>
  <c r="A94" i="65"/>
  <c r="B86" i="65"/>
  <c r="C75" i="65"/>
  <c r="B69" i="65"/>
  <c r="A62" i="65"/>
  <c r="A57" i="65"/>
  <c r="B51" i="65"/>
  <c r="C43" i="65"/>
  <c r="C37" i="65"/>
  <c r="C32" i="65"/>
  <c r="A27" i="65"/>
  <c r="B19" i="65"/>
  <c r="A6" i="65"/>
  <c r="C124" i="66"/>
  <c r="B116" i="66"/>
  <c r="B108" i="66"/>
  <c r="B100" i="66"/>
  <c r="C92" i="66"/>
  <c r="C52" i="66"/>
  <c r="C44" i="66"/>
  <c r="C36" i="66"/>
  <c r="C15" i="66"/>
  <c r="C7" i="66"/>
  <c r="C6" i="38" s="1"/>
  <c r="B137" i="65"/>
  <c r="B137" i="66"/>
  <c r="B113" i="65"/>
  <c r="B113" i="66"/>
  <c r="B97" i="65"/>
  <c r="B97" i="66"/>
  <c r="B65" i="65"/>
  <c r="B65" i="66"/>
  <c r="B33" i="65"/>
  <c r="B33" i="66"/>
  <c r="A130" i="66"/>
  <c r="A130" i="65"/>
  <c r="C130" i="66"/>
  <c r="B112" i="66"/>
  <c r="B112" i="65"/>
  <c r="B104" i="66"/>
  <c r="B104" i="65"/>
  <c r="B96" i="66"/>
  <c r="B96" i="65"/>
  <c r="B88" i="66"/>
  <c r="B88" i="65"/>
  <c r="B80" i="66"/>
  <c r="B80" i="65"/>
  <c r="B72" i="66"/>
  <c r="B72" i="65"/>
  <c r="B64" i="66"/>
  <c r="B64" i="65"/>
  <c r="B56" i="66"/>
  <c r="B56" i="65"/>
  <c r="B48" i="66"/>
  <c r="B48" i="65"/>
  <c r="B40" i="66"/>
  <c r="B40" i="65"/>
  <c r="B32" i="66"/>
  <c r="B32" i="65"/>
  <c r="B24" i="66"/>
  <c r="B24" i="65"/>
  <c r="B16" i="66"/>
  <c r="B16" i="65"/>
  <c r="B8" i="66"/>
  <c r="B8" i="65"/>
  <c r="C145" i="66"/>
  <c r="C145" i="65"/>
  <c r="C137" i="66"/>
  <c r="C137" i="65"/>
  <c r="C129" i="65"/>
  <c r="C129" i="66"/>
  <c r="C121" i="65"/>
  <c r="C121" i="66"/>
  <c r="C113" i="66"/>
  <c r="C113" i="65"/>
  <c r="C105" i="66"/>
  <c r="C105" i="65"/>
  <c r="C97" i="65"/>
  <c r="C97" i="66"/>
  <c r="C89" i="65"/>
  <c r="C89" i="66"/>
  <c r="C81" i="65"/>
  <c r="C81" i="66"/>
  <c r="C73" i="65"/>
  <c r="C73" i="66"/>
  <c r="C65" i="65"/>
  <c r="C65" i="66"/>
  <c r="C57" i="65"/>
  <c r="C57" i="66"/>
  <c r="C49" i="66"/>
  <c r="C49" i="65"/>
  <c r="C41" i="66"/>
  <c r="C41" i="65"/>
  <c r="C33" i="65"/>
  <c r="C33" i="66"/>
  <c r="C25" i="65"/>
  <c r="C25" i="66"/>
  <c r="C17" i="66"/>
  <c r="C17" i="65"/>
  <c r="C9" i="66"/>
  <c r="C9" i="65"/>
  <c r="A145" i="65"/>
  <c r="A129" i="65"/>
  <c r="A113" i="65"/>
  <c r="C72" i="65"/>
  <c r="A49" i="65"/>
  <c r="C8" i="65"/>
  <c r="A136" i="66"/>
  <c r="C122" i="66"/>
  <c r="A72" i="66"/>
  <c r="C58" i="66"/>
  <c r="A8" i="66"/>
  <c r="B145" i="65"/>
  <c r="B145" i="66"/>
  <c r="B129" i="65"/>
  <c r="B129" i="66"/>
  <c r="B105" i="65"/>
  <c r="B105" i="66"/>
  <c r="B89" i="65"/>
  <c r="B89" i="66"/>
  <c r="B73" i="65"/>
  <c r="B73" i="66"/>
  <c r="B57" i="65"/>
  <c r="B57" i="66"/>
  <c r="B41" i="65"/>
  <c r="B41" i="66"/>
  <c r="B25" i="65"/>
  <c r="B25" i="66"/>
  <c r="B9" i="65"/>
  <c r="B9" i="66"/>
  <c r="A146" i="66"/>
  <c r="A146" i="65"/>
  <c r="A122" i="66"/>
  <c r="A122" i="65"/>
  <c r="A114" i="65"/>
  <c r="A114" i="66"/>
  <c r="A98" i="66"/>
  <c r="A98" i="65"/>
  <c r="A90" i="66"/>
  <c r="A90" i="65"/>
  <c r="A74" i="66"/>
  <c r="A74" i="65"/>
  <c r="A58" i="66"/>
  <c r="A58" i="65"/>
  <c r="A50" i="66"/>
  <c r="A50" i="65"/>
  <c r="A34" i="66"/>
  <c r="A34" i="65"/>
  <c r="A18" i="65"/>
  <c r="A18" i="66"/>
  <c r="C66" i="66"/>
  <c r="B143" i="66"/>
  <c r="B143" i="65"/>
  <c r="B135" i="66"/>
  <c r="B135" i="65"/>
  <c r="B127" i="66"/>
  <c r="B127" i="65"/>
  <c r="B119" i="65"/>
  <c r="B119" i="66"/>
  <c r="B111" i="66"/>
  <c r="B111" i="65"/>
  <c r="B103" i="66"/>
  <c r="B103" i="65"/>
  <c r="B95" i="66"/>
  <c r="B95" i="65"/>
  <c r="B87" i="66"/>
  <c r="B87" i="65"/>
  <c r="B79" i="66"/>
  <c r="B79" i="65"/>
  <c r="B71" i="65"/>
  <c r="B71" i="66"/>
  <c r="B63" i="65"/>
  <c r="B63" i="66"/>
  <c r="B55" i="66"/>
  <c r="B55" i="65"/>
  <c r="B47" i="65"/>
  <c r="B47" i="66"/>
  <c r="B39" i="66"/>
  <c r="B39" i="65"/>
  <c r="B31" i="65"/>
  <c r="B31" i="66"/>
  <c r="B23" i="65"/>
  <c r="B23" i="66"/>
  <c r="B7" i="65"/>
  <c r="B7" i="66"/>
  <c r="C144" i="65"/>
  <c r="C128" i="65"/>
  <c r="C112" i="65"/>
  <c r="A89" i="65"/>
  <c r="C48" i="65"/>
  <c r="A25" i="65"/>
  <c r="A128" i="66"/>
  <c r="C114" i="66"/>
  <c r="A64" i="66"/>
  <c r="C50" i="66"/>
  <c r="B121" i="65"/>
  <c r="B121" i="66"/>
  <c r="B81" i="65"/>
  <c r="B81" i="66"/>
  <c r="B49" i="65"/>
  <c r="B49" i="66"/>
  <c r="B17" i="65"/>
  <c r="B17" i="66"/>
  <c r="A138" i="66"/>
  <c r="A138" i="65"/>
  <c r="A106" i="65"/>
  <c r="A106" i="66"/>
  <c r="A82" i="66"/>
  <c r="A82" i="65"/>
  <c r="A66" i="66"/>
  <c r="A66" i="65"/>
  <c r="A42" i="66"/>
  <c r="A42" i="65"/>
  <c r="A26" i="65"/>
  <c r="A26" i="66"/>
  <c r="A10" i="66"/>
  <c r="A10" i="65"/>
  <c r="B15" i="66"/>
  <c r="B15" i="65"/>
  <c r="B144" i="65"/>
  <c r="B128" i="65"/>
  <c r="C88" i="65"/>
  <c r="A65" i="65"/>
  <c r="C24" i="65"/>
  <c r="A120" i="66"/>
  <c r="C106" i="66"/>
  <c r="A56" i="66"/>
  <c r="C42" i="66"/>
  <c r="A143" i="66"/>
  <c r="A135" i="66"/>
  <c r="A103" i="66"/>
  <c r="A39" i="66"/>
  <c r="A31" i="66"/>
  <c r="A15" i="66"/>
  <c r="A7" i="66"/>
  <c r="C142" i="66"/>
  <c r="C126" i="66"/>
  <c r="C118" i="66"/>
  <c r="C86" i="66"/>
  <c r="C78" i="66"/>
  <c r="C62" i="66"/>
  <c r="C46" i="66"/>
  <c r="C38" i="66"/>
  <c r="A119" i="66"/>
  <c r="A111" i="66"/>
  <c r="A95" i="66"/>
  <c r="A79" i="66"/>
  <c r="A47" i="66"/>
  <c r="B5" i="66"/>
  <c r="C5" i="38" s="1"/>
  <c r="C134" i="66"/>
  <c r="C110" i="66"/>
  <c r="C102" i="66"/>
  <c r="C94" i="66"/>
  <c r="C70" i="66"/>
  <c r="C54" i="66"/>
  <c r="C30" i="66"/>
  <c r="C22" i="66"/>
  <c r="C14" i="66"/>
  <c r="C6" i="66"/>
  <c r="A127" i="65"/>
  <c r="A87" i="65"/>
  <c r="A71" i="65"/>
  <c r="A63" i="65"/>
  <c r="A55" i="65"/>
  <c r="A23" i="65"/>
  <c r="A1" i="43"/>
  <c r="C91" i="86"/>
  <c r="B91" i="86"/>
  <c r="C90" i="86"/>
  <c r="B90" i="86"/>
  <c r="M89" i="86"/>
  <c r="L89" i="86"/>
  <c r="K89" i="86"/>
  <c r="J89" i="86"/>
  <c r="I89" i="86"/>
  <c r="H89" i="86"/>
  <c r="G89" i="86"/>
  <c r="F89" i="86"/>
  <c r="C89" i="86"/>
  <c r="B89" i="86"/>
  <c r="M88" i="86"/>
  <c r="L88" i="86"/>
  <c r="K88" i="86"/>
  <c r="J88" i="86"/>
  <c r="I88" i="86"/>
  <c r="H88" i="86"/>
  <c r="G88" i="86"/>
  <c r="F88" i="86"/>
  <c r="C88" i="86"/>
  <c r="B88" i="86"/>
  <c r="M87" i="86"/>
  <c r="L87" i="86"/>
  <c r="K87" i="86"/>
  <c r="J87" i="86"/>
  <c r="I87" i="86"/>
  <c r="H87" i="86"/>
  <c r="G87" i="86"/>
  <c r="F87" i="86"/>
  <c r="C87" i="86"/>
  <c r="B87" i="86"/>
  <c r="C86" i="86"/>
  <c r="B86" i="86"/>
  <c r="C85" i="86"/>
  <c r="B85" i="86"/>
  <c r="C84" i="86"/>
  <c r="B84" i="86"/>
  <c r="C83" i="86"/>
  <c r="B83" i="86"/>
  <c r="C82" i="86"/>
  <c r="B82" i="86"/>
  <c r="M81" i="86"/>
  <c r="L81" i="86"/>
  <c r="K81" i="86"/>
  <c r="J81" i="86"/>
  <c r="I81" i="86"/>
  <c r="H81" i="86"/>
  <c r="G81" i="86"/>
  <c r="F81" i="86"/>
  <c r="C81" i="86"/>
  <c r="B81" i="86"/>
  <c r="M80" i="86"/>
  <c r="L80" i="86"/>
  <c r="K80" i="86"/>
  <c r="J80" i="86"/>
  <c r="I80" i="86"/>
  <c r="H80" i="86"/>
  <c r="G80" i="86"/>
  <c r="F80" i="86"/>
  <c r="C80" i="86"/>
  <c r="B80" i="86"/>
  <c r="M79" i="86"/>
  <c r="L79" i="86"/>
  <c r="K79" i="86"/>
  <c r="J79" i="86"/>
  <c r="I79" i="86"/>
  <c r="H79" i="86"/>
  <c r="G79" i="86"/>
  <c r="F79" i="86"/>
  <c r="C79" i="86"/>
  <c r="B79" i="86"/>
  <c r="C78" i="86"/>
  <c r="B78" i="86"/>
  <c r="C77" i="86"/>
  <c r="B77" i="86"/>
  <c r="C76" i="86"/>
  <c r="B76" i="86"/>
  <c r="C75" i="86"/>
  <c r="B75" i="86"/>
  <c r="C74" i="86"/>
  <c r="B74" i="86"/>
  <c r="M73" i="86"/>
  <c r="L73" i="86"/>
  <c r="K73" i="86"/>
  <c r="J73" i="86"/>
  <c r="I73" i="86"/>
  <c r="H73" i="86"/>
  <c r="G73" i="86"/>
  <c r="F73" i="86"/>
  <c r="C73" i="86"/>
  <c r="B73" i="86"/>
  <c r="M72" i="86"/>
  <c r="L72" i="86"/>
  <c r="K72" i="86"/>
  <c r="J72" i="86"/>
  <c r="I72" i="86"/>
  <c r="H72" i="86"/>
  <c r="G72" i="86"/>
  <c r="F72" i="86"/>
  <c r="C72" i="86"/>
  <c r="B72" i="86"/>
  <c r="M71" i="86"/>
  <c r="L71" i="86"/>
  <c r="K71" i="86"/>
  <c r="J71" i="86"/>
  <c r="I71" i="86"/>
  <c r="H71" i="86"/>
  <c r="G71" i="86"/>
  <c r="F71" i="86"/>
  <c r="C71" i="86"/>
  <c r="B71" i="86"/>
  <c r="C70" i="86"/>
  <c r="B70" i="86"/>
  <c r="C69" i="86"/>
  <c r="B69" i="86"/>
  <c r="C68" i="86"/>
  <c r="B68" i="86"/>
  <c r="C67" i="86"/>
  <c r="B67" i="86"/>
  <c r="C66" i="86"/>
  <c r="B66" i="86"/>
  <c r="M65" i="86"/>
  <c r="L65" i="86"/>
  <c r="K65" i="86"/>
  <c r="J65" i="86"/>
  <c r="I65" i="86"/>
  <c r="H65" i="86"/>
  <c r="G65" i="86"/>
  <c r="F65" i="86"/>
  <c r="C65" i="86"/>
  <c r="B65" i="86"/>
  <c r="M64" i="86"/>
  <c r="L64" i="86"/>
  <c r="K64" i="86"/>
  <c r="J64" i="86"/>
  <c r="I64" i="86"/>
  <c r="H64" i="86"/>
  <c r="G64" i="86"/>
  <c r="F64" i="86"/>
  <c r="C64" i="86"/>
  <c r="B64" i="86"/>
  <c r="M63" i="86"/>
  <c r="L63" i="86"/>
  <c r="K63" i="86"/>
  <c r="J63" i="86"/>
  <c r="I63" i="86"/>
  <c r="H63" i="86"/>
  <c r="G63" i="86"/>
  <c r="F63" i="86"/>
  <c r="C63" i="86"/>
  <c r="B63" i="86"/>
  <c r="C62" i="86"/>
  <c r="B62" i="86"/>
  <c r="C61" i="86"/>
  <c r="B61" i="86"/>
  <c r="C60" i="86"/>
  <c r="B60" i="86"/>
  <c r="C59" i="86"/>
  <c r="B59" i="86"/>
  <c r="C58" i="86"/>
  <c r="B58" i="86"/>
  <c r="M57" i="86"/>
  <c r="L57" i="86"/>
  <c r="K57" i="86"/>
  <c r="J57" i="86"/>
  <c r="I57" i="86"/>
  <c r="H57" i="86"/>
  <c r="G57" i="86"/>
  <c r="F57" i="86"/>
  <c r="C57" i="86"/>
  <c r="B57" i="86"/>
  <c r="M56" i="86"/>
  <c r="L56" i="86"/>
  <c r="K56" i="86"/>
  <c r="J56" i="86"/>
  <c r="I56" i="86"/>
  <c r="H56" i="86"/>
  <c r="G56" i="86"/>
  <c r="F56" i="86"/>
  <c r="C56" i="86"/>
  <c r="B56" i="86"/>
  <c r="M55" i="86"/>
  <c r="L55" i="86"/>
  <c r="K55" i="86"/>
  <c r="J55" i="86"/>
  <c r="I55" i="86"/>
  <c r="H55" i="86"/>
  <c r="G55" i="86"/>
  <c r="F55" i="86"/>
  <c r="C55" i="86"/>
  <c r="B55" i="86"/>
  <c r="C54" i="86"/>
  <c r="B54" i="86"/>
  <c r="C53" i="86"/>
  <c r="B53" i="86"/>
  <c r="C52" i="86"/>
  <c r="B52" i="86"/>
  <c r="C51" i="86"/>
  <c r="B51" i="86"/>
  <c r="C50" i="86"/>
  <c r="B50" i="86"/>
  <c r="M49" i="86"/>
  <c r="L49" i="86"/>
  <c r="K49" i="86"/>
  <c r="J49" i="86"/>
  <c r="I49" i="86"/>
  <c r="H49" i="86"/>
  <c r="G49" i="86"/>
  <c r="F49" i="86"/>
  <c r="C49" i="86"/>
  <c r="B49" i="86"/>
  <c r="M48" i="86"/>
  <c r="L48" i="86"/>
  <c r="K48" i="86"/>
  <c r="J48" i="86"/>
  <c r="I48" i="86"/>
  <c r="H48" i="86"/>
  <c r="G48" i="86"/>
  <c r="F48" i="86"/>
  <c r="C48" i="86"/>
  <c r="B48" i="86"/>
  <c r="M47" i="86"/>
  <c r="L47" i="86"/>
  <c r="K47" i="86"/>
  <c r="J47" i="86"/>
  <c r="I47" i="86"/>
  <c r="H47" i="86"/>
  <c r="G47" i="86"/>
  <c r="F47" i="86"/>
  <c r="C47" i="86"/>
  <c r="B47" i="86"/>
  <c r="C46" i="86"/>
  <c r="B46" i="86"/>
  <c r="C45" i="86"/>
  <c r="B45" i="86"/>
  <c r="C44" i="86"/>
  <c r="B44" i="86"/>
  <c r="C43" i="86"/>
  <c r="B43" i="86"/>
  <c r="C42" i="86"/>
  <c r="B42" i="86"/>
  <c r="M41" i="86"/>
  <c r="L41" i="86"/>
  <c r="K41" i="86"/>
  <c r="J41" i="86"/>
  <c r="I41" i="86"/>
  <c r="H41" i="86"/>
  <c r="G41" i="86"/>
  <c r="F41" i="86"/>
  <c r="C41" i="86"/>
  <c r="B41" i="86"/>
  <c r="M40" i="86"/>
  <c r="L40" i="86"/>
  <c r="K40" i="86"/>
  <c r="J40" i="86"/>
  <c r="I40" i="86"/>
  <c r="H40" i="86"/>
  <c r="G40" i="86"/>
  <c r="F40" i="86"/>
  <c r="C40" i="86"/>
  <c r="B40" i="86"/>
  <c r="M39" i="86"/>
  <c r="L39" i="86"/>
  <c r="K39" i="86"/>
  <c r="J39" i="86"/>
  <c r="I39" i="86"/>
  <c r="H39" i="86"/>
  <c r="G39" i="86"/>
  <c r="F39" i="86"/>
  <c r="C39" i="86"/>
  <c r="B39" i="86"/>
  <c r="C38" i="86"/>
  <c r="B38" i="86"/>
  <c r="C37" i="86"/>
  <c r="B37" i="86"/>
  <c r="C36" i="86"/>
  <c r="B36" i="86"/>
  <c r="C35" i="86"/>
  <c r="B35" i="86"/>
  <c r="C34" i="86"/>
  <c r="B34" i="86"/>
  <c r="M33" i="86"/>
  <c r="L33" i="86"/>
  <c r="K33" i="86"/>
  <c r="J33" i="86"/>
  <c r="I33" i="86"/>
  <c r="H33" i="86"/>
  <c r="G33" i="86"/>
  <c r="F33" i="86"/>
  <c r="C33" i="86"/>
  <c r="B33" i="86"/>
  <c r="M32" i="86"/>
  <c r="L32" i="86"/>
  <c r="K32" i="86"/>
  <c r="J32" i="86"/>
  <c r="I32" i="86"/>
  <c r="H32" i="86"/>
  <c r="G32" i="86"/>
  <c r="F32" i="86"/>
  <c r="C32" i="86"/>
  <c r="B32" i="86"/>
  <c r="M31" i="86"/>
  <c r="L31" i="86"/>
  <c r="K31" i="86"/>
  <c r="J31" i="86"/>
  <c r="I31" i="86"/>
  <c r="H31" i="86"/>
  <c r="G31" i="86"/>
  <c r="F31" i="86"/>
  <c r="C31" i="86"/>
  <c r="B31" i="86"/>
  <c r="C30" i="86"/>
  <c r="B30" i="86"/>
  <c r="C29" i="86"/>
  <c r="B29" i="86"/>
  <c r="C28" i="86"/>
  <c r="B28" i="86"/>
  <c r="C27" i="86"/>
  <c r="B27" i="86"/>
  <c r="C26" i="86"/>
  <c r="B26" i="86"/>
  <c r="M25" i="86"/>
  <c r="L25" i="86"/>
  <c r="K25" i="86"/>
  <c r="J25" i="86"/>
  <c r="I25" i="86"/>
  <c r="H25" i="86"/>
  <c r="G25" i="86"/>
  <c r="F25" i="86"/>
  <c r="C25" i="86"/>
  <c r="B25" i="86"/>
  <c r="M24" i="86"/>
  <c r="L24" i="86"/>
  <c r="K24" i="86"/>
  <c r="J24" i="86"/>
  <c r="I24" i="86"/>
  <c r="H24" i="86"/>
  <c r="G24" i="86"/>
  <c r="F24" i="86"/>
  <c r="C24" i="86"/>
  <c r="B24" i="86"/>
  <c r="M23" i="86"/>
  <c r="L23" i="86"/>
  <c r="K23" i="86"/>
  <c r="J23" i="86"/>
  <c r="I23" i="86"/>
  <c r="H23" i="86"/>
  <c r="G23" i="86"/>
  <c r="F23" i="86"/>
  <c r="C23" i="86"/>
  <c r="B23" i="86"/>
  <c r="C22" i="86"/>
  <c r="B22" i="86"/>
  <c r="C21" i="86"/>
  <c r="B21" i="86"/>
  <c r="C20" i="86"/>
  <c r="B20" i="86"/>
  <c r="C19" i="86"/>
  <c r="B19" i="86"/>
  <c r="C18" i="86"/>
  <c r="B18" i="86"/>
  <c r="M17" i="86"/>
  <c r="L17" i="86"/>
  <c r="K17" i="86"/>
  <c r="J17" i="86"/>
  <c r="I17" i="86"/>
  <c r="H17" i="86"/>
  <c r="G17" i="86"/>
  <c r="F17" i="86"/>
  <c r="C17" i="86"/>
  <c r="B17" i="86"/>
  <c r="M16" i="86"/>
  <c r="L16" i="86"/>
  <c r="K16" i="86"/>
  <c r="J16" i="86"/>
  <c r="I16" i="86"/>
  <c r="H16" i="86"/>
  <c r="G16" i="86"/>
  <c r="F16" i="86"/>
  <c r="C16" i="86"/>
  <c r="B16" i="86"/>
  <c r="M15" i="86"/>
  <c r="L15" i="86"/>
  <c r="K15" i="86"/>
  <c r="J15" i="86"/>
  <c r="I15" i="86"/>
  <c r="H15" i="86"/>
  <c r="G15" i="86"/>
  <c r="F15" i="86"/>
  <c r="C15" i="86"/>
  <c r="B15" i="86"/>
  <c r="C14" i="86"/>
  <c r="B14" i="86"/>
  <c r="C13" i="86"/>
  <c r="B13" i="86"/>
  <c r="C12" i="86"/>
  <c r="B12" i="86"/>
  <c r="C11" i="86"/>
  <c r="B11" i="86"/>
  <c r="C10" i="86"/>
  <c r="B10" i="86"/>
  <c r="M9" i="86"/>
  <c r="L9" i="86"/>
  <c r="K9" i="86"/>
  <c r="J9" i="86"/>
  <c r="I9" i="86"/>
  <c r="H9" i="86"/>
  <c r="G9" i="86"/>
  <c r="F9" i="86"/>
  <c r="C9" i="86"/>
  <c r="B9" i="86"/>
  <c r="M8" i="86"/>
  <c r="L8" i="86"/>
  <c r="K8" i="86"/>
  <c r="J8" i="86"/>
  <c r="I8" i="86"/>
  <c r="H8" i="86"/>
  <c r="G8" i="86"/>
  <c r="F8" i="86"/>
  <c r="C8" i="86"/>
  <c r="B8" i="86"/>
  <c r="M7" i="86"/>
  <c r="L7" i="86"/>
  <c r="K7" i="86"/>
  <c r="J7" i="86"/>
  <c r="I7" i="86"/>
  <c r="H7" i="86"/>
  <c r="G7" i="86"/>
  <c r="F7" i="86"/>
  <c r="C7" i="86"/>
  <c r="B7" i="86"/>
  <c r="B6" i="86"/>
  <c r="B5" i="86"/>
  <c r="B4" i="86"/>
  <c r="L52" i="82"/>
  <c r="L51" i="82"/>
  <c r="L50" i="82"/>
  <c r="L49" i="82"/>
  <c r="L48" i="82"/>
  <c r="L47" i="82"/>
  <c r="L46" i="82"/>
  <c r="L45" i="82"/>
  <c r="L44" i="82"/>
  <c r="L43" i="82"/>
  <c r="L42" i="82"/>
  <c r="L41" i="82"/>
  <c r="O40" i="82"/>
  <c r="B40" i="82"/>
  <c r="O23" i="82"/>
  <c r="B18" i="82"/>
  <c r="B17" i="82"/>
  <c r="B51" i="82" s="1"/>
  <c r="B16" i="82"/>
  <c r="O50" i="82" s="1"/>
  <c r="B15" i="82"/>
  <c r="B49" i="82" s="1"/>
  <c r="B14" i="82"/>
  <c r="B31" i="82" s="1"/>
  <c r="B13" i="82"/>
  <c r="B30" i="82" s="1"/>
  <c r="B12" i="82"/>
  <c r="O12" i="82" s="1"/>
  <c r="B11" i="82"/>
  <c r="B28" i="82" s="1"/>
  <c r="B10" i="82"/>
  <c r="O10" i="82" s="1"/>
  <c r="B9" i="82"/>
  <c r="B26" i="82" s="1"/>
  <c r="B8" i="82"/>
  <c r="B7" i="82"/>
  <c r="O7" i="82" s="1"/>
  <c r="A1" i="82"/>
  <c r="G24" i="38"/>
  <c r="D24" i="38"/>
  <c r="A1" i="38"/>
  <c r="A1" i="91"/>
  <c r="B10" i="92"/>
  <c r="A1" i="92"/>
  <c r="B10" i="89"/>
  <c r="A1" i="89"/>
  <c r="A1" i="88"/>
  <c r="A1" i="90"/>
  <c r="I17" i="41"/>
  <c r="F23" i="38" s="1"/>
  <c r="C17" i="41"/>
  <c r="I16" i="41"/>
  <c r="F22" i="38" s="1"/>
  <c r="C16" i="41"/>
  <c r="I15" i="41"/>
  <c r="F21" i="38" s="1"/>
  <c r="C15" i="41"/>
  <c r="C14" i="41"/>
  <c r="I13" i="41"/>
  <c r="F19" i="38" s="1"/>
  <c r="C13" i="41"/>
  <c r="C12" i="41"/>
  <c r="C11" i="41"/>
  <c r="I10" i="41"/>
  <c r="F16" i="38" s="1"/>
  <c r="C10" i="41"/>
  <c r="C9" i="41"/>
  <c r="I8" i="41"/>
  <c r="F14" i="38" s="1"/>
  <c r="C8" i="41"/>
  <c r="C7" i="41"/>
  <c r="F10" i="43" s="1"/>
  <c r="A1" i="41"/>
  <c r="A1" i="78"/>
  <c r="M735" i="96"/>
  <c r="M734" i="96"/>
  <c r="M733" i="96"/>
  <c r="M732" i="96"/>
  <c r="M731" i="96"/>
  <c r="M730" i="96"/>
  <c r="M729" i="96"/>
  <c r="M728" i="96"/>
  <c r="M727" i="96"/>
  <c r="M726" i="96"/>
  <c r="M725" i="96"/>
  <c r="M724" i="96"/>
  <c r="M723" i="96"/>
  <c r="M722" i="96"/>
  <c r="M721" i="96"/>
  <c r="M720" i="96"/>
  <c r="M719" i="96"/>
  <c r="M718" i="96"/>
  <c r="M717" i="96"/>
  <c r="M716" i="96"/>
  <c r="M715" i="96"/>
  <c r="M714" i="96"/>
  <c r="M713" i="96"/>
  <c r="M712" i="96"/>
  <c r="M711" i="96"/>
  <c r="M710" i="96"/>
  <c r="M709" i="96"/>
  <c r="M708" i="96"/>
  <c r="M707" i="96"/>
  <c r="M706" i="96"/>
  <c r="M705" i="96"/>
  <c r="M704" i="96"/>
  <c r="M703" i="96"/>
  <c r="M702" i="96"/>
  <c r="M701" i="96"/>
  <c r="M700" i="96"/>
  <c r="M699" i="96"/>
  <c r="M698" i="96"/>
  <c r="M697" i="96"/>
  <c r="M696" i="96"/>
  <c r="M695" i="96"/>
  <c r="M694" i="96"/>
  <c r="M693" i="96"/>
  <c r="M692" i="96"/>
  <c r="M691" i="96"/>
  <c r="M690" i="96"/>
  <c r="M689" i="96"/>
  <c r="M688" i="96"/>
  <c r="M687" i="96"/>
  <c r="M686" i="96"/>
  <c r="M685" i="96"/>
  <c r="M684" i="96"/>
  <c r="M683" i="96"/>
  <c r="M682" i="96"/>
  <c r="M681" i="96"/>
  <c r="M680" i="96"/>
  <c r="M679" i="96"/>
  <c r="M678" i="96"/>
  <c r="M677" i="96"/>
  <c r="M676" i="96"/>
  <c r="M675" i="96"/>
  <c r="M674" i="96"/>
  <c r="M673" i="96"/>
  <c r="M672" i="96"/>
  <c r="M671" i="96"/>
  <c r="M670" i="96"/>
  <c r="M669" i="96"/>
  <c r="M668" i="96"/>
  <c r="M667" i="96"/>
  <c r="M666" i="96"/>
  <c r="M665" i="96"/>
  <c r="M664" i="96"/>
  <c r="M663" i="96"/>
  <c r="M662" i="96"/>
  <c r="M661" i="96"/>
  <c r="M660" i="96"/>
  <c r="M659" i="96"/>
  <c r="M658" i="96"/>
  <c r="M657" i="96"/>
  <c r="M656" i="96"/>
  <c r="M655" i="96"/>
  <c r="M654" i="96"/>
  <c r="M653" i="96"/>
  <c r="M652" i="96"/>
  <c r="M651" i="96"/>
  <c r="M650" i="96"/>
  <c r="M649" i="96"/>
  <c r="M648" i="96"/>
  <c r="M647" i="96"/>
  <c r="M646" i="96"/>
  <c r="M645" i="96"/>
  <c r="M644" i="96"/>
  <c r="M643" i="96"/>
  <c r="M642" i="96"/>
  <c r="M641" i="96"/>
  <c r="M640" i="96"/>
  <c r="M639" i="96"/>
  <c r="M638" i="96"/>
  <c r="M637" i="96"/>
  <c r="M636" i="96"/>
  <c r="M635" i="96"/>
  <c r="M634" i="96"/>
  <c r="M633" i="96"/>
  <c r="M632" i="96"/>
  <c r="M631" i="96"/>
  <c r="M630" i="96"/>
  <c r="M629" i="96"/>
  <c r="M628" i="96"/>
  <c r="M627" i="96"/>
  <c r="M626" i="96"/>
  <c r="M625" i="96"/>
  <c r="M624" i="96"/>
  <c r="M623" i="96"/>
  <c r="M622" i="96"/>
  <c r="M621" i="96"/>
  <c r="M620" i="96"/>
  <c r="M619" i="96"/>
  <c r="M618" i="96"/>
  <c r="M617" i="96"/>
  <c r="M616" i="96"/>
  <c r="M615" i="96"/>
  <c r="M614" i="96"/>
  <c r="M613" i="96"/>
  <c r="M612" i="96"/>
  <c r="M611" i="96"/>
  <c r="M610" i="96"/>
  <c r="M609" i="96"/>
  <c r="M608" i="96"/>
  <c r="M607" i="96"/>
  <c r="M606" i="96"/>
  <c r="M605" i="96"/>
  <c r="M604" i="96"/>
  <c r="M603" i="96"/>
  <c r="M602" i="96"/>
  <c r="M601" i="96"/>
  <c r="M600" i="96"/>
  <c r="M599" i="96"/>
  <c r="M598" i="96"/>
  <c r="M597" i="96"/>
  <c r="M596" i="96"/>
  <c r="M595" i="96"/>
  <c r="M594" i="96"/>
  <c r="M593" i="96"/>
  <c r="M592" i="96"/>
  <c r="M591" i="96"/>
  <c r="M590" i="96"/>
  <c r="M589" i="96"/>
  <c r="M588" i="96"/>
  <c r="M587" i="96"/>
  <c r="M586" i="96"/>
  <c r="M585" i="96"/>
  <c r="M584" i="96"/>
  <c r="M583" i="96"/>
  <c r="M582" i="96"/>
  <c r="M581" i="96"/>
  <c r="M580" i="96"/>
  <c r="M579" i="96"/>
  <c r="M578" i="96"/>
  <c r="M577" i="96"/>
  <c r="M576" i="96"/>
  <c r="M575" i="96"/>
  <c r="M574" i="96"/>
  <c r="M573" i="96"/>
  <c r="M572" i="96"/>
  <c r="M571" i="96"/>
  <c r="M570" i="96"/>
  <c r="M569" i="96"/>
  <c r="M568" i="96"/>
  <c r="M567" i="96"/>
  <c r="M566" i="96"/>
  <c r="M565" i="96"/>
  <c r="M564" i="96"/>
  <c r="M563" i="96"/>
  <c r="M562" i="96"/>
  <c r="M561" i="96"/>
  <c r="M560" i="96"/>
  <c r="M559" i="96"/>
  <c r="M558" i="96"/>
  <c r="M557" i="96"/>
  <c r="M556" i="96"/>
  <c r="M555" i="96"/>
  <c r="M554" i="96"/>
  <c r="M553" i="96"/>
  <c r="M552" i="96"/>
  <c r="M551" i="96"/>
  <c r="M550" i="96"/>
  <c r="M549" i="96"/>
  <c r="M548" i="96"/>
  <c r="M547" i="96"/>
  <c r="M546" i="96"/>
  <c r="M545" i="96"/>
  <c r="M544" i="96"/>
  <c r="M543" i="96"/>
  <c r="M542" i="96"/>
  <c r="M541" i="96"/>
  <c r="M540" i="96"/>
  <c r="M539" i="96"/>
  <c r="M538" i="96"/>
  <c r="M537" i="96"/>
  <c r="M536" i="96"/>
  <c r="M535" i="96"/>
  <c r="M534" i="96"/>
  <c r="M533" i="96"/>
  <c r="M532" i="96"/>
  <c r="M531" i="96"/>
  <c r="M530" i="96"/>
  <c r="M529" i="96"/>
  <c r="M528" i="96"/>
  <c r="M527" i="96"/>
  <c r="M526" i="96"/>
  <c r="M525" i="96"/>
  <c r="M524" i="96"/>
  <c r="M523" i="96"/>
  <c r="M522" i="96"/>
  <c r="M521" i="96"/>
  <c r="M520" i="96"/>
  <c r="M519" i="96"/>
  <c r="M518" i="96"/>
  <c r="M517" i="96"/>
  <c r="M516" i="96"/>
  <c r="M515" i="96"/>
  <c r="M514" i="96"/>
  <c r="M513" i="96"/>
  <c r="M512" i="96"/>
  <c r="M511" i="96"/>
  <c r="M510" i="96"/>
  <c r="M509" i="96"/>
  <c r="M508" i="96"/>
  <c r="M507" i="96"/>
  <c r="M506" i="96"/>
  <c r="M505" i="96"/>
  <c r="M504" i="96"/>
  <c r="M503" i="96"/>
  <c r="M502" i="96"/>
  <c r="M501" i="96"/>
  <c r="M500" i="96"/>
  <c r="M499" i="96"/>
  <c r="M498" i="96"/>
  <c r="M497" i="96"/>
  <c r="M496" i="96"/>
  <c r="M495" i="96"/>
  <c r="M494" i="96"/>
  <c r="M493" i="96"/>
  <c r="M492" i="96"/>
  <c r="M491" i="96"/>
  <c r="M490" i="96"/>
  <c r="M489" i="96"/>
  <c r="M488" i="96"/>
  <c r="M487" i="96"/>
  <c r="M486" i="96"/>
  <c r="M485" i="96"/>
  <c r="M484" i="96"/>
  <c r="M483" i="96"/>
  <c r="M482" i="96"/>
  <c r="M481" i="96"/>
  <c r="M480" i="96"/>
  <c r="M479" i="96"/>
  <c r="M478" i="96"/>
  <c r="M477" i="96"/>
  <c r="M476" i="96"/>
  <c r="M475" i="96"/>
  <c r="M474" i="96"/>
  <c r="M473" i="96"/>
  <c r="M472" i="96"/>
  <c r="M471" i="96"/>
  <c r="M470" i="96"/>
  <c r="M469" i="96"/>
  <c r="M468" i="96"/>
  <c r="M467" i="96"/>
  <c r="M466" i="96"/>
  <c r="M465" i="96"/>
  <c r="M464" i="96"/>
  <c r="M463" i="96"/>
  <c r="M462" i="96"/>
  <c r="M461" i="96"/>
  <c r="M460" i="96"/>
  <c r="M459" i="96"/>
  <c r="M458" i="96"/>
  <c r="M457" i="96"/>
  <c r="M456" i="96"/>
  <c r="M455" i="96"/>
  <c r="M454" i="96"/>
  <c r="M453" i="96"/>
  <c r="M452" i="96"/>
  <c r="M451" i="96"/>
  <c r="M450" i="96"/>
  <c r="M449" i="96"/>
  <c r="M448" i="96"/>
  <c r="M447" i="96"/>
  <c r="M446" i="96"/>
  <c r="M445" i="96"/>
  <c r="M444" i="96"/>
  <c r="M443" i="96"/>
  <c r="M442" i="96"/>
  <c r="M441" i="96"/>
  <c r="M440" i="96"/>
  <c r="M439" i="96"/>
  <c r="I20" i="43" s="1" a="1"/>
  <c r="I20" i="43" s="1"/>
  <c r="M438" i="96"/>
  <c r="M437" i="96"/>
  <c r="M436" i="96"/>
  <c r="M435" i="96"/>
  <c r="M434" i="96"/>
  <c r="M433" i="96"/>
  <c r="M432" i="96"/>
  <c r="M431" i="96"/>
  <c r="M430" i="96"/>
  <c r="M429" i="96"/>
  <c r="M428" i="96"/>
  <c r="M427" i="96"/>
  <c r="M426" i="96"/>
  <c r="M425" i="96"/>
  <c r="M424" i="96"/>
  <c r="M423" i="96"/>
  <c r="M422" i="96"/>
  <c r="M421" i="96"/>
  <c r="M420" i="96"/>
  <c r="M419" i="96"/>
  <c r="M418" i="96"/>
  <c r="M417" i="96"/>
  <c r="M416" i="96"/>
  <c r="M415" i="96"/>
  <c r="M414" i="96"/>
  <c r="M413" i="96"/>
  <c r="M412" i="96"/>
  <c r="M411" i="96"/>
  <c r="M410" i="96"/>
  <c r="M409" i="96"/>
  <c r="M408" i="96"/>
  <c r="M407" i="96"/>
  <c r="M406" i="96"/>
  <c r="M405" i="96"/>
  <c r="M404" i="96"/>
  <c r="M403" i="96"/>
  <c r="M402" i="96"/>
  <c r="M401" i="96"/>
  <c r="M400" i="96"/>
  <c r="M399" i="96"/>
  <c r="M398" i="96"/>
  <c r="M397" i="96"/>
  <c r="M396" i="96"/>
  <c r="I19" i="43" s="1" a="1"/>
  <c r="I19" i="43" s="1"/>
  <c r="M395" i="96"/>
  <c r="M394" i="96"/>
  <c r="M393" i="96"/>
  <c r="M392" i="96"/>
  <c r="M391" i="96"/>
  <c r="M390" i="96"/>
  <c r="M389" i="96"/>
  <c r="M388" i="96"/>
  <c r="M387" i="96"/>
  <c r="M386" i="96"/>
  <c r="M385" i="96"/>
  <c r="M384" i="96"/>
  <c r="M383" i="96"/>
  <c r="M382" i="96"/>
  <c r="M381" i="96"/>
  <c r="M380" i="96"/>
  <c r="M379" i="96"/>
  <c r="M378" i="96"/>
  <c r="M377" i="96"/>
  <c r="M376" i="96"/>
  <c r="M375" i="96"/>
  <c r="M374" i="96"/>
  <c r="M373" i="96"/>
  <c r="M372" i="96"/>
  <c r="M371" i="96"/>
  <c r="M370" i="96"/>
  <c r="M369" i="96"/>
  <c r="M368" i="96"/>
  <c r="M367" i="96"/>
  <c r="M366" i="96"/>
  <c r="M365" i="96"/>
  <c r="M364" i="96"/>
  <c r="M363" i="96"/>
  <c r="M362" i="96"/>
  <c r="M361" i="96"/>
  <c r="M360" i="96"/>
  <c r="M359" i="96"/>
  <c r="M358" i="96"/>
  <c r="M357" i="96"/>
  <c r="M356" i="96"/>
  <c r="M355" i="96"/>
  <c r="M354" i="96"/>
  <c r="M353" i="96"/>
  <c r="I18" i="43" s="1" a="1"/>
  <c r="I18" i="43" s="1"/>
  <c r="M352" i="96"/>
  <c r="M351" i="96"/>
  <c r="M350" i="96"/>
  <c r="M349" i="96"/>
  <c r="M348" i="96"/>
  <c r="M347" i="96"/>
  <c r="M346" i="96"/>
  <c r="M345" i="96"/>
  <c r="M344" i="96"/>
  <c r="M343" i="96"/>
  <c r="M342" i="96"/>
  <c r="M341" i="96"/>
  <c r="M340" i="96"/>
  <c r="M339" i="96"/>
  <c r="M338" i="96"/>
  <c r="M337" i="96"/>
  <c r="M336" i="96"/>
  <c r="M335" i="96"/>
  <c r="M334" i="96"/>
  <c r="M333" i="96"/>
  <c r="M332" i="96"/>
  <c r="M331" i="96"/>
  <c r="M330" i="96"/>
  <c r="M329" i="96"/>
  <c r="M328" i="96"/>
  <c r="M327" i="96"/>
  <c r="M326" i="96"/>
  <c r="M325" i="96"/>
  <c r="M324" i="96"/>
  <c r="M323" i="96"/>
  <c r="M322" i="96"/>
  <c r="M321" i="96"/>
  <c r="M320" i="96"/>
  <c r="M319" i="96"/>
  <c r="M318" i="96"/>
  <c r="M317" i="96"/>
  <c r="M316" i="96"/>
  <c r="M315" i="96"/>
  <c r="M314" i="96"/>
  <c r="M313" i="96"/>
  <c r="M312" i="96"/>
  <c r="M311" i="96"/>
  <c r="M310" i="96"/>
  <c r="I17" i="43" s="1" a="1"/>
  <c r="I17" i="43" s="1"/>
  <c r="M309" i="96"/>
  <c r="M308" i="96"/>
  <c r="M307" i="96"/>
  <c r="M306" i="96"/>
  <c r="M305" i="96"/>
  <c r="M304" i="96"/>
  <c r="M303" i="96"/>
  <c r="M302" i="96"/>
  <c r="M301" i="96"/>
  <c r="M300" i="96"/>
  <c r="M299" i="96"/>
  <c r="M298" i="96"/>
  <c r="M297" i="96"/>
  <c r="M296" i="96"/>
  <c r="M295" i="96"/>
  <c r="M294" i="96"/>
  <c r="M293" i="96"/>
  <c r="M292" i="96"/>
  <c r="M291" i="96"/>
  <c r="M290" i="96"/>
  <c r="M289" i="96"/>
  <c r="M288" i="96"/>
  <c r="M287" i="96"/>
  <c r="M286" i="96"/>
  <c r="M285" i="96"/>
  <c r="M284" i="96"/>
  <c r="M283" i="96"/>
  <c r="M282" i="96"/>
  <c r="M281" i="96"/>
  <c r="M280" i="96"/>
  <c r="M279" i="96"/>
  <c r="M278" i="96"/>
  <c r="M277" i="96"/>
  <c r="M276" i="96"/>
  <c r="M275" i="96"/>
  <c r="M274" i="96"/>
  <c r="M273" i="96"/>
  <c r="M272" i="96"/>
  <c r="M271" i="96"/>
  <c r="M270" i="96"/>
  <c r="M269" i="96"/>
  <c r="M268" i="96"/>
  <c r="M267" i="96"/>
  <c r="I16" i="43" s="1" a="1"/>
  <c r="I16" i="43" s="1"/>
  <c r="M266" i="96"/>
  <c r="M265" i="96"/>
  <c r="M264" i="96"/>
  <c r="M263" i="96"/>
  <c r="M262" i="96"/>
  <c r="M261" i="96"/>
  <c r="M260" i="96"/>
  <c r="M259" i="96"/>
  <c r="M258" i="96"/>
  <c r="M257" i="96"/>
  <c r="M256" i="96"/>
  <c r="M255" i="96"/>
  <c r="M254" i="96"/>
  <c r="M253" i="96"/>
  <c r="M252" i="96"/>
  <c r="M251" i="96"/>
  <c r="M250" i="96"/>
  <c r="M249" i="96"/>
  <c r="M248" i="96"/>
  <c r="M247" i="96"/>
  <c r="M246" i="96"/>
  <c r="M245" i="96"/>
  <c r="M244" i="96"/>
  <c r="M243" i="96"/>
  <c r="M242" i="96"/>
  <c r="M241" i="96"/>
  <c r="M240" i="96"/>
  <c r="M239" i="96"/>
  <c r="M238" i="96"/>
  <c r="M237" i="96"/>
  <c r="M236" i="96"/>
  <c r="M235" i="96"/>
  <c r="M234" i="96"/>
  <c r="M233" i="96"/>
  <c r="M232" i="96"/>
  <c r="M231" i="96"/>
  <c r="M230" i="96"/>
  <c r="M229" i="96"/>
  <c r="M228" i="96"/>
  <c r="M227" i="96"/>
  <c r="M226" i="96"/>
  <c r="M225" i="96"/>
  <c r="M224" i="96"/>
  <c r="I15" i="43" s="1" a="1"/>
  <c r="I15" i="43" s="1"/>
  <c r="M223" i="96"/>
  <c r="M222" i="96"/>
  <c r="M221" i="96"/>
  <c r="M220" i="96"/>
  <c r="M219" i="96"/>
  <c r="M218" i="96"/>
  <c r="M217" i="96"/>
  <c r="M216" i="96"/>
  <c r="M215" i="96"/>
  <c r="M214" i="96"/>
  <c r="M213" i="96"/>
  <c r="M212" i="96"/>
  <c r="M211" i="96"/>
  <c r="M210" i="96"/>
  <c r="M209" i="96"/>
  <c r="M208" i="96"/>
  <c r="M207" i="96"/>
  <c r="M206" i="96"/>
  <c r="M205" i="96"/>
  <c r="M204" i="96"/>
  <c r="M203" i="96"/>
  <c r="M202" i="96"/>
  <c r="M201" i="96"/>
  <c r="M200" i="96"/>
  <c r="M199" i="96"/>
  <c r="M198" i="96"/>
  <c r="M197" i="96"/>
  <c r="M196" i="96"/>
  <c r="M195" i="96"/>
  <c r="M194" i="96"/>
  <c r="M193" i="96"/>
  <c r="M192" i="96"/>
  <c r="M191" i="96"/>
  <c r="M190" i="96"/>
  <c r="M189" i="96"/>
  <c r="M188" i="96"/>
  <c r="M187" i="96"/>
  <c r="M186" i="96"/>
  <c r="M185" i="96"/>
  <c r="M184" i="96"/>
  <c r="M183" i="96"/>
  <c r="M182" i="96"/>
  <c r="M181" i="96"/>
  <c r="I14" i="43" s="1" a="1"/>
  <c r="I14" i="43" s="1"/>
  <c r="M180" i="96"/>
  <c r="M179" i="96"/>
  <c r="M178" i="96"/>
  <c r="M177" i="96"/>
  <c r="M176" i="96"/>
  <c r="M175" i="96"/>
  <c r="M174" i="96"/>
  <c r="M173" i="96"/>
  <c r="M172" i="96"/>
  <c r="M171" i="96"/>
  <c r="M170" i="96"/>
  <c r="M169" i="96"/>
  <c r="M168" i="96"/>
  <c r="M167" i="96"/>
  <c r="M166" i="96"/>
  <c r="M165" i="96"/>
  <c r="M164" i="96"/>
  <c r="M163" i="96"/>
  <c r="M162" i="96"/>
  <c r="M161" i="96"/>
  <c r="M160" i="96"/>
  <c r="M159" i="96"/>
  <c r="M158" i="96"/>
  <c r="M157" i="96"/>
  <c r="M156" i="96"/>
  <c r="M155" i="96"/>
  <c r="M154" i="96"/>
  <c r="M153" i="96"/>
  <c r="M152" i="96"/>
  <c r="M151" i="96"/>
  <c r="M150" i="96"/>
  <c r="M149" i="96"/>
  <c r="M148" i="96"/>
  <c r="M147" i="96"/>
  <c r="M146" i="96"/>
  <c r="M145" i="96"/>
  <c r="M144" i="96"/>
  <c r="M143" i="96"/>
  <c r="M142" i="96"/>
  <c r="M141" i="96"/>
  <c r="M140" i="96"/>
  <c r="M139" i="96"/>
  <c r="M138" i="96"/>
  <c r="I13" i="43" s="1" a="1"/>
  <c r="I13" i="43" s="1"/>
  <c r="M137" i="96"/>
  <c r="M136" i="96"/>
  <c r="M135" i="96"/>
  <c r="M134" i="96"/>
  <c r="M133" i="96"/>
  <c r="M132" i="96"/>
  <c r="M131" i="96"/>
  <c r="M130" i="96"/>
  <c r="M129" i="96"/>
  <c r="M128" i="96"/>
  <c r="M127" i="96"/>
  <c r="M126" i="96"/>
  <c r="M125" i="96"/>
  <c r="M124" i="96"/>
  <c r="M123" i="96"/>
  <c r="M122" i="96"/>
  <c r="M121" i="96"/>
  <c r="M120" i="96"/>
  <c r="M119" i="96"/>
  <c r="M118" i="96"/>
  <c r="M117" i="96"/>
  <c r="M116" i="96"/>
  <c r="M115" i="96"/>
  <c r="M114" i="96"/>
  <c r="M113" i="96"/>
  <c r="M112" i="96"/>
  <c r="M111" i="96"/>
  <c r="M110" i="96"/>
  <c r="M109" i="96"/>
  <c r="M108" i="96"/>
  <c r="M107" i="96"/>
  <c r="M106" i="96"/>
  <c r="M105" i="96"/>
  <c r="M104" i="96"/>
  <c r="M103" i="96"/>
  <c r="M102" i="96"/>
  <c r="M101" i="96"/>
  <c r="M100" i="96"/>
  <c r="M99" i="96"/>
  <c r="M98" i="96"/>
  <c r="M97" i="96"/>
  <c r="M96" i="96"/>
  <c r="M95" i="96"/>
  <c r="M94" i="96"/>
  <c r="M93" i="96"/>
  <c r="M92" i="96"/>
  <c r="M91" i="96"/>
  <c r="M90" i="96"/>
  <c r="M89" i="96"/>
  <c r="M88" i="96"/>
  <c r="M87" i="96"/>
  <c r="M86" i="96"/>
  <c r="M85" i="96"/>
  <c r="M84" i="96"/>
  <c r="M83" i="96"/>
  <c r="M82" i="96"/>
  <c r="M81" i="96"/>
  <c r="M80" i="96"/>
  <c r="M79" i="96"/>
  <c r="M78" i="96"/>
  <c r="M77" i="96"/>
  <c r="M76" i="96"/>
  <c r="M75" i="96"/>
  <c r="M74" i="96"/>
  <c r="M73" i="96"/>
  <c r="M72" i="96"/>
  <c r="M71" i="96"/>
  <c r="M70" i="96"/>
  <c r="M69" i="96"/>
  <c r="M68" i="96"/>
  <c r="M67" i="96"/>
  <c r="M66" i="96"/>
  <c r="M65" i="96"/>
  <c r="M64" i="96"/>
  <c r="M63" i="96"/>
  <c r="M62" i="96"/>
  <c r="M61" i="96"/>
  <c r="M60" i="96"/>
  <c r="M59" i="96"/>
  <c r="M58" i="96"/>
  <c r="M57" i="96"/>
  <c r="M56" i="96"/>
  <c r="M55" i="96"/>
  <c r="M54" i="96"/>
  <c r="M53" i="96"/>
  <c r="M52" i="96"/>
  <c r="I11" i="43" s="1" a="1"/>
  <c r="I11" i="43" s="1"/>
  <c r="M51" i="96"/>
  <c r="M50" i="96"/>
  <c r="M49" i="96"/>
  <c r="M48" i="96"/>
  <c r="M47" i="96"/>
  <c r="M46" i="96"/>
  <c r="M45" i="96"/>
  <c r="M44" i="96"/>
  <c r="M43" i="96"/>
  <c r="M42" i="96"/>
  <c r="M41" i="96"/>
  <c r="M40" i="96"/>
  <c r="M39" i="96"/>
  <c r="M38" i="96"/>
  <c r="M37" i="96"/>
  <c r="M36" i="96"/>
  <c r="M35" i="96"/>
  <c r="M34" i="96"/>
  <c r="M33" i="96"/>
  <c r="M32" i="96"/>
  <c r="M31" i="96"/>
  <c r="M30" i="96"/>
  <c r="M29" i="96"/>
  <c r="M28" i="96"/>
  <c r="M27" i="96"/>
  <c r="M26" i="96"/>
  <c r="M25" i="96"/>
  <c r="M24" i="96"/>
  <c r="M23" i="96"/>
  <c r="M22" i="96"/>
  <c r="M21" i="96"/>
  <c r="M20" i="96"/>
  <c r="M19" i="96"/>
  <c r="M18" i="96"/>
  <c r="M17" i="96"/>
  <c r="M16" i="96"/>
  <c r="M15" i="96"/>
  <c r="M14" i="96"/>
  <c r="M13" i="96"/>
  <c r="M12" i="96"/>
  <c r="M11" i="96"/>
  <c r="M10" i="96"/>
  <c r="M9" i="96"/>
  <c r="I10" i="43" s="1" a="1"/>
  <c r="I10" i="43" s="1"/>
  <c r="M8" i="96"/>
  <c r="M7" i="96"/>
  <c r="M6" i="96"/>
  <c r="M5" i="96"/>
  <c r="B15" i="73"/>
  <c r="B14" i="73"/>
  <c r="B13" i="73"/>
  <c r="B12" i="73"/>
  <c r="B11" i="73"/>
  <c r="B10" i="73"/>
  <c r="B9" i="73"/>
  <c r="B8" i="73"/>
  <c r="B7" i="73"/>
  <c r="B6" i="73"/>
  <c r="B5" i="73"/>
  <c r="A1" i="73"/>
  <c r="A1" i="66"/>
  <c r="A1" i="65"/>
  <c r="D148" i="64"/>
  <c r="D147" i="64"/>
  <c r="D146" i="64"/>
  <c r="D145" i="64"/>
  <c r="D144" i="64"/>
  <c r="D143" i="64"/>
  <c r="D142" i="64"/>
  <c r="J141" i="64"/>
  <c r="J141" i="66" s="1"/>
  <c r="D141" i="64"/>
  <c r="D140" i="64"/>
  <c r="D139" i="64"/>
  <c r="D138" i="64"/>
  <c r="D137" i="64"/>
  <c r="D136" i="64"/>
  <c r="D135" i="64"/>
  <c r="D134" i="64"/>
  <c r="D133" i="64"/>
  <c r="D132" i="64"/>
  <c r="D131" i="64"/>
  <c r="D130" i="64"/>
  <c r="D129" i="64"/>
  <c r="D128" i="64"/>
  <c r="D127" i="64"/>
  <c r="D126" i="64"/>
  <c r="D125" i="64"/>
  <c r="D124" i="64"/>
  <c r="D123" i="64"/>
  <c r="D122" i="64"/>
  <c r="D121" i="64"/>
  <c r="D120" i="64"/>
  <c r="D119" i="64"/>
  <c r="D118" i="64"/>
  <c r="D117" i="64"/>
  <c r="D116" i="64"/>
  <c r="D115" i="64"/>
  <c r="D114" i="64"/>
  <c r="D113" i="64"/>
  <c r="D112" i="64"/>
  <c r="D111" i="64"/>
  <c r="D110" i="64"/>
  <c r="D109" i="64"/>
  <c r="D108" i="64"/>
  <c r="D107" i="64"/>
  <c r="D106" i="64"/>
  <c r="D105" i="64"/>
  <c r="D104" i="64"/>
  <c r="D103" i="64"/>
  <c r="D102" i="64"/>
  <c r="D101" i="64"/>
  <c r="D100" i="64"/>
  <c r="D99" i="64"/>
  <c r="D98" i="64"/>
  <c r="D97" i="64"/>
  <c r="D96" i="64"/>
  <c r="D95" i="64"/>
  <c r="D94" i="64"/>
  <c r="D93" i="64"/>
  <c r="D92" i="64"/>
  <c r="D91" i="64"/>
  <c r="D90" i="64"/>
  <c r="D89" i="64"/>
  <c r="D88" i="64"/>
  <c r="D87" i="64"/>
  <c r="D86" i="64"/>
  <c r="D85" i="64"/>
  <c r="D84" i="64"/>
  <c r="D83" i="64"/>
  <c r="D82" i="64"/>
  <c r="D81" i="64"/>
  <c r="D80" i="64"/>
  <c r="D79" i="64"/>
  <c r="D78" i="64"/>
  <c r="D77" i="64"/>
  <c r="D76" i="64"/>
  <c r="D75" i="64"/>
  <c r="D74" i="64"/>
  <c r="D73" i="64"/>
  <c r="D72" i="64"/>
  <c r="D71" i="64"/>
  <c r="D70" i="64"/>
  <c r="D69" i="64"/>
  <c r="D68" i="64"/>
  <c r="D67" i="64"/>
  <c r="D66" i="64"/>
  <c r="D65" i="64"/>
  <c r="D64" i="64"/>
  <c r="D63" i="64"/>
  <c r="D62" i="64"/>
  <c r="D61" i="64"/>
  <c r="D60" i="64"/>
  <c r="D59" i="64"/>
  <c r="D58" i="64"/>
  <c r="D57" i="64"/>
  <c r="D56" i="64"/>
  <c r="D55" i="64"/>
  <c r="D54" i="64"/>
  <c r="D53" i="64"/>
  <c r="D52" i="64"/>
  <c r="D51" i="64"/>
  <c r="D50" i="64"/>
  <c r="D49" i="64"/>
  <c r="D48" i="64"/>
  <c r="D47" i="64"/>
  <c r="D46" i="64"/>
  <c r="D45" i="64"/>
  <c r="D44" i="64"/>
  <c r="D43" i="64"/>
  <c r="D42" i="64"/>
  <c r="D41" i="64"/>
  <c r="D40" i="64"/>
  <c r="D39" i="64"/>
  <c r="D38" i="64"/>
  <c r="D37" i="64"/>
  <c r="D36" i="64"/>
  <c r="D35" i="64"/>
  <c r="D34" i="64"/>
  <c r="D33" i="64"/>
  <c r="D32" i="64"/>
  <c r="D31" i="64"/>
  <c r="D30" i="64"/>
  <c r="D29" i="64"/>
  <c r="D28" i="64"/>
  <c r="D27" i="64"/>
  <c r="D26" i="64"/>
  <c r="D25" i="64"/>
  <c r="D24" i="64"/>
  <c r="D23" i="64"/>
  <c r="D22" i="64"/>
  <c r="D21" i="64"/>
  <c r="D20" i="64"/>
  <c r="D19" i="64"/>
  <c r="D18" i="64"/>
  <c r="D17" i="64"/>
  <c r="D16" i="64"/>
  <c r="D15" i="64"/>
  <c r="D14" i="64"/>
  <c r="D13" i="64"/>
  <c r="D12" i="64"/>
  <c r="D11" i="64"/>
  <c r="D10" i="64"/>
  <c r="D9" i="64"/>
  <c r="D8" i="64"/>
  <c r="D7" i="64"/>
  <c r="D6" i="64"/>
  <c r="D5" i="64"/>
  <c r="A1" i="64"/>
  <c r="Q139" i="99"/>
  <c r="Q138" i="99"/>
  <c r="S138" i="99" s="1"/>
  <c r="Q137" i="99"/>
  <c r="V137" i="99" s="1"/>
  <c r="I144" i="64" s="1"/>
  <c r="I144" i="66" s="1"/>
  <c r="Q136" i="99"/>
  <c r="W136" i="99" s="1"/>
  <c r="Q135" i="99"/>
  <c r="W135" i="99" s="1"/>
  <c r="Q134" i="99"/>
  <c r="W134" i="99" s="1"/>
  <c r="J140" i="64" s="1"/>
  <c r="J140" i="66" s="1"/>
  <c r="Q133" i="99"/>
  <c r="U133" i="99" s="1"/>
  <c r="Q132" i="99"/>
  <c r="X132" i="99" s="1"/>
  <c r="Q131" i="99"/>
  <c r="X131" i="99" s="1"/>
  <c r="Q130" i="99"/>
  <c r="Q129" i="99"/>
  <c r="W129" i="99" s="1"/>
  <c r="Q128" i="99"/>
  <c r="Q127" i="99"/>
  <c r="W127" i="99" s="1"/>
  <c r="Q126" i="99"/>
  <c r="S126" i="99" s="1"/>
  <c r="Q125" i="99"/>
  <c r="T125" i="99" s="1"/>
  <c r="Q124" i="99"/>
  <c r="V124" i="99" s="1"/>
  <c r="Q123" i="99"/>
  <c r="T123" i="99" s="1"/>
  <c r="Q122" i="99"/>
  <c r="V122" i="99" s="1"/>
  <c r="Q121" i="99"/>
  <c r="V121" i="99" s="1"/>
  <c r="Q120" i="99"/>
  <c r="T120" i="99" s="1"/>
  <c r="Q119" i="99"/>
  <c r="Q118" i="99"/>
  <c r="W118" i="99" s="1"/>
  <c r="Q117" i="99"/>
  <c r="T117" i="99" s="1"/>
  <c r="Q116" i="99"/>
  <c r="X116" i="99" s="1"/>
  <c r="Q115" i="99"/>
  <c r="U115" i="99" s="1"/>
  <c r="Q114" i="99"/>
  <c r="V114" i="99" s="1"/>
  <c r="Q113" i="99"/>
  <c r="W113" i="99" s="1"/>
  <c r="Q112" i="99"/>
  <c r="X112" i="99" s="1"/>
  <c r="Q111" i="99"/>
  <c r="W111" i="99" s="1"/>
  <c r="Q110" i="99"/>
  <c r="X110" i="99" s="1"/>
  <c r="Q109" i="99"/>
  <c r="X109" i="99" s="1"/>
  <c r="Q108" i="99"/>
  <c r="Q107" i="99"/>
  <c r="Q106" i="99"/>
  <c r="Q105" i="99"/>
  <c r="W105" i="99" s="1"/>
  <c r="Q104" i="99"/>
  <c r="W104" i="99" s="1"/>
  <c r="Q103" i="99"/>
  <c r="W103" i="99" s="1"/>
  <c r="Q102" i="99"/>
  <c r="Q101" i="99"/>
  <c r="Q100" i="99"/>
  <c r="W100" i="99" s="1"/>
  <c r="Q99" i="99"/>
  <c r="X99" i="99" s="1"/>
  <c r="Q98" i="99"/>
  <c r="X98" i="99" s="1"/>
  <c r="Q97" i="99"/>
  <c r="Q96" i="99"/>
  <c r="X96" i="99" s="1"/>
  <c r="Q95" i="99"/>
  <c r="T95" i="99" s="1"/>
  <c r="Q94" i="99"/>
  <c r="X94" i="99" s="1"/>
  <c r="Q93" i="99"/>
  <c r="T93" i="99" s="1"/>
  <c r="Q92" i="99"/>
  <c r="V92" i="99" s="1"/>
  <c r="Q91" i="99"/>
  <c r="U91" i="99" s="1"/>
  <c r="Q90" i="99"/>
  <c r="T90" i="99" s="1"/>
  <c r="Q89" i="99"/>
  <c r="T89" i="99" s="1"/>
  <c r="Q88" i="99"/>
  <c r="Q87" i="99"/>
  <c r="W87" i="99" s="1"/>
  <c r="Q86" i="99"/>
  <c r="W86" i="99" s="1"/>
  <c r="Q85" i="99"/>
  <c r="X85" i="99" s="1"/>
  <c r="Q84" i="99"/>
  <c r="T84" i="99" s="1"/>
  <c r="Q83" i="99"/>
  <c r="X83" i="99" s="1"/>
  <c r="Q82" i="99"/>
  <c r="W82" i="99" s="1"/>
  <c r="Q81" i="99"/>
  <c r="T81" i="99" s="1"/>
  <c r="Q80" i="99"/>
  <c r="W80" i="99" s="1"/>
  <c r="Q79" i="99"/>
  <c r="Q78" i="99"/>
  <c r="X78" i="99" s="1"/>
  <c r="Q77" i="99"/>
  <c r="W77" i="99" s="1"/>
  <c r="Q76" i="99"/>
  <c r="W76" i="99" s="1"/>
  <c r="Q75" i="99"/>
  <c r="V75" i="99" s="1"/>
  <c r="Q74" i="99"/>
  <c r="Q73" i="99"/>
  <c r="U73" i="99" s="1"/>
  <c r="Q72" i="99"/>
  <c r="W72" i="99" s="1"/>
  <c r="Q71" i="99"/>
  <c r="X71" i="99" s="1"/>
  <c r="Q70" i="99"/>
  <c r="X70" i="99" s="1"/>
  <c r="Q69" i="99"/>
  <c r="W69" i="99" s="1"/>
  <c r="Q68" i="99"/>
  <c r="W68" i="99" s="1"/>
  <c r="Q67" i="99"/>
  <c r="V67" i="99" s="1"/>
  <c r="Q66" i="99"/>
  <c r="W66" i="99" s="1"/>
  <c r="Q65" i="99"/>
  <c r="V65" i="99" s="1"/>
  <c r="Q64" i="99"/>
  <c r="X64" i="99" s="1"/>
  <c r="Q63" i="99"/>
  <c r="R63" i="99" s="1"/>
  <c r="Q62" i="99"/>
  <c r="R62" i="99" s="1"/>
  <c r="Q61" i="99"/>
  <c r="Q60" i="99"/>
  <c r="X60" i="99" s="1"/>
  <c r="Q59" i="99"/>
  <c r="X59" i="99" s="1"/>
  <c r="Q58" i="99"/>
  <c r="Q57" i="99"/>
  <c r="Q56" i="99"/>
  <c r="Q55" i="99"/>
  <c r="V55" i="99" s="1"/>
  <c r="Q54" i="99"/>
  <c r="W54" i="99" s="1"/>
  <c r="Q53" i="99"/>
  <c r="T53" i="99" s="1"/>
  <c r="Q52" i="99"/>
  <c r="R52" i="99" s="1"/>
  <c r="Q51" i="99"/>
  <c r="Q50" i="99"/>
  <c r="Q49" i="99"/>
  <c r="V49" i="99" s="1"/>
  <c r="Q48" i="99"/>
  <c r="Q47" i="99"/>
  <c r="X47" i="99" s="1"/>
  <c r="Q46" i="99"/>
  <c r="Q45" i="99"/>
  <c r="Q44" i="99"/>
  <c r="X44" i="99" s="1"/>
  <c r="Q43" i="99"/>
  <c r="Q42" i="99"/>
  <c r="V42" i="99" s="1"/>
  <c r="Q41" i="99"/>
  <c r="Q40" i="99"/>
  <c r="W40" i="99" s="1"/>
  <c r="Q39" i="99"/>
  <c r="U39" i="99" s="1"/>
  <c r="Q38" i="99"/>
  <c r="Q37" i="99"/>
  <c r="X37" i="99" s="1"/>
  <c r="Q36" i="99"/>
  <c r="W36" i="99" s="1"/>
  <c r="Q35" i="99"/>
  <c r="V35" i="99" s="1"/>
  <c r="Q34" i="99"/>
  <c r="U34" i="99" s="1"/>
  <c r="Q33" i="99"/>
  <c r="Q32" i="99"/>
  <c r="X32" i="99" s="1"/>
  <c r="Q31" i="99"/>
  <c r="U31" i="99" s="1"/>
  <c r="Q30" i="99"/>
  <c r="T30" i="99" s="1"/>
  <c r="Q29" i="99"/>
  <c r="X29" i="99" s="1"/>
  <c r="Q28" i="99"/>
  <c r="W28" i="99" s="1"/>
  <c r="Q27" i="99"/>
  <c r="X27" i="99" s="1"/>
  <c r="Q26" i="99"/>
  <c r="U26" i="99" s="1"/>
  <c r="Q25" i="99"/>
  <c r="W25" i="99" s="1"/>
  <c r="Q24" i="99"/>
  <c r="X24" i="99" s="1"/>
  <c r="Q23" i="99"/>
  <c r="R23" i="99" s="1"/>
  <c r="Q22" i="99"/>
  <c r="Q21" i="99"/>
  <c r="V21" i="99" s="1"/>
  <c r="Q20" i="99"/>
  <c r="Q19" i="99"/>
  <c r="Q18" i="99"/>
  <c r="Q17" i="99"/>
  <c r="T17" i="99" s="1"/>
  <c r="Q16" i="99"/>
  <c r="W16" i="99" s="1"/>
  <c r="Q15" i="99"/>
  <c r="Q14" i="99"/>
  <c r="W14" i="99" s="1"/>
  <c r="Q13" i="99"/>
  <c r="X13" i="99" s="1"/>
  <c r="Q12" i="99"/>
  <c r="S12" i="99" s="1"/>
  <c r="Q11" i="99"/>
  <c r="T11" i="99" s="1"/>
  <c r="Q10" i="99"/>
  <c r="X10" i="99" s="1"/>
  <c r="Q9" i="99"/>
  <c r="Q8" i="99"/>
  <c r="R8" i="99" s="1"/>
  <c r="Q7" i="99"/>
  <c r="A1" i="97"/>
  <c r="C7" i="98"/>
  <c r="A1" i="98"/>
  <c r="F12" i="43" l="1"/>
  <c r="F18" i="43"/>
  <c r="F20" i="43"/>
  <c r="F14" i="43"/>
  <c r="F11" i="43"/>
  <c r="F16" i="43"/>
  <c r="F17" i="43"/>
  <c r="F13" i="43"/>
  <c r="F15" i="43"/>
  <c r="F19" i="43"/>
  <c r="AK10" i="43"/>
  <c r="AQ10" i="43" s="1"/>
  <c r="AJ10" i="43"/>
  <c r="AI10" i="43"/>
  <c r="AL10" i="43"/>
  <c r="AH10" i="43"/>
  <c r="AK11" i="43"/>
  <c r="AQ11" i="43" s="1"/>
  <c r="AJ11" i="43"/>
  <c r="AP11" i="43" s="1"/>
  <c r="AI11" i="43"/>
  <c r="AL11" i="43"/>
  <c r="AH11" i="43"/>
  <c r="AN11" i="43" s="1"/>
  <c r="AK13" i="43"/>
  <c r="AQ13" i="43" s="1"/>
  <c r="AJ13" i="43"/>
  <c r="AI13" i="43"/>
  <c r="AO13" i="43" s="1"/>
  <c r="AL13" i="43"/>
  <c r="AH13" i="43"/>
  <c r="AK14" i="43"/>
  <c r="AQ14" i="43" s="1"/>
  <c r="AJ14" i="43"/>
  <c r="AI14" i="43"/>
  <c r="AO14" i="43" s="1"/>
  <c r="AL14" i="43"/>
  <c r="AH14" i="43"/>
  <c r="AN14" i="43" s="1"/>
  <c r="AK15" i="43"/>
  <c r="AQ15" i="43" s="1"/>
  <c r="AJ15" i="43"/>
  <c r="AI15" i="43"/>
  <c r="AO15" i="43" s="1"/>
  <c r="AL15" i="43"/>
  <c r="AH15" i="43"/>
  <c r="AK16" i="43"/>
  <c r="AQ16" i="43" s="1"/>
  <c r="AJ16" i="43"/>
  <c r="AI16" i="43"/>
  <c r="AO16" i="43" s="1"/>
  <c r="AL16" i="43"/>
  <c r="AH16" i="43"/>
  <c r="AN16" i="43" s="1"/>
  <c r="AK17" i="43"/>
  <c r="AQ17" i="43" s="1"/>
  <c r="AJ17" i="43"/>
  <c r="AI17" i="43"/>
  <c r="AL17" i="43"/>
  <c r="AH17" i="43"/>
  <c r="AN17" i="43" s="1"/>
  <c r="AK18" i="43"/>
  <c r="AQ18" i="43" s="1"/>
  <c r="AJ18" i="43"/>
  <c r="AI18" i="43"/>
  <c r="AO18" i="43" s="1"/>
  <c r="AL18" i="43"/>
  <c r="AH18" i="43"/>
  <c r="AK19" i="43"/>
  <c r="AQ19" i="43" s="1"/>
  <c r="AJ19" i="43"/>
  <c r="AP19" i="43" s="1"/>
  <c r="AI19" i="43"/>
  <c r="AO19" i="43" s="1"/>
  <c r="AL19" i="43"/>
  <c r="AH19" i="43"/>
  <c r="AN19" i="43" s="1"/>
  <c r="AK20" i="43"/>
  <c r="AQ20" i="43" s="1"/>
  <c r="AJ20" i="43"/>
  <c r="AP20" i="43" s="1"/>
  <c r="AI20" i="43"/>
  <c r="AL20" i="43"/>
  <c r="AH20" i="43"/>
  <c r="AN20" i="43" s="1"/>
  <c r="I12" i="43" a="1"/>
  <c r="I12" i="43" s="1"/>
  <c r="B7" i="106"/>
  <c r="B15" i="106"/>
  <c r="B12" i="106"/>
  <c r="B9" i="106"/>
  <c r="B8" i="106"/>
  <c r="B13" i="106"/>
  <c r="B16" i="106"/>
  <c r="B11" i="106"/>
  <c r="B10" i="106"/>
  <c r="B14" i="106"/>
  <c r="B17" i="106"/>
  <c r="B29" i="82"/>
  <c r="L151" i="66"/>
  <c r="S21" i="99"/>
  <c r="F19" i="64" s="1"/>
  <c r="F19" i="66" s="1"/>
  <c r="U21" i="99"/>
  <c r="W21" i="99"/>
  <c r="J19" i="64" s="1"/>
  <c r="J19" i="66" s="1"/>
  <c r="O28" i="82"/>
  <c r="B45" i="82"/>
  <c r="R21" i="99"/>
  <c r="R10" i="99"/>
  <c r="L153" i="66"/>
  <c r="L149" i="66"/>
  <c r="L150" i="66"/>
  <c r="L152" i="66"/>
  <c r="B48" i="82"/>
  <c r="L155" i="66"/>
  <c r="L158" i="66"/>
  <c r="S116" i="99"/>
  <c r="U10" i="99"/>
  <c r="S100" i="99"/>
  <c r="O24" i="82"/>
  <c r="T113" i="99"/>
  <c r="G111" i="64" s="1"/>
  <c r="G111" i="66" s="1"/>
  <c r="S10" i="99"/>
  <c r="V10" i="99"/>
  <c r="W138" i="99"/>
  <c r="J136" i="64" s="1"/>
  <c r="J136" i="66" s="1"/>
  <c r="B27" i="82"/>
  <c r="L157" i="66"/>
  <c r="L154" i="66"/>
  <c r="L156" i="66"/>
  <c r="O13" i="82"/>
  <c r="R75" i="99"/>
  <c r="T86" i="99"/>
  <c r="G84" i="64" s="1"/>
  <c r="G84" i="66" s="1"/>
  <c r="B44" i="82"/>
  <c r="T35" i="99"/>
  <c r="R42" i="99"/>
  <c r="E40" i="64" s="1"/>
  <c r="E40" i="66" s="1"/>
  <c r="R64" i="99"/>
  <c r="S70" i="99"/>
  <c r="F68" i="64" s="1"/>
  <c r="F68" i="66" s="1"/>
  <c r="U75" i="99"/>
  <c r="H73" i="64" s="1"/>
  <c r="H73" i="66" s="1"/>
  <c r="V109" i="99"/>
  <c r="W114" i="99"/>
  <c r="W8" i="99"/>
  <c r="W64" i="99"/>
  <c r="X75" i="99"/>
  <c r="W109" i="99"/>
  <c r="X114" i="99"/>
  <c r="W12" i="99"/>
  <c r="S30" i="99"/>
  <c r="V82" i="99"/>
  <c r="I80" i="64" s="1"/>
  <c r="I80" i="66" s="1"/>
  <c r="R121" i="99"/>
  <c r="U72" i="99"/>
  <c r="O34" i="82"/>
  <c r="O17" i="82"/>
  <c r="O51" i="82"/>
  <c r="V26" i="99"/>
  <c r="X62" i="99"/>
  <c r="T78" i="99"/>
  <c r="R123" i="99"/>
  <c r="V17" i="99"/>
  <c r="S67" i="99"/>
  <c r="F65" i="64" s="1"/>
  <c r="F65" i="66" s="1"/>
  <c r="S75" i="99"/>
  <c r="F73" i="64" s="1"/>
  <c r="F73" i="66" s="1"/>
  <c r="U105" i="99"/>
  <c r="T135" i="99"/>
  <c r="G141" i="64" s="1"/>
  <c r="G141" i="66" s="1"/>
  <c r="W37" i="99"/>
  <c r="J35" i="64" s="1"/>
  <c r="J35" i="66" s="1"/>
  <c r="U67" i="99"/>
  <c r="T75" i="99"/>
  <c r="T114" i="99"/>
  <c r="G112" i="64" s="1"/>
  <c r="G112" i="66" s="1"/>
  <c r="W117" i="99"/>
  <c r="J115" i="64" s="1"/>
  <c r="J115" i="66" s="1"/>
  <c r="S8" i="99"/>
  <c r="V53" i="99"/>
  <c r="U60" i="99"/>
  <c r="X67" i="99"/>
  <c r="R81" i="99"/>
  <c r="E79" i="64" s="1"/>
  <c r="E79" i="66" s="1"/>
  <c r="R112" i="99"/>
  <c r="T137" i="99"/>
  <c r="G135" i="64" s="1"/>
  <c r="G135" i="66" s="1"/>
  <c r="T8" i="99"/>
  <c r="G6" i="64" s="1"/>
  <c r="G6" i="66" s="1"/>
  <c r="T10" i="99"/>
  <c r="G8" i="64" s="1"/>
  <c r="G8" i="66" s="1"/>
  <c r="T24" i="99"/>
  <c r="G22" i="64" s="1"/>
  <c r="G22" i="66" s="1"/>
  <c r="R30" i="99"/>
  <c r="E28" i="64" s="1"/>
  <c r="E28" i="66" s="1"/>
  <c r="S35" i="99"/>
  <c r="S73" i="99"/>
  <c r="U112" i="99"/>
  <c r="X125" i="99"/>
  <c r="T96" i="99"/>
  <c r="U109" i="99"/>
  <c r="R115" i="99"/>
  <c r="T138" i="99"/>
  <c r="U8" i="99"/>
  <c r="V8" i="99"/>
  <c r="X35" i="99"/>
  <c r="V62" i="99"/>
  <c r="S66" i="99"/>
  <c r="T27" i="99"/>
  <c r="U70" i="99"/>
  <c r="W78" i="99"/>
  <c r="W81" i="99"/>
  <c r="J79" i="64" s="1"/>
  <c r="J79" i="66" s="1"/>
  <c r="T83" i="99"/>
  <c r="V86" i="99"/>
  <c r="T103" i="99"/>
  <c r="T116" i="99"/>
  <c r="G114" i="64" s="1"/>
  <c r="G114" i="66" s="1"/>
  <c r="T118" i="99"/>
  <c r="S121" i="99"/>
  <c r="F119" i="64" s="1"/>
  <c r="F119" i="66" s="1"/>
  <c r="S123" i="99"/>
  <c r="F121" i="64" s="1"/>
  <c r="F121" i="66" s="1"/>
  <c r="W126" i="99"/>
  <c r="U137" i="99"/>
  <c r="U24" i="99"/>
  <c r="T42" i="99"/>
  <c r="T47" i="99"/>
  <c r="W27" i="99"/>
  <c r="J25" i="64" s="1"/>
  <c r="J25" i="66" s="1"/>
  <c r="S39" i="99"/>
  <c r="U42" i="99"/>
  <c r="U47" i="99"/>
  <c r="S52" i="99"/>
  <c r="R66" i="99"/>
  <c r="W70" i="99"/>
  <c r="J68" i="64" s="1"/>
  <c r="J68" i="66" s="1"/>
  <c r="X81" i="99"/>
  <c r="V83" i="99"/>
  <c r="X86" i="99"/>
  <c r="R100" i="99"/>
  <c r="U103" i="99"/>
  <c r="U116" i="99"/>
  <c r="T121" i="99"/>
  <c r="G119" i="64" s="1"/>
  <c r="G119" i="66" s="1"/>
  <c r="W123" i="99"/>
  <c r="X126" i="99"/>
  <c r="R135" i="99"/>
  <c r="W137" i="99"/>
  <c r="J135" i="64" s="1"/>
  <c r="J135" i="66" s="1"/>
  <c r="V14" i="99"/>
  <c r="W42" i="99"/>
  <c r="T52" i="99"/>
  <c r="G50" i="64" s="1"/>
  <c r="G50" i="66" s="1"/>
  <c r="W116" i="99"/>
  <c r="J114" i="64" s="1"/>
  <c r="J114" i="66" s="1"/>
  <c r="U121" i="99"/>
  <c r="X137" i="99"/>
  <c r="K144" i="64" s="1"/>
  <c r="K144" i="66" s="1"/>
  <c r="S23" i="99"/>
  <c r="X8" i="99"/>
  <c r="W10" i="99"/>
  <c r="T23" i="99"/>
  <c r="S26" i="99"/>
  <c r="F24" i="64" s="1"/>
  <c r="F24" i="66" s="1"/>
  <c r="S37" i="99"/>
  <c r="W39" i="99"/>
  <c r="W47" i="99"/>
  <c r="J45" i="64" s="1"/>
  <c r="J45" i="66" s="1"/>
  <c r="V52" i="99"/>
  <c r="S62" i="99"/>
  <c r="S64" i="99"/>
  <c r="T66" i="99"/>
  <c r="V68" i="99"/>
  <c r="I65" i="64" s="1"/>
  <c r="I65" i="66" s="1"/>
  <c r="X73" i="99"/>
  <c r="S82" i="99"/>
  <c r="S84" i="99"/>
  <c r="S87" i="99"/>
  <c r="S92" i="99"/>
  <c r="F90" i="64" s="1"/>
  <c r="F90" i="66" s="1"/>
  <c r="W96" i="99"/>
  <c r="U100" i="99"/>
  <c r="S111" i="99"/>
  <c r="F109" i="64" s="1"/>
  <c r="F109" i="66" s="1"/>
  <c r="U113" i="99"/>
  <c r="H111" i="64" s="1"/>
  <c r="H111" i="66" s="1"/>
  <c r="S115" i="99"/>
  <c r="F113" i="64" s="1"/>
  <c r="F113" i="66" s="1"/>
  <c r="X121" i="99"/>
  <c r="U127" i="99"/>
  <c r="R132" i="99"/>
  <c r="X135" i="99"/>
  <c r="K141" i="64" s="1"/>
  <c r="K141" i="66" s="1"/>
  <c r="V23" i="99"/>
  <c r="I21" i="64" s="1"/>
  <c r="I21" i="66" s="1"/>
  <c r="T26" i="99"/>
  <c r="G24" i="64" s="1"/>
  <c r="G24" i="66" s="1"/>
  <c r="U37" i="99"/>
  <c r="W52" i="99"/>
  <c r="T62" i="99"/>
  <c r="T64" i="99"/>
  <c r="S71" i="99"/>
  <c r="T80" i="99"/>
  <c r="T82" i="99"/>
  <c r="U87" i="99"/>
  <c r="U92" i="99"/>
  <c r="H90" i="64" s="1"/>
  <c r="H90" i="66" s="1"/>
  <c r="V100" i="99"/>
  <c r="V104" i="99"/>
  <c r="U111" i="99"/>
  <c r="H109" i="64" s="1"/>
  <c r="H109" i="66" s="1"/>
  <c r="T115" i="99"/>
  <c r="S120" i="99"/>
  <c r="S125" i="99"/>
  <c r="U132" i="99"/>
  <c r="R138" i="99"/>
  <c r="V47" i="99"/>
  <c r="X16" i="99"/>
  <c r="W23" i="99"/>
  <c r="J21" i="64" s="1"/>
  <c r="J21" i="66" s="1"/>
  <c r="V37" i="99"/>
  <c r="U62" i="99"/>
  <c r="U64" i="99"/>
  <c r="U82" i="99"/>
  <c r="H80" i="64" s="1"/>
  <c r="H80" i="66" s="1"/>
  <c r="X104" i="99"/>
  <c r="K102" i="64" s="1"/>
  <c r="K102" i="66" s="1"/>
  <c r="S109" i="99"/>
  <c r="F107" i="64" s="1"/>
  <c r="F107" i="66" s="1"/>
  <c r="R114" i="99"/>
  <c r="R117" i="99"/>
  <c r="E115" i="64" s="1"/>
  <c r="E115" i="66" s="1"/>
  <c r="W122" i="99"/>
  <c r="S89" i="99"/>
  <c r="U43" i="99"/>
  <c r="S43" i="99"/>
  <c r="V134" i="99"/>
  <c r="I140" i="64" s="1"/>
  <c r="I140" i="66" s="1"/>
  <c r="X34" i="99"/>
  <c r="R43" i="99"/>
  <c r="E41" i="64" s="1"/>
  <c r="E41" i="66" s="1"/>
  <c r="U55" i="99"/>
  <c r="V60" i="99"/>
  <c r="W60" i="99"/>
  <c r="R60" i="99"/>
  <c r="V89" i="99"/>
  <c r="I87" i="64" s="1"/>
  <c r="I87" i="66" s="1"/>
  <c r="S103" i="99"/>
  <c r="X103" i="99"/>
  <c r="K101" i="64" s="1"/>
  <c r="K101" i="66" s="1"/>
  <c r="V103" i="99"/>
  <c r="T105" i="99"/>
  <c r="R105" i="99"/>
  <c r="X134" i="99"/>
  <c r="K140" i="64" s="1"/>
  <c r="K140" i="66" s="1"/>
  <c r="I19" i="64"/>
  <c r="I19" i="66" s="1"/>
  <c r="X49" i="99"/>
  <c r="K47" i="64" s="1"/>
  <c r="K47" i="66" s="1"/>
  <c r="T49" i="99"/>
  <c r="U76" i="99"/>
  <c r="H74" i="64" s="1"/>
  <c r="H74" i="66" s="1"/>
  <c r="R76" i="99"/>
  <c r="W102" i="99"/>
  <c r="R102" i="99"/>
  <c r="E100" i="64" s="1"/>
  <c r="E100" i="66" s="1"/>
  <c r="S49" i="99"/>
  <c r="S76" i="99"/>
  <c r="F74" i="64" s="1"/>
  <c r="F74" i="66" s="1"/>
  <c r="T43" i="99"/>
  <c r="G41" i="64" s="1"/>
  <c r="G41" i="66" s="1"/>
  <c r="W49" i="99"/>
  <c r="T60" i="99"/>
  <c r="G58" i="64" s="1"/>
  <c r="G58" i="66" s="1"/>
  <c r="R70" i="99"/>
  <c r="V70" i="99"/>
  <c r="T70" i="99"/>
  <c r="X76" i="99"/>
  <c r="X80" i="99"/>
  <c r="K78" i="64" s="1"/>
  <c r="K78" i="66" s="1"/>
  <c r="V80" i="99"/>
  <c r="R84" i="99"/>
  <c r="W84" i="99"/>
  <c r="T87" i="99"/>
  <c r="G85" i="64" s="1"/>
  <c r="G85" i="66" s="1"/>
  <c r="R87" i="99"/>
  <c r="V96" i="99"/>
  <c r="U96" i="99"/>
  <c r="R96" i="99"/>
  <c r="R103" i="99"/>
  <c r="S105" i="99"/>
  <c r="W112" i="99"/>
  <c r="S112" i="99"/>
  <c r="V132" i="99"/>
  <c r="I138" i="64" s="1"/>
  <c r="I138" i="66" s="1"/>
  <c r="W132" i="99"/>
  <c r="T132" i="99"/>
  <c r="G138" i="64" s="1"/>
  <c r="G138" i="66" s="1"/>
  <c r="T34" i="99"/>
  <c r="T102" i="99"/>
  <c r="V57" i="99"/>
  <c r="X57" i="99"/>
  <c r="K57" i="64" s="1"/>
  <c r="K57" i="66" s="1"/>
  <c r="T57" i="99"/>
  <c r="R57" i="99"/>
  <c r="V129" i="99"/>
  <c r="I127" i="64" s="1"/>
  <c r="I127" i="66" s="1"/>
  <c r="R129" i="99"/>
  <c r="X129" i="99"/>
  <c r="U129" i="99"/>
  <c r="W43" i="99"/>
  <c r="W48" i="99"/>
  <c r="J46" i="64" s="1"/>
  <c r="J46" i="66" s="1"/>
  <c r="S48" i="99"/>
  <c r="V54" i="99"/>
  <c r="I52" i="64" s="1"/>
  <c r="I52" i="66" s="1"/>
  <c r="R54" i="99"/>
  <c r="X54" i="99"/>
  <c r="U54" i="99"/>
  <c r="S57" i="99"/>
  <c r="S91" i="99"/>
  <c r="S93" i="99"/>
  <c r="T12" i="99"/>
  <c r="G9" i="64" s="1"/>
  <c r="G9" i="66" s="1"/>
  <c r="R12" i="99"/>
  <c r="V39" i="99"/>
  <c r="I37" i="64" s="1"/>
  <c r="I37" i="66" s="1"/>
  <c r="X39" i="99"/>
  <c r="K37" i="64" s="1"/>
  <c r="K37" i="66" s="1"/>
  <c r="T39" i="99"/>
  <c r="R39" i="99"/>
  <c r="R48" i="99"/>
  <c r="S54" i="99"/>
  <c r="U57" i="99"/>
  <c r="H55" i="64" s="1"/>
  <c r="H55" i="66" s="1"/>
  <c r="V78" i="99"/>
  <c r="U78" i="99"/>
  <c r="R78" i="99"/>
  <c r="V91" i="99"/>
  <c r="I89" i="64" s="1"/>
  <c r="I89" i="66" s="1"/>
  <c r="U118" i="99"/>
  <c r="R118" i="99"/>
  <c r="S129" i="99"/>
  <c r="F148" i="64"/>
  <c r="F148" i="66" s="1"/>
  <c r="U94" i="99"/>
  <c r="V93" i="99"/>
  <c r="R93" i="99"/>
  <c r="X93" i="99"/>
  <c r="U93" i="99"/>
  <c r="V11" i="99"/>
  <c r="T28" i="99"/>
  <c r="U28" i="99"/>
  <c r="X31" i="99"/>
  <c r="K29" i="64" s="1"/>
  <c r="K29" i="66" s="1"/>
  <c r="V24" i="99"/>
  <c r="I22" i="64" s="1"/>
  <c r="I22" i="66" s="1"/>
  <c r="W24" i="99"/>
  <c r="J22" i="64" s="1"/>
  <c r="J22" i="66" s="1"/>
  <c r="R24" i="99"/>
  <c r="E22" i="64" s="1"/>
  <c r="E22" i="66" s="1"/>
  <c r="T48" i="99"/>
  <c r="T54" i="99"/>
  <c r="W57" i="99"/>
  <c r="W83" i="99"/>
  <c r="U83" i="99"/>
  <c r="W91" i="99"/>
  <c r="J89" i="64" s="1"/>
  <c r="J89" i="66" s="1"/>
  <c r="W93" i="99"/>
  <c r="V111" i="99"/>
  <c r="X111" i="99"/>
  <c r="T111" i="99"/>
  <c r="R111" i="99"/>
  <c r="S113" i="99"/>
  <c r="V113" i="99"/>
  <c r="I111" i="64" s="1"/>
  <c r="I111" i="66" s="1"/>
  <c r="T129" i="99"/>
  <c r="U136" i="99"/>
  <c r="H142" i="64" s="1"/>
  <c r="H142" i="66" s="1"/>
  <c r="V136" i="99"/>
  <c r="H148" i="64"/>
  <c r="H148" i="66" s="1"/>
  <c r="X21" i="99"/>
  <c r="K19" i="64" s="1"/>
  <c r="K19" i="66" s="1"/>
  <c r="X23" i="99"/>
  <c r="K21" i="64" s="1"/>
  <c r="K21" i="66" s="1"/>
  <c r="X52" i="99"/>
  <c r="O30" i="82"/>
  <c r="I119" i="64"/>
  <c r="I119" i="66" s="1"/>
  <c r="O14" i="82"/>
  <c r="B24" i="82"/>
  <c r="B41" i="82"/>
  <c r="O45" i="82"/>
  <c r="J133" i="64"/>
  <c r="J133" i="66" s="1"/>
  <c r="B32" i="82"/>
  <c r="B46" i="82"/>
  <c r="O49" i="82"/>
  <c r="O11" i="82"/>
  <c r="O15" i="82"/>
  <c r="O32" i="82"/>
  <c r="B50" i="82"/>
  <c r="B33" i="82"/>
  <c r="B47" i="82"/>
  <c r="T21" i="99"/>
  <c r="G19" i="64" s="1"/>
  <c r="G19" i="66" s="1"/>
  <c r="U23" i="99"/>
  <c r="H21" i="64" s="1"/>
  <c r="H21" i="66" s="1"/>
  <c r="X42" i="99"/>
  <c r="U52" i="99"/>
  <c r="W62" i="99"/>
  <c r="V64" i="99"/>
  <c r="W75" i="99"/>
  <c r="J73" i="64" s="1"/>
  <c r="J73" i="66" s="1"/>
  <c r="U114" i="99"/>
  <c r="W121" i="99"/>
  <c r="B34" i="82"/>
  <c r="O47" i="82"/>
  <c r="R139" i="99"/>
  <c r="E146" i="64" s="1"/>
  <c r="E146" i="66" s="1"/>
  <c r="W139" i="99"/>
  <c r="J146" i="64" s="1"/>
  <c r="J146" i="66" s="1"/>
  <c r="T139" i="99"/>
  <c r="G146" i="64" s="1"/>
  <c r="G146" i="66" s="1"/>
  <c r="X139" i="99"/>
  <c r="K146" i="64" s="1"/>
  <c r="K146" i="66" s="1"/>
  <c r="V139" i="99"/>
  <c r="I137" i="64" s="1"/>
  <c r="I137" i="66" s="1"/>
  <c r="U139" i="99"/>
  <c r="S139" i="99"/>
  <c r="F146" i="64" s="1"/>
  <c r="F146" i="66" s="1"/>
  <c r="R107" i="99"/>
  <c r="U107" i="99"/>
  <c r="H105" i="64" s="1"/>
  <c r="H105" i="66" s="1"/>
  <c r="W107" i="99"/>
  <c r="T107" i="99"/>
  <c r="X107" i="99"/>
  <c r="V107" i="99"/>
  <c r="R50" i="99"/>
  <c r="E48" i="64" s="1"/>
  <c r="E48" i="66" s="1"/>
  <c r="S50" i="99"/>
  <c r="U50" i="99"/>
  <c r="V50" i="99"/>
  <c r="W50" i="99"/>
  <c r="T50" i="99"/>
  <c r="X50" i="99"/>
  <c r="S107" i="99"/>
  <c r="F105" i="64" s="1"/>
  <c r="F105" i="66" s="1"/>
  <c r="G87" i="64"/>
  <c r="G87" i="66" s="1"/>
  <c r="T22" i="99"/>
  <c r="V22" i="99"/>
  <c r="I20" i="64" s="1"/>
  <c r="I20" i="66" s="1"/>
  <c r="X22" i="99"/>
  <c r="K20" i="64" s="1"/>
  <c r="K20" i="66" s="1"/>
  <c r="W22" i="99"/>
  <c r="J20" i="64" s="1"/>
  <c r="J20" i="66" s="1"/>
  <c r="S22" i="99"/>
  <c r="F20" i="64" s="1"/>
  <c r="F20" i="66" s="1"/>
  <c r="R22" i="99"/>
  <c r="E20" i="64" s="1"/>
  <c r="E20" i="66" s="1"/>
  <c r="U22" i="99"/>
  <c r="H20" i="64" s="1"/>
  <c r="H20" i="66" s="1"/>
  <c r="V97" i="99"/>
  <c r="X97" i="99"/>
  <c r="W97" i="99"/>
  <c r="J95" i="64" s="1"/>
  <c r="J95" i="66" s="1"/>
  <c r="U97" i="99"/>
  <c r="H95" i="64" s="1"/>
  <c r="H95" i="66" s="1"/>
  <c r="T97" i="99"/>
  <c r="S97" i="99"/>
  <c r="R97" i="99"/>
  <c r="E95" i="64" s="1"/>
  <c r="E95" i="66" s="1"/>
  <c r="J74" i="64"/>
  <c r="J74" i="66" s="1"/>
  <c r="V45" i="99"/>
  <c r="S45" i="99"/>
  <c r="U45" i="99"/>
  <c r="R45" i="99"/>
  <c r="E43" i="64" s="1"/>
  <c r="E43" i="66" s="1"/>
  <c r="W45" i="99"/>
  <c r="T45" i="99"/>
  <c r="X45" i="99"/>
  <c r="K43" i="64" s="1"/>
  <c r="K43" i="66" s="1"/>
  <c r="J26" i="64"/>
  <c r="J26" i="66" s="1"/>
  <c r="J132" i="64"/>
  <c r="J132" i="66" s="1"/>
  <c r="R20" i="99"/>
  <c r="E18" i="64" s="1"/>
  <c r="E18" i="66" s="1"/>
  <c r="W20" i="99"/>
  <c r="J18" i="64" s="1"/>
  <c r="J18" i="66" s="1"/>
  <c r="X20" i="99"/>
  <c r="K18" i="64" s="1"/>
  <c r="K18" i="66" s="1"/>
  <c r="U20" i="99"/>
  <c r="H18" i="64" s="1"/>
  <c r="H18" i="66" s="1"/>
  <c r="T20" i="99"/>
  <c r="V20" i="99"/>
  <c r="I18" i="64" s="1"/>
  <c r="I18" i="66" s="1"/>
  <c r="S20" i="99"/>
  <c r="R77" i="99"/>
  <c r="T77" i="99"/>
  <c r="V77" i="99"/>
  <c r="U77" i="99"/>
  <c r="S77" i="99"/>
  <c r="X77" i="99"/>
  <c r="W29" i="99"/>
  <c r="G115" i="64"/>
  <c r="G115" i="66" s="1"/>
  <c r="V7" i="99"/>
  <c r="X7" i="99"/>
  <c r="K5" i="64" s="1"/>
  <c r="T7" i="99"/>
  <c r="G5" i="64" s="1"/>
  <c r="U7" i="99"/>
  <c r="H5" i="64" s="1"/>
  <c r="H5" i="66" s="1"/>
  <c r="S7" i="99"/>
  <c r="F5" i="64" s="1"/>
  <c r="V15" i="99"/>
  <c r="X15" i="99"/>
  <c r="W15" i="99"/>
  <c r="J12" i="64" s="1"/>
  <c r="J12" i="66" s="1"/>
  <c r="S15" i="99"/>
  <c r="V18" i="99"/>
  <c r="X18" i="99"/>
  <c r="W18" i="99"/>
  <c r="R38" i="99"/>
  <c r="W38" i="99"/>
  <c r="U38" i="99"/>
  <c r="H36" i="64" s="1"/>
  <c r="H36" i="66" s="1"/>
  <c r="T38" i="99"/>
  <c r="S38" i="99"/>
  <c r="R41" i="99"/>
  <c r="S41" i="99"/>
  <c r="R56" i="99"/>
  <c r="W56" i="99"/>
  <c r="T56" i="99"/>
  <c r="T58" i="99"/>
  <c r="V58" i="99"/>
  <c r="R58" i="99"/>
  <c r="E56" i="64" s="1"/>
  <c r="E56" i="66" s="1"/>
  <c r="T85" i="99"/>
  <c r="G88" i="64" s="1"/>
  <c r="G88" i="66" s="1"/>
  <c r="S98" i="99"/>
  <c r="V108" i="99"/>
  <c r="S108" i="99"/>
  <c r="U108" i="99"/>
  <c r="T110" i="99"/>
  <c r="R119" i="99"/>
  <c r="S119" i="99"/>
  <c r="F124" i="64" s="1"/>
  <c r="F124" i="66" s="1"/>
  <c r="W119" i="99"/>
  <c r="T119" i="99"/>
  <c r="E147" i="64"/>
  <c r="E147" i="66" s="1"/>
  <c r="F147" i="64"/>
  <c r="F147" i="66" s="1"/>
  <c r="H147" i="64"/>
  <c r="H147" i="66" s="1"/>
  <c r="I147" i="64"/>
  <c r="I147" i="66" s="1"/>
  <c r="H113" i="64"/>
  <c r="H113" i="66" s="1"/>
  <c r="V33" i="99"/>
  <c r="X33" i="99"/>
  <c r="K31" i="64" s="1"/>
  <c r="K31" i="66" s="1"/>
  <c r="R33" i="99"/>
  <c r="E31" i="64" s="1"/>
  <c r="E31" i="66" s="1"/>
  <c r="V38" i="99"/>
  <c r="I36" i="64" s="1"/>
  <c r="I36" i="66" s="1"/>
  <c r="X46" i="99"/>
  <c r="K44" i="64" s="1"/>
  <c r="K44" i="66" s="1"/>
  <c r="U46" i="99"/>
  <c r="R46" i="99"/>
  <c r="W46" i="99"/>
  <c r="V51" i="99"/>
  <c r="X51" i="99"/>
  <c r="W51" i="99"/>
  <c r="J49" i="64" s="1"/>
  <c r="J49" i="66" s="1"/>
  <c r="S51" i="99"/>
  <c r="R51" i="99"/>
  <c r="S56" i="99"/>
  <c r="W7" i="99"/>
  <c r="J5" i="64" s="1"/>
  <c r="T15" i="99"/>
  <c r="S18" i="99"/>
  <c r="S33" i="99"/>
  <c r="X38" i="99"/>
  <c r="U41" i="99"/>
  <c r="S46" i="99"/>
  <c r="T51" i="99"/>
  <c r="G51" i="64" s="1"/>
  <c r="G51" i="66" s="1"/>
  <c r="U56" i="99"/>
  <c r="H54" i="64" s="1"/>
  <c r="H54" i="66" s="1"/>
  <c r="U58" i="99"/>
  <c r="R74" i="99"/>
  <c r="W74" i="99"/>
  <c r="S74" i="99"/>
  <c r="F72" i="64" s="1"/>
  <c r="F72" i="66" s="1"/>
  <c r="W85" i="99"/>
  <c r="R101" i="99"/>
  <c r="S101" i="99"/>
  <c r="T108" i="99"/>
  <c r="V119" i="99"/>
  <c r="R128" i="99"/>
  <c r="E126" i="64" s="1"/>
  <c r="E126" i="66" s="1"/>
  <c r="W128" i="99"/>
  <c r="J134" i="64" s="1"/>
  <c r="J134" i="66" s="1"/>
  <c r="X128" i="99"/>
  <c r="K126" i="64" s="1"/>
  <c r="K126" i="66" s="1"/>
  <c r="T130" i="99"/>
  <c r="V130" i="99"/>
  <c r="X130" i="99"/>
  <c r="W130" i="99"/>
  <c r="J147" i="64"/>
  <c r="J147" i="66" s="1"/>
  <c r="H146" i="64"/>
  <c r="H146" i="66" s="1"/>
  <c r="I146" i="64"/>
  <c r="I146" i="66" s="1"/>
  <c r="W13" i="99"/>
  <c r="T13" i="99"/>
  <c r="T18" i="99"/>
  <c r="T33" i="99"/>
  <c r="G31" i="64" s="1"/>
  <c r="G31" i="66" s="1"/>
  <c r="V41" i="99"/>
  <c r="V56" i="99"/>
  <c r="I56" i="64" s="1"/>
  <c r="I56" i="66" s="1"/>
  <c r="W58" i="99"/>
  <c r="J56" i="64" s="1"/>
  <c r="J56" i="66" s="1"/>
  <c r="V61" i="99"/>
  <c r="I59" i="64" s="1"/>
  <c r="I59" i="66" s="1"/>
  <c r="X61" i="99"/>
  <c r="K59" i="64" s="1"/>
  <c r="K59" i="66" s="1"/>
  <c r="T61" i="99"/>
  <c r="U61" i="99"/>
  <c r="H59" i="64" s="1"/>
  <c r="H59" i="66" s="1"/>
  <c r="S61" i="99"/>
  <c r="F59" i="64" s="1"/>
  <c r="F59" i="66" s="1"/>
  <c r="T74" i="99"/>
  <c r="R88" i="99"/>
  <c r="X88" i="99"/>
  <c r="S88" i="99"/>
  <c r="F86" i="64" s="1"/>
  <c r="F86" i="66" s="1"/>
  <c r="U88" i="99"/>
  <c r="T88" i="99"/>
  <c r="G86" i="64" s="1"/>
  <c r="G86" i="66" s="1"/>
  <c r="R13" i="99"/>
  <c r="U18" i="99"/>
  <c r="R25" i="99"/>
  <c r="T36" i="99"/>
  <c r="W41" i="99"/>
  <c r="V46" i="99"/>
  <c r="X56" i="99"/>
  <c r="K54" i="64" s="1"/>
  <c r="K54" i="66" s="1"/>
  <c r="U74" i="99"/>
  <c r="V88" i="99"/>
  <c r="U101" i="99"/>
  <c r="H144" i="64"/>
  <c r="H144" i="66" s="1"/>
  <c r="J144" i="64"/>
  <c r="J144" i="66" s="1"/>
  <c r="G144" i="64"/>
  <c r="G144" i="66" s="1"/>
  <c r="S13" i="99"/>
  <c r="F10" i="64" s="1"/>
  <c r="F10" i="66" s="1"/>
  <c r="S16" i="99"/>
  <c r="R19" i="99"/>
  <c r="E17" i="64" s="1"/>
  <c r="E17" i="66" s="1"/>
  <c r="T19" i="99"/>
  <c r="G17" i="64" s="1"/>
  <c r="G17" i="66" s="1"/>
  <c r="W19" i="99"/>
  <c r="S19" i="99"/>
  <c r="V19" i="99"/>
  <c r="R28" i="99"/>
  <c r="E26" i="64" s="1"/>
  <c r="E26" i="66" s="1"/>
  <c r="S31" i="99"/>
  <c r="W31" i="99"/>
  <c r="V31" i="99"/>
  <c r="I29" i="64" s="1"/>
  <c r="I29" i="66" s="1"/>
  <c r="W33" i="99"/>
  <c r="X41" i="99"/>
  <c r="R59" i="99"/>
  <c r="E60" i="64" s="1"/>
  <c r="E60" i="66" s="1"/>
  <c r="V59" i="99"/>
  <c r="I57" i="64" s="1"/>
  <c r="I57" i="66" s="1"/>
  <c r="U59" i="99"/>
  <c r="T59" i="99"/>
  <c r="W61" i="99"/>
  <c r="T69" i="99"/>
  <c r="G67" i="64" s="1"/>
  <c r="G67" i="66" s="1"/>
  <c r="V72" i="99"/>
  <c r="R72" i="99"/>
  <c r="X72" i="99"/>
  <c r="V74" i="99"/>
  <c r="V79" i="99"/>
  <c r="I77" i="64" s="1"/>
  <c r="I77" i="66" s="1"/>
  <c r="X79" i="99"/>
  <c r="K81" i="64" s="1"/>
  <c r="K81" i="66" s="1"/>
  <c r="R79" i="99"/>
  <c r="U79" i="99"/>
  <c r="W79" i="99"/>
  <c r="J77" i="64" s="1"/>
  <c r="J77" i="66" s="1"/>
  <c r="T79" i="99"/>
  <c r="W88" i="99"/>
  <c r="T99" i="99"/>
  <c r="V101" i="99"/>
  <c r="U128" i="99"/>
  <c r="U130" i="99"/>
  <c r="R134" i="99"/>
  <c r="E140" i="64" s="1"/>
  <c r="E140" i="66" s="1"/>
  <c r="S134" i="99"/>
  <c r="F140" i="64" s="1"/>
  <c r="F140" i="66" s="1"/>
  <c r="S136" i="99"/>
  <c r="K30" i="64"/>
  <c r="K30" i="66" s="1"/>
  <c r="I47" i="64"/>
  <c r="I47" i="66" s="1"/>
  <c r="G79" i="64"/>
  <c r="G79" i="66" s="1"/>
  <c r="J80" i="64"/>
  <c r="J80" i="66" s="1"/>
  <c r="U13" i="99"/>
  <c r="T16" i="99"/>
  <c r="G14" i="64" s="1"/>
  <c r="G14" i="66" s="1"/>
  <c r="U19" i="99"/>
  <c r="H17" i="64" s="1"/>
  <c r="H17" i="66" s="1"/>
  <c r="S28" i="99"/>
  <c r="R31" i="99"/>
  <c r="R44" i="99"/>
  <c r="E42" i="64" s="1"/>
  <c r="E42" i="66" s="1"/>
  <c r="V44" i="99"/>
  <c r="S44" i="99"/>
  <c r="F42" i="64" s="1"/>
  <c r="F42" i="66" s="1"/>
  <c r="W44" i="99"/>
  <c r="U44" i="99"/>
  <c r="S59" i="99"/>
  <c r="F57" i="64" s="1"/>
  <c r="F57" i="66" s="1"/>
  <c r="W67" i="99"/>
  <c r="J65" i="64" s="1"/>
  <c r="J65" i="66" s="1"/>
  <c r="T67" i="99"/>
  <c r="S72" i="99"/>
  <c r="X74" i="99"/>
  <c r="K76" i="64" s="1"/>
  <c r="K76" i="66" s="1"/>
  <c r="S79" i="99"/>
  <c r="T94" i="99"/>
  <c r="G92" i="64" s="1"/>
  <c r="G92" i="66" s="1"/>
  <c r="V94" i="99"/>
  <c r="I92" i="64" s="1"/>
  <c r="I92" i="66" s="1"/>
  <c r="W94" i="99"/>
  <c r="S94" i="99"/>
  <c r="W99" i="99"/>
  <c r="W101" i="99"/>
  <c r="R106" i="99"/>
  <c r="T106" i="99"/>
  <c r="X106" i="99"/>
  <c r="U106" i="99"/>
  <c r="W106" i="99"/>
  <c r="V106" i="99"/>
  <c r="V126" i="99"/>
  <c r="U126" i="99"/>
  <c r="T126" i="99"/>
  <c r="V128" i="99"/>
  <c r="R131" i="99"/>
  <c r="E129" i="64" s="1"/>
  <c r="E129" i="66" s="1"/>
  <c r="T131" i="99"/>
  <c r="W131" i="99"/>
  <c r="J129" i="64" s="1"/>
  <c r="J129" i="66" s="1"/>
  <c r="S131" i="99"/>
  <c r="V131" i="99"/>
  <c r="I129" i="64" s="1"/>
  <c r="I129" i="66" s="1"/>
  <c r="T134" i="99"/>
  <c r="G140" i="64" s="1"/>
  <c r="G140" i="66" s="1"/>
  <c r="T136" i="99"/>
  <c r="G142" i="64" s="1"/>
  <c r="G142" i="66" s="1"/>
  <c r="K83" i="64"/>
  <c r="K83" i="66" s="1"/>
  <c r="K108" i="64"/>
  <c r="K108" i="66" s="1"/>
  <c r="R11" i="99"/>
  <c r="S11" i="99"/>
  <c r="X11" i="99"/>
  <c r="K8" i="64" s="1"/>
  <c r="U11" i="99"/>
  <c r="W11" i="99"/>
  <c r="V13" i="99"/>
  <c r="X19" i="99"/>
  <c r="R26" i="99"/>
  <c r="E24" i="64" s="1"/>
  <c r="E24" i="66" s="1"/>
  <c r="W26" i="99"/>
  <c r="J24" i="64" s="1"/>
  <c r="J24" i="66" s="1"/>
  <c r="X26" i="99"/>
  <c r="K24" i="64" s="1"/>
  <c r="K24" i="66" s="1"/>
  <c r="T31" i="99"/>
  <c r="T44" i="99"/>
  <c r="W59" i="99"/>
  <c r="R67" i="99"/>
  <c r="T72" i="99"/>
  <c r="R80" i="99"/>
  <c r="S80" i="99"/>
  <c r="U80" i="99"/>
  <c r="R92" i="99"/>
  <c r="W92" i="99"/>
  <c r="J90" i="64" s="1"/>
  <c r="J90" i="66" s="1"/>
  <c r="X92" i="99"/>
  <c r="T92" i="99"/>
  <c r="G90" i="64" s="1"/>
  <c r="G90" i="66" s="1"/>
  <c r="R94" i="99"/>
  <c r="X101" i="99"/>
  <c r="K99" i="64" s="1"/>
  <c r="K99" i="66" s="1"/>
  <c r="S106" i="99"/>
  <c r="F104" i="64" s="1"/>
  <c r="F104" i="66" s="1"/>
  <c r="X118" i="99"/>
  <c r="V118" i="99"/>
  <c r="S118" i="99"/>
  <c r="R126" i="99"/>
  <c r="U131" i="99"/>
  <c r="H129" i="64" s="1"/>
  <c r="H129" i="66" s="1"/>
  <c r="U134" i="99"/>
  <c r="H140" i="64" s="1"/>
  <c r="H140" i="66" s="1"/>
  <c r="K96" i="64"/>
  <c r="K96" i="66" s="1"/>
  <c r="G118" i="64"/>
  <c r="G118" i="66" s="1"/>
  <c r="J138" i="64"/>
  <c r="J138" i="66" s="1"/>
  <c r="H138" i="64"/>
  <c r="H138" i="66" s="1"/>
  <c r="E138" i="64"/>
  <c r="E138" i="66" s="1"/>
  <c r="F142" i="64"/>
  <c r="F142" i="66" s="1"/>
  <c r="J142" i="64"/>
  <c r="J142" i="66" s="1"/>
  <c r="I142" i="64"/>
  <c r="I142" i="66" s="1"/>
  <c r="V9" i="99"/>
  <c r="S9" i="99"/>
  <c r="U9" i="99"/>
  <c r="T9" i="99"/>
  <c r="X9" i="99"/>
  <c r="W9" i="99"/>
  <c r="R29" i="99"/>
  <c r="E27" i="64" s="1"/>
  <c r="E27" i="66" s="1"/>
  <c r="S29" i="99"/>
  <c r="F27" i="64" s="1"/>
  <c r="F27" i="66" s="1"/>
  <c r="T29" i="99"/>
  <c r="V29" i="99"/>
  <c r="U29" i="99"/>
  <c r="R32" i="99"/>
  <c r="S32" i="99"/>
  <c r="F30" i="64" s="1"/>
  <c r="F30" i="66" s="1"/>
  <c r="U32" i="99"/>
  <c r="W32" i="99"/>
  <c r="J30" i="64" s="1"/>
  <c r="J30" i="66" s="1"/>
  <c r="T32" i="99"/>
  <c r="G30" i="64" s="1"/>
  <c r="G30" i="66" s="1"/>
  <c r="T40" i="99"/>
  <c r="V40" i="99"/>
  <c r="X40" i="99"/>
  <c r="S40" i="99"/>
  <c r="F38" i="64" s="1"/>
  <c r="F38" i="66" s="1"/>
  <c r="U40" i="99"/>
  <c r="H38" i="64" s="1"/>
  <c r="H38" i="66" s="1"/>
  <c r="R40" i="99"/>
  <c r="R65" i="99"/>
  <c r="E63" i="64" s="1"/>
  <c r="E63" i="66" s="1"/>
  <c r="S65" i="99"/>
  <c r="F63" i="64" s="1"/>
  <c r="F63" i="66" s="1"/>
  <c r="X65" i="99"/>
  <c r="U65" i="99"/>
  <c r="W65" i="99"/>
  <c r="J66" i="64" s="1"/>
  <c r="J66" i="66" s="1"/>
  <c r="R85" i="99"/>
  <c r="V85" i="99"/>
  <c r="V90" i="99"/>
  <c r="X90" i="99"/>
  <c r="S90" i="99"/>
  <c r="W90" i="99"/>
  <c r="R95" i="99"/>
  <c r="X95" i="99"/>
  <c r="V95" i="99"/>
  <c r="U95" i="99"/>
  <c r="R124" i="99"/>
  <c r="X124" i="99"/>
  <c r="U124" i="99"/>
  <c r="T124" i="99"/>
  <c r="G28" i="64"/>
  <c r="G28" i="66" s="1"/>
  <c r="K68" i="64"/>
  <c r="K68" i="66" s="1"/>
  <c r="G93" i="64"/>
  <c r="G93" i="66" s="1"/>
  <c r="R9" i="99"/>
  <c r="E6" i="64" s="1"/>
  <c r="E6" i="66" s="1"/>
  <c r="V32" i="99"/>
  <c r="I30" i="64" s="1"/>
  <c r="I30" i="66" s="1"/>
  <c r="T65" i="99"/>
  <c r="S85" i="99"/>
  <c r="R90" i="99"/>
  <c r="E88" i="64" s="1"/>
  <c r="E88" i="66" s="1"/>
  <c r="S95" i="99"/>
  <c r="R98" i="99"/>
  <c r="U98" i="99"/>
  <c r="T98" i="99"/>
  <c r="V98" i="99"/>
  <c r="R110" i="99"/>
  <c r="W110" i="99"/>
  <c r="S110" i="99"/>
  <c r="V110" i="99"/>
  <c r="I108" i="64" s="1"/>
  <c r="I108" i="66" s="1"/>
  <c r="S124" i="99"/>
  <c r="G15" i="64"/>
  <c r="G15" i="66" s="1"/>
  <c r="H139" i="64"/>
  <c r="H139" i="66" s="1"/>
  <c r="R7" i="99"/>
  <c r="E5" i="64" s="1"/>
  <c r="R15" i="99"/>
  <c r="R18" i="99"/>
  <c r="T41" i="99"/>
  <c r="S58" i="99"/>
  <c r="V63" i="99"/>
  <c r="S63" i="99"/>
  <c r="U63" i="99"/>
  <c r="T63" i="99"/>
  <c r="X63" i="99"/>
  <c r="K61" i="64" s="1"/>
  <c r="K61" i="66" s="1"/>
  <c r="W63" i="99"/>
  <c r="J64" i="64" s="1"/>
  <c r="J64" i="66" s="1"/>
  <c r="U85" i="99"/>
  <c r="U90" i="99"/>
  <c r="W95" i="99"/>
  <c r="W98" i="99"/>
  <c r="J102" i="64" s="1"/>
  <c r="J102" i="66" s="1"/>
  <c r="R108" i="99"/>
  <c r="U110" i="99"/>
  <c r="U119" i="99"/>
  <c r="W124" i="99"/>
  <c r="G147" i="64"/>
  <c r="G147" i="66" s="1"/>
  <c r="J84" i="64"/>
  <c r="J84" i="66" s="1"/>
  <c r="K22" i="64"/>
  <c r="K22" i="66" s="1"/>
  <c r="U15" i="99"/>
  <c r="V25" i="99"/>
  <c r="I23" i="64" s="1"/>
  <c r="I23" i="66" s="1"/>
  <c r="X25" i="99"/>
  <c r="K23" i="64" s="1"/>
  <c r="K23" i="66" s="1"/>
  <c r="S25" i="99"/>
  <c r="T25" i="99"/>
  <c r="G23" i="64" s="1"/>
  <c r="G23" i="66" s="1"/>
  <c r="V36" i="99"/>
  <c r="I34" i="64" s="1"/>
  <c r="I34" i="66" s="1"/>
  <c r="U36" i="99"/>
  <c r="X36" i="99"/>
  <c r="K35" i="64" s="1"/>
  <c r="K35" i="66" s="1"/>
  <c r="S36" i="99"/>
  <c r="F34" i="64" s="1"/>
  <c r="F34" i="66" s="1"/>
  <c r="R36" i="99"/>
  <c r="T46" i="99"/>
  <c r="G44" i="64" s="1"/>
  <c r="G44" i="66" s="1"/>
  <c r="U51" i="99"/>
  <c r="V69" i="99"/>
  <c r="X69" i="99"/>
  <c r="U69" i="99"/>
  <c r="S69" i="99"/>
  <c r="F67" i="64" s="1"/>
  <c r="F67" i="66" s="1"/>
  <c r="V99" i="99"/>
  <c r="S99" i="99"/>
  <c r="U99" i="99"/>
  <c r="H97" i="64" s="1"/>
  <c r="H97" i="66" s="1"/>
  <c r="T101" i="99"/>
  <c r="W108" i="99"/>
  <c r="J106" i="64" s="1"/>
  <c r="J106" i="66" s="1"/>
  <c r="X119" i="99"/>
  <c r="S128" i="99"/>
  <c r="F126" i="64" s="1"/>
  <c r="F126" i="66" s="1"/>
  <c r="R130" i="99"/>
  <c r="K147" i="64"/>
  <c r="K147" i="66" s="1"/>
  <c r="J38" i="64"/>
  <c r="J38" i="66" s="1"/>
  <c r="J67" i="64"/>
  <c r="J67" i="66" s="1"/>
  <c r="J127" i="64"/>
  <c r="J127" i="66" s="1"/>
  <c r="K129" i="64"/>
  <c r="K129" i="66" s="1"/>
  <c r="R16" i="99"/>
  <c r="V16" i="99"/>
  <c r="U16" i="99"/>
  <c r="X28" i="99"/>
  <c r="K26" i="64" s="1"/>
  <c r="K26" i="66" s="1"/>
  <c r="V28" i="99"/>
  <c r="I26" i="64" s="1"/>
  <c r="I26" i="66" s="1"/>
  <c r="U33" i="99"/>
  <c r="H31" i="64" s="1"/>
  <c r="H31" i="66" s="1"/>
  <c r="X58" i="99"/>
  <c r="K58" i="64" s="1"/>
  <c r="K58" i="66" s="1"/>
  <c r="R61" i="99"/>
  <c r="R69" i="99"/>
  <c r="E67" i="64" s="1"/>
  <c r="E67" i="66" s="1"/>
  <c r="R99" i="99"/>
  <c r="X108" i="99"/>
  <c r="T128" i="99"/>
  <c r="G126" i="64" s="1"/>
  <c r="G126" i="66" s="1"/>
  <c r="S130" i="99"/>
  <c r="F136" i="64" s="1"/>
  <c r="F136" i="66" s="1"/>
  <c r="X136" i="99"/>
  <c r="K142" i="64" s="1"/>
  <c r="K142" i="66" s="1"/>
  <c r="R136" i="99"/>
  <c r="E142" i="64" s="1"/>
  <c r="E142" i="66" s="1"/>
  <c r="U25" i="99"/>
  <c r="H23" i="64" s="1"/>
  <c r="H23" i="66" s="1"/>
  <c r="F145" i="64"/>
  <c r="F145" i="66" s="1"/>
  <c r="E145" i="64"/>
  <c r="E145" i="66" s="1"/>
  <c r="I145" i="64"/>
  <c r="I145" i="66" s="1"/>
  <c r="R14" i="99"/>
  <c r="S14" i="99"/>
  <c r="U14" i="99"/>
  <c r="R34" i="99"/>
  <c r="V34" i="99"/>
  <c r="R53" i="99"/>
  <c r="U53" i="99"/>
  <c r="W53" i="99"/>
  <c r="R55" i="99"/>
  <c r="T55" i="99"/>
  <c r="X55" i="99"/>
  <c r="R68" i="99"/>
  <c r="S68" i="99"/>
  <c r="U68" i="99"/>
  <c r="V120" i="99"/>
  <c r="U120" i="99"/>
  <c r="X120" i="99"/>
  <c r="R122" i="99"/>
  <c r="E120" i="64" s="1"/>
  <c r="E120" i="66" s="1"/>
  <c r="S122" i="99"/>
  <c r="U122" i="99"/>
  <c r="H120" i="64" s="1"/>
  <c r="H120" i="66" s="1"/>
  <c r="V133" i="99"/>
  <c r="I139" i="64" s="1"/>
  <c r="I139" i="66" s="1"/>
  <c r="X133" i="99"/>
  <c r="K139" i="64" s="1"/>
  <c r="K139" i="66" s="1"/>
  <c r="R133" i="99"/>
  <c r="E139" i="64" s="1"/>
  <c r="E139" i="66" s="1"/>
  <c r="W133" i="99"/>
  <c r="J139" i="64" s="1"/>
  <c r="J139" i="66" s="1"/>
  <c r="S133" i="99"/>
  <c r="F139" i="64" s="1"/>
  <c r="F139" i="66" s="1"/>
  <c r="E143" i="64"/>
  <c r="E143" i="66" s="1"/>
  <c r="G143" i="64"/>
  <c r="G143" i="66" s="1"/>
  <c r="I143" i="64"/>
  <c r="I143" i="66" s="1"/>
  <c r="H143" i="64"/>
  <c r="H143" i="66" s="1"/>
  <c r="K143" i="64"/>
  <c r="K143" i="66" s="1"/>
  <c r="J143" i="64"/>
  <c r="J143" i="66" s="1"/>
  <c r="O52" i="82"/>
  <c r="O18" i="82"/>
  <c r="O35" i="82"/>
  <c r="B35" i="82"/>
  <c r="B52" i="82"/>
  <c r="V12" i="99"/>
  <c r="U12" i="99"/>
  <c r="X12" i="99"/>
  <c r="K10" i="64" s="1"/>
  <c r="K10" i="66" s="1"/>
  <c r="T14" i="99"/>
  <c r="V27" i="99"/>
  <c r="I25" i="64" s="1"/>
  <c r="I25" i="66" s="1"/>
  <c r="S27" i="99"/>
  <c r="F25" i="64" s="1"/>
  <c r="F25" i="66" s="1"/>
  <c r="U27" i="99"/>
  <c r="H25" i="64" s="1"/>
  <c r="H25" i="66" s="1"/>
  <c r="R27" i="99"/>
  <c r="S34" i="99"/>
  <c r="R47" i="99"/>
  <c r="S47" i="99"/>
  <c r="R49" i="99"/>
  <c r="S53" i="99"/>
  <c r="S55" i="99"/>
  <c r="V66" i="99"/>
  <c r="U66" i="99"/>
  <c r="X66" i="99"/>
  <c r="T68" i="99"/>
  <c r="R73" i="99"/>
  <c r="E71" i="64" s="1"/>
  <c r="E71" i="66" s="1"/>
  <c r="T73" i="99"/>
  <c r="V73" i="99"/>
  <c r="W73" i="99"/>
  <c r="J70" i="64" s="1"/>
  <c r="J70" i="66" s="1"/>
  <c r="X82" i="99"/>
  <c r="R82" i="99"/>
  <c r="R91" i="99"/>
  <c r="T91" i="99"/>
  <c r="X91" i="99"/>
  <c r="K94" i="64" s="1"/>
  <c r="K94" i="66" s="1"/>
  <c r="R120" i="99"/>
  <c r="T122" i="99"/>
  <c r="T133" i="99"/>
  <c r="G139" i="64" s="1"/>
  <c r="G139" i="66" s="1"/>
  <c r="K107" i="64"/>
  <c r="K107" i="66" s="1"/>
  <c r="J101" i="64"/>
  <c r="J101" i="66" s="1"/>
  <c r="G145" i="64"/>
  <c r="G145" i="66" s="1"/>
  <c r="C18" i="41"/>
  <c r="X14" i="99"/>
  <c r="K11" i="64" s="1"/>
  <c r="K11" i="66" s="1"/>
  <c r="R17" i="99"/>
  <c r="U17" i="99"/>
  <c r="W17" i="99"/>
  <c r="J14" i="64" s="1"/>
  <c r="J14" i="66" s="1"/>
  <c r="X17" i="99"/>
  <c r="S17" i="99"/>
  <c r="V30" i="99"/>
  <c r="I28" i="64" s="1"/>
  <c r="I28" i="66" s="1"/>
  <c r="U30" i="99"/>
  <c r="H28" i="64" s="1"/>
  <c r="H28" i="66" s="1"/>
  <c r="X30" i="99"/>
  <c r="K28" i="64" s="1"/>
  <c r="K28" i="66" s="1"/>
  <c r="W30" i="99"/>
  <c r="J28" i="64" s="1"/>
  <c r="J28" i="66" s="1"/>
  <c r="W34" i="99"/>
  <c r="V43" i="99"/>
  <c r="X43" i="99"/>
  <c r="K42" i="64" s="1"/>
  <c r="K42" i="66" s="1"/>
  <c r="U49" i="99"/>
  <c r="X53" i="99"/>
  <c r="W55" i="99"/>
  <c r="X68" i="99"/>
  <c r="K69" i="64" s="1"/>
  <c r="K69" i="66" s="1"/>
  <c r="R71" i="99"/>
  <c r="U71" i="99"/>
  <c r="W71" i="99"/>
  <c r="J69" i="64" s="1"/>
  <c r="J69" i="66" s="1"/>
  <c r="V71" i="99"/>
  <c r="T71" i="99"/>
  <c r="R89" i="99"/>
  <c r="U89" i="99"/>
  <c r="W89" i="99"/>
  <c r="X89" i="99"/>
  <c r="K92" i="64" s="1"/>
  <c r="K92" i="66" s="1"/>
  <c r="V105" i="99"/>
  <c r="I103" i="64" s="1"/>
  <c r="I103" i="66" s="1"/>
  <c r="X105" i="99"/>
  <c r="K103" i="64" s="1"/>
  <c r="K103" i="66" s="1"/>
  <c r="R116" i="99"/>
  <c r="V116" i="99"/>
  <c r="W120" i="99"/>
  <c r="J125" i="64" s="1"/>
  <c r="J125" i="66" s="1"/>
  <c r="X122" i="99"/>
  <c r="R127" i="99"/>
  <c r="T127" i="99"/>
  <c r="G125" i="64" s="1"/>
  <c r="G125" i="66" s="1"/>
  <c r="V127" i="99"/>
  <c r="X127" i="99"/>
  <c r="S127" i="99"/>
  <c r="V138" i="99"/>
  <c r="I136" i="64" s="1"/>
  <c r="I136" i="66" s="1"/>
  <c r="U138" i="99"/>
  <c r="H145" i="64" s="1"/>
  <c r="H145" i="66" s="1"/>
  <c r="X138" i="99"/>
  <c r="K145" i="64" s="1"/>
  <c r="K145" i="66" s="1"/>
  <c r="E21" i="64"/>
  <c r="E21" i="66" s="1"/>
  <c r="E109" i="64"/>
  <c r="E109" i="66" s="1"/>
  <c r="J109" i="64"/>
  <c r="J109" i="66" s="1"/>
  <c r="F143" i="64"/>
  <c r="F143" i="66" s="1"/>
  <c r="J145" i="64"/>
  <c r="J145" i="66" s="1"/>
  <c r="O42" i="82"/>
  <c r="O8" i="82"/>
  <c r="O25" i="82"/>
  <c r="B25" i="82"/>
  <c r="B42" i="82"/>
  <c r="V48" i="99"/>
  <c r="U48" i="99"/>
  <c r="X48" i="99"/>
  <c r="X100" i="99"/>
  <c r="T100" i="99"/>
  <c r="V102" i="99"/>
  <c r="U102" i="99"/>
  <c r="H100" i="64" s="1"/>
  <c r="H100" i="66" s="1"/>
  <c r="X102" i="99"/>
  <c r="S102" i="99"/>
  <c r="R104" i="99"/>
  <c r="S104" i="99"/>
  <c r="U104" i="99"/>
  <c r="T104" i="99"/>
  <c r="V123" i="99"/>
  <c r="X123" i="99"/>
  <c r="U123" i="99"/>
  <c r="R125" i="99"/>
  <c r="E123" i="64" s="1"/>
  <c r="E123" i="66" s="1"/>
  <c r="U125" i="99"/>
  <c r="H131" i="64" s="1"/>
  <c r="H131" i="66" s="1"/>
  <c r="W125" i="99"/>
  <c r="V125" i="99"/>
  <c r="R35" i="99"/>
  <c r="U35" i="99"/>
  <c r="W35" i="99"/>
  <c r="J34" i="64" s="1"/>
  <c r="J34" i="66" s="1"/>
  <c r="R37" i="99"/>
  <c r="T37" i="99"/>
  <c r="T76" i="99"/>
  <c r="V76" i="99"/>
  <c r="V84" i="99"/>
  <c r="U84" i="99"/>
  <c r="H82" i="64" s="1"/>
  <c r="H82" i="66" s="1"/>
  <c r="X84" i="99"/>
  <c r="R86" i="99"/>
  <c r="S86" i="99"/>
  <c r="F84" i="64" s="1"/>
  <c r="F84" i="66" s="1"/>
  <c r="U86" i="99"/>
  <c r="H89" i="64" s="1"/>
  <c r="H89" i="66" s="1"/>
  <c r="R109" i="99"/>
  <c r="T109" i="99"/>
  <c r="R113" i="99"/>
  <c r="X113" i="99"/>
  <c r="V115" i="99"/>
  <c r="I120" i="64" s="1"/>
  <c r="I120" i="66" s="1"/>
  <c r="X115" i="99"/>
  <c r="W115" i="99"/>
  <c r="V117" i="99"/>
  <c r="S117" i="99"/>
  <c r="F115" i="64" s="1"/>
  <c r="F115" i="66" s="1"/>
  <c r="U117" i="99"/>
  <c r="X117" i="99"/>
  <c r="V81" i="99"/>
  <c r="S81" i="99"/>
  <c r="U81" i="99"/>
  <c r="R83" i="99"/>
  <c r="S83" i="99"/>
  <c r="F81" i="64" s="1"/>
  <c r="F81" i="66" s="1"/>
  <c r="V87" i="99"/>
  <c r="I90" i="64" s="1"/>
  <c r="I90" i="66" s="1"/>
  <c r="X87" i="99"/>
  <c r="K85" i="64" s="1"/>
  <c r="K85" i="66" s="1"/>
  <c r="T112" i="99"/>
  <c r="V112" i="99"/>
  <c r="V135" i="99"/>
  <c r="I141" i="64" s="1"/>
  <c r="I141" i="66" s="1"/>
  <c r="S135" i="99"/>
  <c r="F141" i="64" s="1"/>
  <c r="F141" i="66" s="1"/>
  <c r="U135" i="99"/>
  <c r="H141" i="64" s="1"/>
  <c r="H141" i="66" s="1"/>
  <c r="R137" i="99"/>
  <c r="E144" i="64" s="1"/>
  <c r="E144" i="66" s="1"/>
  <c r="S137" i="99"/>
  <c r="F144" i="64" s="1"/>
  <c r="F144" i="66" s="1"/>
  <c r="E61" i="64"/>
  <c r="E61" i="66" s="1"/>
  <c r="J75" i="64"/>
  <c r="J75" i="66" s="1"/>
  <c r="S24" i="99"/>
  <c r="F22" i="64" s="1"/>
  <c r="F22" i="66" s="1"/>
  <c r="S42" i="99"/>
  <c r="S60" i="99"/>
  <c r="S78" i="99"/>
  <c r="S96" i="99"/>
  <c r="S114" i="99"/>
  <c r="S132" i="99"/>
  <c r="F138" i="64" s="1"/>
  <c r="F138" i="66" s="1"/>
  <c r="O48" i="82"/>
  <c r="O31" i="82"/>
  <c r="J78" i="64"/>
  <c r="J78" i="66" s="1"/>
  <c r="E141" i="64"/>
  <c r="E141" i="66" s="1"/>
  <c r="G148" i="64"/>
  <c r="G148" i="66" s="1"/>
  <c r="J111" i="64"/>
  <c r="J111" i="66" s="1"/>
  <c r="K138" i="64"/>
  <c r="K138" i="66" s="1"/>
  <c r="B43" i="82"/>
  <c r="O43" i="82"/>
  <c r="O9" i="82"/>
  <c r="O26" i="82"/>
  <c r="I148" i="64"/>
  <c r="I148" i="66" s="1"/>
  <c r="O27" i="82"/>
  <c r="O44" i="82"/>
  <c r="O41" i="82"/>
  <c r="O16" i="82"/>
  <c r="O33" i="82"/>
  <c r="O29" i="82"/>
  <c r="O46" i="82"/>
  <c r="AK12" i="43" l="1"/>
  <c r="AQ12" i="43" s="1"/>
  <c r="AJ12" i="43"/>
  <c r="AI12" i="43"/>
  <c r="AL12" i="43"/>
  <c r="AH12" i="43"/>
  <c r="AN12" i="43" s="1"/>
  <c r="AN10" i="43"/>
  <c r="I21" i="43"/>
  <c r="K133" i="64"/>
  <c r="K133" i="66" s="1"/>
  <c r="E121" i="64"/>
  <c r="E121" i="66" s="1"/>
  <c r="E119" i="64"/>
  <c r="E119" i="66" s="1"/>
  <c r="E49" i="64"/>
  <c r="E49" i="66" s="1"/>
  <c r="G81" i="64"/>
  <c r="G81" i="66" s="1"/>
  <c r="I128" i="64"/>
  <c r="I128" i="66" s="1"/>
  <c r="J105" i="64"/>
  <c r="J105" i="66" s="1"/>
  <c r="F127" i="64"/>
  <c r="F127" i="66" s="1"/>
  <c r="H108" i="64"/>
  <c r="H108" i="66" s="1"/>
  <c r="F12" i="73" s="1"/>
  <c r="G64" i="64"/>
  <c r="G64" i="66" s="1"/>
  <c r="J8" i="64"/>
  <c r="J8" i="66" s="1"/>
  <c r="F123" i="64"/>
  <c r="F123" i="66" s="1"/>
  <c r="F14" i="64"/>
  <c r="F14" i="66" s="1"/>
  <c r="H11" i="64"/>
  <c r="H11" i="66" s="1"/>
  <c r="H6" i="64"/>
  <c r="H6" i="66" s="1"/>
  <c r="H128" i="64"/>
  <c r="H128" i="66" s="1"/>
  <c r="G105" i="64"/>
  <c r="G105" i="66" s="1"/>
  <c r="J55" i="64"/>
  <c r="J55" i="66" s="1"/>
  <c r="J130" i="64"/>
  <c r="J130" i="66" s="1"/>
  <c r="I12" i="64"/>
  <c r="I12" i="66" s="1"/>
  <c r="B18" i="106"/>
  <c r="K105" i="64"/>
  <c r="K105" i="66" s="1"/>
  <c r="K48" i="64"/>
  <c r="K48" i="66" s="1"/>
  <c r="J40" i="64"/>
  <c r="J40" i="66" s="1"/>
  <c r="K86" i="64"/>
  <c r="K86" i="66" s="1"/>
  <c r="I86" i="64"/>
  <c r="I86" i="66" s="1"/>
  <c r="E11" i="64"/>
  <c r="E11" i="66" s="1"/>
  <c r="F128" i="64"/>
  <c r="F128" i="66" s="1"/>
  <c r="I39" i="64"/>
  <c r="I39" i="66" s="1"/>
  <c r="G75" i="64"/>
  <c r="G75" i="66" s="1"/>
  <c r="J92" i="64"/>
  <c r="J92" i="66" s="1"/>
  <c r="I131" i="64"/>
  <c r="I131" i="66" s="1"/>
  <c r="H48" i="64"/>
  <c r="H48" i="66" s="1"/>
  <c r="H91" i="64"/>
  <c r="H91" i="66" s="1"/>
  <c r="I125" i="64"/>
  <c r="I125" i="66" s="1"/>
  <c r="I96" i="64"/>
  <c r="I96" i="66" s="1"/>
  <c r="H112" i="64"/>
  <c r="H112" i="66" s="1"/>
  <c r="E89" i="64"/>
  <c r="E89" i="66" s="1"/>
  <c r="E133" i="64"/>
  <c r="E133" i="66" s="1"/>
  <c r="G94" i="64"/>
  <c r="G94" i="66" s="1"/>
  <c r="F64" i="64"/>
  <c r="F64" i="66" s="1"/>
  <c r="H134" i="64"/>
  <c r="H134" i="66" s="1"/>
  <c r="G45" i="64"/>
  <c r="G45" i="66" s="1"/>
  <c r="H53" i="64"/>
  <c r="H53" i="66" s="1"/>
  <c r="K79" i="64"/>
  <c r="K79" i="66" s="1"/>
  <c r="H52" i="64"/>
  <c r="H52" i="66" s="1"/>
  <c r="K14" i="64"/>
  <c r="K14" i="66" s="1"/>
  <c r="F55" i="64"/>
  <c r="F55" i="66" s="1"/>
  <c r="E91" i="64"/>
  <c r="E91" i="66" s="1"/>
  <c r="I42" i="64"/>
  <c r="I42" i="66" s="1"/>
  <c r="F6" i="64"/>
  <c r="F6" i="66" s="1"/>
  <c r="G25" i="64"/>
  <c r="G25" i="66" s="1"/>
  <c r="J131" i="64"/>
  <c r="J131" i="66" s="1"/>
  <c r="K124" i="64"/>
  <c r="K124" i="66" s="1"/>
  <c r="E112" i="64"/>
  <c r="E112" i="66" s="1"/>
  <c r="E74" i="64"/>
  <c r="E74" i="66" s="1"/>
  <c r="G116" i="64"/>
  <c r="G116" i="66" s="1"/>
  <c r="I8" i="64"/>
  <c r="I8" i="66" s="1"/>
  <c r="H34" i="64"/>
  <c r="H34" i="66" s="1"/>
  <c r="K123" i="64"/>
  <c r="K123" i="66" s="1"/>
  <c r="H77" i="64"/>
  <c r="H77" i="66" s="1"/>
  <c r="F8" i="64"/>
  <c r="F8" i="66" s="1"/>
  <c r="I91" i="64"/>
  <c r="I91" i="66" s="1"/>
  <c r="H67" i="64"/>
  <c r="H67" i="66" s="1"/>
  <c r="K137" i="64"/>
  <c r="K137" i="66" s="1"/>
  <c r="H87" i="64"/>
  <c r="H87" i="66" s="1"/>
  <c r="K6" i="64"/>
  <c r="K6" i="66" s="1"/>
  <c r="G36" i="64"/>
  <c r="G36" i="66" s="1"/>
  <c r="G127" i="64"/>
  <c r="G127" i="66" s="1"/>
  <c r="F28" i="64"/>
  <c r="F28" i="66" s="1"/>
  <c r="L28" i="66" s="1"/>
  <c r="I48" i="64"/>
  <c r="I48" i="66" s="1"/>
  <c r="J107" i="64"/>
  <c r="J107" i="66" s="1"/>
  <c r="F83" i="64"/>
  <c r="F83" i="66" s="1"/>
  <c r="H122" i="64"/>
  <c r="H122" i="66" s="1"/>
  <c r="I78" i="64"/>
  <c r="I78" i="66" s="1"/>
  <c r="H92" i="64"/>
  <c r="H92" i="66" s="1"/>
  <c r="H69" i="64"/>
  <c r="H69" i="66" s="1"/>
  <c r="H8" i="64"/>
  <c r="H8" i="66" s="1"/>
  <c r="I134" i="64"/>
  <c r="I134" i="66" s="1"/>
  <c r="K122" i="64"/>
  <c r="K122" i="66" s="1"/>
  <c r="G113" i="64"/>
  <c r="G113" i="66" s="1"/>
  <c r="F99" i="64"/>
  <c r="F99" i="66" s="1"/>
  <c r="K128" i="64"/>
  <c r="K128" i="66" s="1"/>
  <c r="E92" i="64"/>
  <c r="E92" i="66" s="1"/>
  <c r="K53" i="64"/>
  <c r="K53" i="66" s="1"/>
  <c r="I43" i="64"/>
  <c r="I43" i="66" s="1"/>
  <c r="F13" i="64"/>
  <c r="F13" i="66" s="1"/>
  <c r="K106" i="64"/>
  <c r="K106" i="66" s="1"/>
  <c r="K104" i="64"/>
  <c r="K104" i="66" s="1"/>
  <c r="G49" i="64"/>
  <c r="G49" i="66" s="1"/>
  <c r="G55" i="64"/>
  <c r="G55" i="66" s="1"/>
  <c r="E8" i="64"/>
  <c r="E8" i="66" s="1"/>
  <c r="E106" i="64"/>
  <c r="E106" i="66" s="1"/>
  <c r="G137" i="64"/>
  <c r="G137" i="66" s="1"/>
  <c r="E62" i="64"/>
  <c r="E62" i="66" s="1"/>
  <c r="H12" i="64"/>
  <c r="H12" i="66" s="1"/>
  <c r="F58" i="64"/>
  <c r="F58" i="66" s="1"/>
  <c r="F16" i="64"/>
  <c r="F16" i="66" s="1"/>
  <c r="E80" i="64"/>
  <c r="E80" i="66" s="1"/>
  <c r="K118" i="64"/>
  <c r="K118" i="66" s="1"/>
  <c r="J137" i="64"/>
  <c r="J137" i="66" s="1"/>
  <c r="G40" i="64"/>
  <c r="G40" i="66" s="1"/>
  <c r="H43" i="64"/>
  <c r="H43" i="66" s="1"/>
  <c r="I15" i="64"/>
  <c r="I15" i="66" s="1"/>
  <c r="K73" i="64"/>
  <c r="K73" i="66" s="1"/>
  <c r="H35" i="64"/>
  <c r="H35" i="66" s="1"/>
  <c r="H132" i="64"/>
  <c r="H132" i="66" s="1"/>
  <c r="H83" i="64"/>
  <c r="H83" i="66" s="1"/>
  <c r="E94" i="64"/>
  <c r="E94" i="66" s="1"/>
  <c r="G134" i="64"/>
  <c r="G134" i="66" s="1"/>
  <c r="H114" i="64"/>
  <c r="H114" i="66" s="1"/>
  <c r="G130" i="64"/>
  <c r="G130" i="66" s="1"/>
  <c r="I6" i="64"/>
  <c r="I6" i="66" s="1"/>
  <c r="K95" i="64"/>
  <c r="K95" i="66" s="1"/>
  <c r="I110" i="64"/>
  <c r="I110" i="66" s="1"/>
  <c r="G39" i="64"/>
  <c r="G39" i="66" s="1"/>
  <c r="H16" i="64"/>
  <c r="H16" i="66" s="1"/>
  <c r="G53" i="64"/>
  <c r="G53" i="66" s="1"/>
  <c r="I79" i="64"/>
  <c r="I79" i="66" s="1"/>
  <c r="G120" i="64"/>
  <c r="G120" i="66" s="1"/>
  <c r="F56" i="64"/>
  <c r="F56" i="66" s="1"/>
  <c r="I16" i="64"/>
  <c r="I16" i="66" s="1"/>
  <c r="H94" i="64"/>
  <c r="H94" i="66" s="1"/>
  <c r="G83" i="64"/>
  <c r="G83" i="66" s="1"/>
  <c r="E136" i="64"/>
  <c r="E136" i="66" s="1"/>
  <c r="F41" i="64"/>
  <c r="F41" i="66" s="1"/>
  <c r="E13" i="64"/>
  <c r="E13" i="66" s="1"/>
  <c r="I93" i="64"/>
  <c r="I93" i="66" s="1"/>
  <c r="K56" i="64"/>
  <c r="K56" i="66" s="1"/>
  <c r="K74" i="64"/>
  <c r="K74" i="66" s="1"/>
  <c r="I46" i="64"/>
  <c r="I46" i="66" s="1"/>
  <c r="G10" i="64"/>
  <c r="G10" i="66" s="1"/>
  <c r="F101" i="64"/>
  <c r="F101" i="66" s="1"/>
  <c r="K39" i="64"/>
  <c r="K39" i="66" s="1"/>
  <c r="E82" i="64"/>
  <c r="E82" i="66" s="1"/>
  <c r="J108" i="64"/>
  <c r="J108" i="66" s="1"/>
  <c r="J43" i="64"/>
  <c r="J43" i="66" s="1"/>
  <c r="G35" i="64"/>
  <c r="G35" i="66" s="1"/>
  <c r="F32" i="64"/>
  <c r="F32" i="66" s="1"/>
  <c r="F40" i="64"/>
  <c r="F40" i="66" s="1"/>
  <c r="K15" i="64"/>
  <c r="K15" i="66" s="1"/>
  <c r="F100" i="64"/>
  <c r="F100" i="66" s="1"/>
  <c r="F45" i="64"/>
  <c r="F45" i="66" s="1"/>
  <c r="F49" i="64"/>
  <c r="F49" i="66" s="1"/>
  <c r="K75" i="64"/>
  <c r="K75" i="66" s="1"/>
  <c r="F36" i="64"/>
  <c r="F36" i="66" s="1"/>
  <c r="J113" i="64"/>
  <c r="J113" i="66" s="1"/>
  <c r="E36" i="64"/>
  <c r="E36" i="66" s="1"/>
  <c r="K120" i="64"/>
  <c r="K120" i="66" s="1"/>
  <c r="I121" i="64"/>
  <c r="I121" i="66" s="1"/>
  <c r="H49" i="64"/>
  <c r="H49" i="66" s="1"/>
  <c r="E84" i="64"/>
  <c r="E84" i="66" s="1"/>
  <c r="E35" i="64"/>
  <c r="E35" i="66" s="1"/>
  <c r="G74" i="64"/>
  <c r="G74" i="66" s="1"/>
  <c r="G110" i="64"/>
  <c r="G110" i="66" s="1"/>
  <c r="E38" i="64"/>
  <c r="E38" i="66" s="1"/>
  <c r="G100" i="64"/>
  <c r="G100" i="66" s="1"/>
  <c r="J61" i="64"/>
  <c r="J61" i="66" s="1"/>
  <c r="E47" i="64"/>
  <c r="E47" i="66" s="1"/>
  <c r="I67" i="64"/>
  <c r="I67" i="66" s="1"/>
  <c r="G26" i="64"/>
  <c r="G26" i="66" s="1"/>
  <c r="G12" i="64"/>
  <c r="G12" i="66" s="1"/>
  <c r="E45" i="64"/>
  <c r="E45" i="66" s="1"/>
  <c r="K125" i="64"/>
  <c r="K125" i="66" s="1"/>
  <c r="E52" i="64"/>
  <c r="E52" i="66" s="1"/>
  <c r="K121" i="64"/>
  <c r="K121" i="66" s="1"/>
  <c r="K82" i="64"/>
  <c r="K82" i="66" s="1"/>
  <c r="G102" i="64"/>
  <c r="G102" i="66" s="1"/>
  <c r="E10" i="64"/>
  <c r="E10" i="66" s="1"/>
  <c r="J13" i="64"/>
  <c r="J13" i="66" s="1"/>
  <c r="K34" i="64"/>
  <c r="K34" i="66" s="1"/>
  <c r="E104" i="64"/>
  <c r="E104" i="66" s="1"/>
  <c r="H61" i="64"/>
  <c r="H61" i="66" s="1"/>
  <c r="F133" i="64"/>
  <c r="F133" i="66" s="1"/>
  <c r="D14" i="73" s="1"/>
  <c r="I88" i="64"/>
  <c r="I88" i="66" s="1"/>
  <c r="E132" i="64"/>
  <c r="E132" i="66" s="1"/>
  <c r="E118" i="64"/>
  <c r="E118" i="66" s="1"/>
  <c r="J53" i="64"/>
  <c r="J53" i="66" s="1"/>
  <c r="G32" i="64"/>
  <c r="G32" i="66" s="1"/>
  <c r="K7" i="64"/>
  <c r="K7" i="66" s="1"/>
  <c r="K52" i="64"/>
  <c r="K52" i="66" s="1"/>
  <c r="J119" i="64"/>
  <c r="J119" i="66" s="1"/>
  <c r="G21" i="64"/>
  <c r="G21" i="66" s="1"/>
  <c r="G16" i="64"/>
  <c r="G16" i="66" s="1"/>
  <c r="G54" i="64"/>
  <c r="G54" i="66" s="1"/>
  <c r="J15" i="64"/>
  <c r="J15" i="66" s="1"/>
  <c r="H126" i="64"/>
  <c r="H126" i="66" s="1"/>
  <c r="J9" i="64"/>
  <c r="J9" i="66" s="1"/>
  <c r="I106" i="64"/>
  <c r="I106" i="66" s="1"/>
  <c r="G69" i="64"/>
  <c r="G69" i="66" s="1"/>
  <c r="H9" i="64"/>
  <c r="H9" i="66" s="1"/>
  <c r="K55" i="64"/>
  <c r="K55" i="66" s="1"/>
  <c r="K113" i="64"/>
  <c r="K113" i="66" s="1"/>
  <c r="E114" i="64"/>
  <c r="E114" i="66" s="1"/>
  <c r="G66" i="64"/>
  <c r="G66" i="66" s="1"/>
  <c r="K38" i="64"/>
  <c r="K38" i="66" s="1"/>
  <c r="K16" i="64"/>
  <c r="K16" i="66" s="1"/>
  <c r="F7" i="64"/>
  <c r="F7" i="66" s="1"/>
  <c r="G136" i="64"/>
  <c r="G136" i="66" s="1"/>
  <c r="J88" i="64"/>
  <c r="J88" i="66" s="1"/>
  <c r="E7" i="64"/>
  <c r="E7" i="66" s="1"/>
  <c r="K51" i="64"/>
  <c r="K51" i="66" s="1"/>
  <c r="J37" i="64"/>
  <c r="J37" i="66" s="1"/>
  <c r="K80" i="64"/>
  <c r="K80" i="66" s="1"/>
  <c r="F118" i="64"/>
  <c r="F118" i="66" s="1"/>
  <c r="E54" i="64"/>
  <c r="E54" i="66" s="1"/>
  <c r="J39" i="64"/>
  <c r="J39" i="66" s="1"/>
  <c r="G122" i="64"/>
  <c r="G122" i="66" s="1"/>
  <c r="E13" i="73" s="1"/>
  <c r="H124" i="64"/>
  <c r="H124" i="66" s="1"/>
  <c r="G52" i="64"/>
  <c r="G52" i="66" s="1"/>
  <c r="F85" i="64"/>
  <c r="F85" i="66" s="1"/>
  <c r="K127" i="64"/>
  <c r="K127" i="66" s="1"/>
  <c r="E135" i="64"/>
  <c r="E135" i="66" s="1"/>
  <c r="K67" i="64"/>
  <c r="K67" i="66" s="1"/>
  <c r="F33" i="64"/>
  <c r="F33" i="66" s="1"/>
  <c r="I9" i="64"/>
  <c r="I9" i="66" s="1"/>
  <c r="E127" i="64"/>
  <c r="E127" i="66" s="1"/>
  <c r="F11" i="64"/>
  <c r="F11" i="66" s="1"/>
  <c r="I17" i="64"/>
  <c r="I17" i="66" s="1"/>
  <c r="I13" i="64"/>
  <c r="I13" i="66" s="1"/>
  <c r="H103" i="64"/>
  <c r="H103" i="66" s="1"/>
  <c r="G46" i="64"/>
  <c r="G46" i="66" s="1"/>
  <c r="I82" i="64"/>
  <c r="I82" i="66" s="1"/>
  <c r="H64" i="64"/>
  <c r="H64" i="66" s="1"/>
  <c r="H137" i="64"/>
  <c r="H137" i="66" s="1"/>
  <c r="I10" i="64"/>
  <c r="I10" i="66" s="1"/>
  <c r="G132" i="64"/>
  <c r="G132" i="66" s="1"/>
  <c r="I105" i="64"/>
  <c r="I105" i="66" s="1"/>
  <c r="G12" i="73" s="1"/>
  <c r="K134" i="64"/>
  <c r="K134" i="66" s="1"/>
  <c r="I7" i="64"/>
  <c r="I7" i="66" s="1"/>
  <c r="I51" i="64"/>
  <c r="I51" i="66" s="1"/>
  <c r="I32" i="64"/>
  <c r="I32" i="66" s="1"/>
  <c r="F112" i="64"/>
  <c r="F112" i="66" s="1"/>
  <c r="H115" i="64"/>
  <c r="H115" i="66" s="1"/>
  <c r="I14" i="64"/>
  <c r="I14" i="66" s="1"/>
  <c r="J71" i="64"/>
  <c r="J71" i="66" s="1"/>
  <c r="H119" i="64"/>
  <c r="H119" i="66" s="1"/>
  <c r="E116" i="64"/>
  <c r="E116" i="66" s="1"/>
  <c r="J57" i="64"/>
  <c r="J57" i="66" s="1"/>
  <c r="G99" i="64"/>
  <c r="G99" i="66" s="1"/>
  <c r="F135" i="64"/>
  <c r="F135" i="66" s="1"/>
  <c r="E148" i="64"/>
  <c r="E148" i="66" s="1"/>
  <c r="I54" i="64"/>
  <c r="I54" i="66" s="1"/>
  <c r="K72" i="64"/>
  <c r="K72" i="66" s="1"/>
  <c r="G80" i="64"/>
  <c r="G80" i="66" s="1"/>
  <c r="I5" i="64"/>
  <c r="I5" i="66" s="1"/>
  <c r="F9" i="64"/>
  <c r="F9" i="66" s="1"/>
  <c r="J123" i="64"/>
  <c r="J123" i="66" s="1"/>
  <c r="F102" i="64"/>
  <c r="F102" i="66" s="1"/>
  <c r="H79" i="64"/>
  <c r="H79" i="66" s="1"/>
  <c r="H133" i="64"/>
  <c r="H133" i="66" s="1"/>
  <c r="I72" i="64"/>
  <c r="I72" i="66" s="1"/>
  <c r="K66" i="64"/>
  <c r="K66" i="66" s="1"/>
  <c r="I123" i="64"/>
  <c r="I123" i="66" s="1"/>
  <c r="F97" i="64"/>
  <c r="F97" i="66" s="1"/>
  <c r="F79" i="64"/>
  <c r="F79" i="66" s="1"/>
  <c r="J16" i="64"/>
  <c r="J16" i="66" s="1"/>
  <c r="K115" i="64"/>
  <c r="K115" i="66" s="1"/>
  <c r="G128" i="64"/>
  <c r="G128" i="66" s="1"/>
  <c r="J99" i="64"/>
  <c r="J99" i="66" s="1"/>
  <c r="I75" i="64"/>
  <c r="I75" i="66" s="1"/>
  <c r="F53" i="64"/>
  <c r="F53" i="66" s="1"/>
  <c r="E53" i="64"/>
  <c r="E53" i="66" s="1"/>
  <c r="F134" i="64"/>
  <c r="F134" i="66" s="1"/>
  <c r="H70" i="64"/>
  <c r="H70" i="66" s="1"/>
  <c r="H84" i="64"/>
  <c r="H84" i="66" s="1"/>
  <c r="H88" i="64"/>
  <c r="H88" i="66" s="1"/>
  <c r="H130" i="64"/>
  <c r="H130" i="66" s="1"/>
  <c r="F93" i="64"/>
  <c r="F93" i="66" s="1"/>
  <c r="F66" i="64"/>
  <c r="F66" i="66" s="1"/>
  <c r="J83" i="64"/>
  <c r="J83" i="66" s="1"/>
  <c r="H10" i="73" s="1"/>
  <c r="J110" i="64"/>
  <c r="J110" i="66" s="1"/>
  <c r="J97" i="64"/>
  <c r="J97" i="66" s="1"/>
  <c r="J81" i="64"/>
  <c r="J81" i="66" s="1"/>
  <c r="I74" i="64"/>
  <c r="I74" i="66" s="1"/>
  <c r="K91" i="64"/>
  <c r="K91" i="66" s="1"/>
  <c r="E51" i="64"/>
  <c r="E51" i="66" s="1"/>
  <c r="K46" i="64"/>
  <c r="K46" i="66" s="1"/>
  <c r="F37" i="64"/>
  <c r="F37" i="66" s="1"/>
  <c r="F12" i="64"/>
  <c r="F12" i="66" s="1"/>
  <c r="J44" i="64"/>
  <c r="J44" i="66" s="1"/>
  <c r="J36" i="64"/>
  <c r="J36" i="66" s="1"/>
  <c r="J100" i="64"/>
  <c r="J100" i="66" s="1"/>
  <c r="E75" i="64"/>
  <c r="E75" i="66" s="1"/>
  <c r="K36" i="64"/>
  <c r="K36" i="66" s="1"/>
  <c r="E78" i="64"/>
  <c r="E78" i="66" s="1"/>
  <c r="G63" i="64"/>
  <c r="G63" i="66" s="1"/>
  <c r="G20" i="64"/>
  <c r="G20" i="66" s="1"/>
  <c r="L20" i="66" s="1"/>
  <c r="G7" i="64"/>
  <c r="G7" i="66" s="1"/>
  <c r="I64" i="64"/>
  <c r="I64" i="66" s="1"/>
  <c r="F15" i="64"/>
  <c r="F15" i="66" s="1"/>
  <c r="E57" i="64"/>
  <c r="E57" i="66" s="1"/>
  <c r="E12" i="64"/>
  <c r="E12" i="66" s="1"/>
  <c r="I118" i="64"/>
  <c r="I118" i="66" s="1"/>
  <c r="F137" i="64"/>
  <c r="F137" i="66" s="1"/>
  <c r="I62" i="64"/>
  <c r="I62" i="66" s="1"/>
  <c r="I116" i="64"/>
  <c r="I116" i="66" s="1"/>
  <c r="J63" i="64"/>
  <c r="J63" i="66" s="1"/>
  <c r="F61" i="64"/>
  <c r="F61" i="66" s="1"/>
  <c r="E113" i="64"/>
  <c r="E113" i="66" s="1"/>
  <c r="I61" i="64"/>
  <c r="I61" i="66" s="1"/>
  <c r="G117" i="64"/>
  <c r="G117" i="66" s="1"/>
  <c r="F120" i="64"/>
  <c r="F120" i="66" s="1"/>
  <c r="I133" i="64"/>
  <c r="I133" i="66" s="1"/>
  <c r="H72" i="64"/>
  <c r="H72" i="66" s="1"/>
  <c r="J33" i="64"/>
  <c r="J33" i="66" s="1"/>
  <c r="H14" i="64"/>
  <c r="H14" i="66" s="1"/>
  <c r="E125" i="64"/>
  <c r="E125" i="66" s="1"/>
  <c r="G11" i="64"/>
  <c r="G11" i="66" s="1"/>
  <c r="J126" i="64"/>
  <c r="J126" i="66" s="1"/>
  <c r="F92" i="64"/>
  <c r="F92" i="66" s="1"/>
  <c r="J17" i="64"/>
  <c r="J17" i="66" s="1"/>
  <c r="K70" i="64"/>
  <c r="K70" i="66" s="1"/>
  <c r="E15" i="64"/>
  <c r="E15" i="66" s="1"/>
  <c r="I66" i="64"/>
  <c r="I66" i="66" s="1"/>
  <c r="K93" i="64"/>
  <c r="K93" i="66" s="1"/>
  <c r="G96" i="64"/>
  <c r="G96" i="66" s="1"/>
  <c r="F110" i="64"/>
  <c r="F110" i="66" s="1"/>
  <c r="F77" i="64"/>
  <c r="F77" i="66" s="1"/>
  <c r="G77" i="64"/>
  <c r="G77" i="66" s="1"/>
  <c r="H110" i="64"/>
  <c r="H110" i="66" s="1"/>
  <c r="I97" i="64"/>
  <c r="I97" i="66" s="1"/>
  <c r="G13" i="64"/>
  <c r="G13" i="66" s="1"/>
  <c r="E16" i="64"/>
  <c r="E16" i="66" s="1"/>
  <c r="H15" i="64"/>
  <c r="H15" i="66" s="1"/>
  <c r="F131" i="64"/>
  <c r="F131" i="66" s="1"/>
  <c r="K136" i="64"/>
  <c r="K136" i="66" s="1"/>
  <c r="H7" i="64"/>
  <c r="H7" i="66" s="1"/>
  <c r="F51" i="64"/>
  <c r="F51" i="66" s="1"/>
  <c r="K132" i="64"/>
  <c r="K132" i="66" s="1"/>
  <c r="K100" i="64"/>
  <c r="K100" i="66" s="1"/>
  <c r="J50" i="64"/>
  <c r="J50" i="66" s="1"/>
  <c r="J104" i="64"/>
  <c r="J104" i="66" s="1"/>
  <c r="H75" i="64"/>
  <c r="H75" i="66" s="1"/>
  <c r="H78" i="64"/>
  <c r="H78" i="66" s="1"/>
  <c r="H42" i="64"/>
  <c r="H42" i="66" s="1"/>
  <c r="K13" i="64"/>
  <c r="K13" i="66" s="1"/>
  <c r="H116" i="64"/>
  <c r="H116" i="66" s="1"/>
  <c r="G65" i="64"/>
  <c r="G65" i="66" s="1"/>
  <c r="H102" i="64"/>
  <c r="H102" i="66" s="1"/>
  <c r="J10" i="64"/>
  <c r="J10" i="66" s="1"/>
  <c r="E59" i="64"/>
  <c r="E59" i="66" s="1"/>
  <c r="F80" i="64"/>
  <c r="F80" i="66" s="1"/>
  <c r="G89" i="64"/>
  <c r="G89" i="66" s="1"/>
  <c r="F70" i="64"/>
  <c r="F70" i="66" s="1"/>
  <c r="E102" i="64"/>
  <c r="E102" i="66" s="1"/>
  <c r="J93" i="64"/>
  <c r="J93" i="66" s="1"/>
  <c r="F91" i="64"/>
  <c r="F91" i="66" s="1"/>
  <c r="H58" i="64"/>
  <c r="H58" i="66" s="1"/>
  <c r="J124" i="64"/>
  <c r="J124" i="66" s="1"/>
  <c r="G42" i="64"/>
  <c r="G42" i="66" s="1"/>
  <c r="K111" i="64"/>
  <c r="K111" i="66" s="1"/>
  <c r="F116" i="64"/>
  <c r="F116" i="66" s="1"/>
  <c r="J148" i="64"/>
  <c r="J148" i="66" s="1"/>
  <c r="F95" i="64"/>
  <c r="F95" i="66" s="1"/>
  <c r="F122" i="64"/>
  <c r="F122" i="66" s="1"/>
  <c r="G78" i="64"/>
  <c r="G78" i="66" s="1"/>
  <c r="E131" i="64"/>
  <c r="E131" i="66" s="1"/>
  <c r="H13" i="64"/>
  <c r="H13" i="66" s="1"/>
  <c r="K109" i="64"/>
  <c r="K109" i="66" s="1"/>
  <c r="K148" i="64"/>
  <c r="K148" i="66" s="1"/>
  <c r="E128" i="64"/>
  <c r="E128" i="66" s="1"/>
  <c r="K90" i="64"/>
  <c r="K90" i="66" s="1"/>
  <c r="G27" i="64"/>
  <c r="G27" i="66" s="1"/>
  <c r="J120" i="64"/>
  <c r="J120" i="66" s="1"/>
  <c r="F89" i="64"/>
  <c r="F89" i="66" s="1"/>
  <c r="H106" i="64"/>
  <c r="H106" i="66" s="1"/>
  <c r="E72" i="64"/>
  <c r="E72" i="66" s="1"/>
  <c r="E14" i="64"/>
  <c r="E14" i="66" s="1"/>
  <c r="F47" i="64"/>
  <c r="F47" i="66" s="1"/>
  <c r="K9" i="64"/>
  <c r="K9" i="66" s="1"/>
  <c r="I126" i="64"/>
  <c r="I126" i="66" s="1"/>
  <c r="K89" i="64"/>
  <c r="K89" i="66" s="1"/>
  <c r="H127" i="64"/>
  <c r="H127" i="66" s="1"/>
  <c r="E69" i="64"/>
  <c r="E69" i="66" s="1"/>
  <c r="E33" i="64"/>
  <c r="E33" i="66" s="1"/>
  <c r="F88" i="64"/>
  <c r="F88" i="66" s="1"/>
  <c r="E39" i="64"/>
  <c r="E39" i="66" s="1"/>
  <c r="J6" i="64"/>
  <c r="J6" i="66" s="1"/>
  <c r="G131" i="64"/>
  <c r="G131" i="66" s="1"/>
  <c r="E137" i="64"/>
  <c r="E137" i="66" s="1"/>
  <c r="H10" i="64"/>
  <c r="H10" i="66" s="1"/>
  <c r="J11" i="64"/>
  <c r="J11" i="66" s="1"/>
  <c r="H136" i="64"/>
  <c r="H136" i="66" s="1"/>
  <c r="E81" i="64"/>
  <c r="E81" i="66" s="1"/>
  <c r="G76" i="64"/>
  <c r="G76" i="66" s="1"/>
  <c r="I38" i="64"/>
  <c r="I38" i="66" s="1"/>
  <c r="K131" i="64"/>
  <c r="K131" i="66" s="1"/>
  <c r="F46" i="64"/>
  <c r="F46" i="66" s="1"/>
  <c r="J7" i="64"/>
  <c r="J7" i="66" s="1"/>
  <c r="J51" i="64"/>
  <c r="J51" i="66" s="1"/>
  <c r="E32" i="64"/>
  <c r="E32" i="66" s="1"/>
  <c r="K12" i="64"/>
  <c r="K12" i="66" s="1"/>
  <c r="I85" i="64"/>
  <c r="I85" i="66" s="1"/>
  <c r="K41" i="64"/>
  <c r="K41" i="66" s="1"/>
  <c r="I100" i="64"/>
  <c r="I100" i="66" s="1"/>
  <c r="I50" i="64"/>
  <c r="I50" i="66" s="1"/>
  <c r="H104" i="64"/>
  <c r="H104" i="66" s="1"/>
  <c r="E9" i="64"/>
  <c r="E9" i="66" s="1"/>
  <c r="I49" i="64"/>
  <c r="I49" i="66" s="1"/>
  <c r="I104" i="64"/>
  <c r="I104" i="66" s="1"/>
  <c r="E99" i="64"/>
  <c r="E99" i="66" s="1"/>
  <c r="K77" i="64"/>
  <c r="K77" i="66" s="1"/>
  <c r="J118" i="64"/>
  <c r="J118" i="66" s="1"/>
  <c r="I101" i="64"/>
  <c r="I101" i="66" s="1"/>
  <c r="G59" i="64"/>
  <c r="G59" i="66" s="1"/>
  <c r="I11" i="64"/>
  <c r="I11" i="66" s="1"/>
  <c r="E110" i="64"/>
  <c r="E110" i="66" s="1"/>
  <c r="G60" i="64"/>
  <c r="G60" i="66" s="1"/>
  <c r="H107" i="64"/>
  <c r="H107" i="66" s="1"/>
  <c r="H33" i="64"/>
  <c r="H33" i="66" s="1"/>
  <c r="F18" i="64"/>
  <c r="F18" i="66" s="1"/>
  <c r="F17" i="64"/>
  <c r="F17" i="66" s="1"/>
  <c r="I117" i="64"/>
  <c r="I117" i="66" s="1"/>
  <c r="I83" i="64"/>
  <c r="I83" i="66" s="1"/>
  <c r="G10" i="73" s="1"/>
  <c r="K97" i="64"/>
  <c r="K97" i="66" s="1"/>
  <c r="H86" i="64"/>
  <c r="H86" i="66" s="1"/>
  <c r="E34" i="64"/>
  <c r="E34" i="66" s="1"/>
  <c r="G108" i="64"/>
  <c r="G108" i="66" s="1"/>
  <c r="G104" i="64"/>
  <c r="G104" i="66" s="1"/>
  <c r="F78" i="64"/>
  <c r="F78" i="66" s="1"/>
  <c r="H123" i="64"/>
  <c r="H123" i="66" s="1"/>
  <c r="H125" i="64"/>
  <c r="H125" i="66" s="1"/>
  <c r="E103" i="64"/>
  <c r="E103" i="66" s="1"/>
  <c r="J121" i="64"/>
  <c r="J121" i="66" s="1"/>
  <c r="I73" i="64"/>
  <c r="I73" i="66" s="1"/>
  <c r="K64" i="64"/>
  <c r="K64" i="66" s="1"/>
  <c r="F114" i="64"/>
  <c r="F114" i="66" s="1"/>
  <c r="E93" i="64"/>
  <c r="E93" i="66" s="1"/>
  <c r="E98" i="64"/>
  <c r="E98" i="66" s="1"/>
  <c r="H66" i="64"/>
  <c r="H66" i="66" s="1"/>
  <c r="I27" i="64"/>
  <c r="I27" i="66" s="1"/>
  <c r="I130" i="64"/>
  <c r="I130" i="66" s="1"/>
  <c r="F43" i="64"/>
  <c r="F43" i="66" s="1"/>
  <c r="K110" i="64"/>
  <c r="K110" i="66" s="1"/>
  <c r="J62" i="64"/>
  <c r="J62" i="66" s="1"/>
  <c r="J29" i="64"/>
  <c r="J29" i="66" s="1"/>
  <c r="E77" i="64"/>
  <c r="E77" i="66" s="1"/>
  <c r="E23" i="64"/>
  <c r="E23" i="66" s="1"/>
  <c r="C6" i="73" s="1"/>
  <c r="J58" i="64"/>
  <c r="J58" i="66" s="1"/>
  <c r="H56" i="64"/>
  <c r="H56" i="66" s="1"/>
  <c r="G124" i="64"/>
  <c r="G124" i="66" s="1"/>
  <c r="J27" i="64"/>
  <c r="J27" i="66" s="1"/>
  <c r="J41" i="64"/>
  <c r="J41" i="66" s="1"/>
  <c r="H7" i="73" s="1"/>
  <c r="K50" i="64"/>
  <c r="K50" i="66" s="1"/>
  <c r="F31" i="64"/>
  <c r="F31" i="66" s="1"/>
  <c r="J85" i="64"/>
  <c r="J85" i="66" s="1"/>
  <c r="H26" i="64"/>
  <c r="H26" i="66" s="1"/>
  <c r="E19" i="64"/>
  <c r="E19" i="66" s="1"/>
  <c r="I94" i="64"/>
  <c r="I94" i="66" s="1"/>
  <c r="G38" i="64"/>
  <c r="G38" i="66" s="1"/>
  <c r="F94" i="64"/>
  <c r="F94" i="66" s="1"/>
  <c r="J42" i="64"/>
  <c r="J42" i="66" s="1"/>
  <c r="I69" i="64"/>
  <c r="I69" i="66" s="1"/>
  <c r="E107" i="64"/>
  <c r="E107" i="66" s="1"/>
  <c r="H19" i="64"/>
  <c r="H19" i="66" s="1"/>
  <c r="K33" i="64"/>
  <c r="K33" i="66" s="1"/>
  <c r="E122" i="64"/>
  <c r="E122" i="66" s="1"/>
  <c r="H118" i="64"/>
  <c r="H118" i="66" s="1"/>
  <c r="F21" i="64"/>
  <c r="F21" i="66" s="1"/>
  <c r="H121" i="64"/>
  <c r="H121" i="66" s="1"/>
  <c r="K25" i="64"/>
  <c r="K25" i="66" s="1"/>
  <c r="G107" i="64"/>
  <c r="G107" i="66" s="1"/>
  <c r="F108" i="64"/>
  <c r="F108" i="66" s="1"/>
  <c r="E105" i="64"/>
  <c r="E105" i="66" s="1"/>
  <c r="E108" i="64"/>
  <c r="E108" i="66" s="1"/>
  <c r="G72" i="64"/>
  <c r="G72" i="66" s="1"/>
  <c r="I99" i="64"/>
  <c r="I99" i="66" s="1"/>
  <c r="F69" i="64"/>
  <c r="F69" i="66" s="1"/>
  <c r="I33" i="64"/>
  <c r="I33" i="66" s="1"/>
  <c r="K62" i="64"/>
  <c r="K62" i="66" s="1"/>
  <c r="G129" i="64"/>
  <c r="G129" i="66" s="1"/>
  <c r="F48" i="64"/>
  <c r="F48" i="66" s="1"/>
  <c r="J112" i="64"/>
  <c r="J112" i="66" s="1"/>
  <c r="I70" i="64"/>
  <c r="I70" i="66" s="1"/>
  <c r="H22" i="64"/>
  <c r="H22" i="66" s="1"/>
  <c r="L22" i="66" s="1"/>
  <c r="E73" i="64"/>
  <c r="E73" i="66" s="1"/>
  <c r="I102" i="64"/>
  <c r="I102" i="66" s="1"/>
  <c r="K130" i="64"/>
  <c r="K130" i="66" s="1"/>
  <c r="E97" i="64"/>
  <c r="E97" i="66" s="1"/>
  <c r="I132" i="64"/>
  <c r="I132" i="66" s="1"/>
  <c r="J103" i="64"/>
  <c r="J103" i="66" s="1"/>
  <c r="E29" i="64"/>
  <c r="E29" i="66" s="1"/>
  <c r="G98" i="64"/>
  <c r="G98" i="66" s="1"/>
  <c r="G103" i="64"/>
  <c r="G103" i="66" s="1"/>
  <c r="I76" i="64"/>
  <c r="I76" i="66" s="1"/>
  <c r="I60" i="64"/>
  <c r="I60" i="66" s="1"/>
  <c r="G48" i="64"/>
  <c r="G48" i="66" s="1"/>
  <c r="H76" i="64"/>
  <c r="H76" i="66" s="1"/>
  <c r="F62" i="64"/>
  <c r="F62" i="66" s="1"/>
  <c r="H40" i="64"/>
  <c r="H40" i="66" s="1"/>
  <c r="K32" i="64"/>
  <c r="K32" i="66" s="1"/>
  <c r="E124" i="64"/>
  <c r="E124" i="66" s="1"/>
  <c r="I58" i="64"/>
  <c r="I58" i="66" s="1"/>
  <c r="G37" i="64"/>
  <c r="G37" i="66" s="1"/>
  <c r="H85" i="64"/>
  <c r="H85" i="66" s="1"/>
  <c r="F132" i="64"/>
  <c r="F132" i="66" s="1"/>
  <c r="H41" i="64"/>
  <c r="H41" i="66" s="1"/>
  <c r="J87" i="64"/>
  <c r="J87" i="66" s="1"/>
  <c r="G71" i="64"/>
  <c r="G71" i="66" s="1"/>
  <c r="I84" i="64"/>
  <c r="I84" i="66" s="1"/>
  <c r="K116" i="64"/>
  <c r="K116" i="66" s="1"/>
  <c r="E83" i="64"/>
  <c r="E83" i="66" s="1"/>
  <c r="G57" i="64"/>
  <c r="G57" i="66" s="1"/>
  <c r="K17" i="64"/>
  <c r="K17" i="66" s="1"/>
  <c r="J116" i="64"/>
  <c r="J116" i="66" s="1"/>
  <c r="J52" i="64"/>
  <c r="J52" i="66" s="1"/>
  <c r="K88" i="64"/>
  <c r="K88" i="66" s="1"/>
  <c r="G121" i="64"/>
  <c r="G121" i="66" s="1"/>
  <c r="I122" i="64"/>
  <c r="I122" i="66" s="1"/>
  <c r="F106" i="64"/>
  <c r="F106" i="66" s="1"/>
  <c r="H45" i="64"/>
  <c r="H45" i="66" s="1"/>
  <c r="K135" i="64"/>
  <c r="K135" i="66" s="1"/>
  <c r="E25" i="64"/>
  <c r="E25" i="66" s="1"/>
  <c r="H32" i="64"/>
  <c r="H32" i="66" s="1"/>
  <c r="F129" i="64"/>
  <c r="F129" i="66" s="1"/>
  <c r="G109" i="64"/>
  <c r="G109" i="66" s="1"/>
  <c r="H51" i="64"/>
  <c r="H51" i="66" s="1"/>
  <c r="F23" i="64"/>
  <c r="F23" i="66" s="1"/>
  <c r="E111" i="64"/>
  <c r="E111" i="66" s="1"/>
  <c r="J98" i="64"/>
  <c r="J98" i="66" s="1"/>
  <c r="J48" i="64"/>
  <c r="J48" i="66" s="1"/>
  <c r="E130" i="64"/>
  <c r="E130" i="66" s="1"/>
  <c r="H30" i="64"/>
  <c r="H30" i="66" s="1"/>
  <c r="H96" i="64"/>
  <c r="H96" i="66" s="1"/>
  <c r="G95" i="64"/>
  <c r="G95" i="66" s="1"/>
  <c r="E68" i="64"/>
  <c r="E68" i="66" s="1"/>
  <c r="I95" i="64"/>
  <c r="I95" i="66" s="1"/>
  <c r="J91" i="64"/>
  <c r="J91" i="66" s="1"/>
  <c r="H62" i="64"/>
  <c r="H62" i="66" s="1"/>
  <c r="F76" i="64"/>
  <c r="F76" i="66" s="1"/>
  <c r="H37" i="64"/>
  <c r="H37" i="66" s="1"/>
  <c r="K63" i="64"/>
  <c r="K63" i="66" s="1"/>
  <c r="G18" i="64"/>
  <c r="G18" i="66" s="1"/>
  <c r="H44" i="64"/>
  <c r="H44" i="66" s="1"/>
  <c r="I41" i="64"/>
  <c r="I41" i="66" s="1"/>
  <c r="F87" i="64"/>
  <c r="F87" i="66" s="1"/>
  <c r="H71" i="64"/>
  <c r="H71" i="66" s="1"/>
  <c r="H50" i="64"/>
  <c r="H50" i="66" s="1"/>
  <c r="J82" i="64"/>
  <c r="J82" i="66" s="1"/>
  <c r="H57" i="64"/>
  <c r="H57" i="66" s="1"/>
  <c r="E90" i="64"/>
  <c r="E90" i="66" s="1"/>
  <c r="I71" i="64"/>
  <c r="I71" i="66" s="1"/>
  <c r="K49" i="64"/>
  <c r="K49" i="66" s="1"/>
  <c r="J31" i="64"/>
  <c r="J31" i="66" s="1"/>
  <c r="K60" i="64"/>
  <c r="K60" i="66" s="1"/>
  <c r="E64" i="64"/>
  <c r="E64" i="66" s="1"/>
  <c r="K114" i="64"/>
  <c r="K114" i="66" s="1"/>
  <c r="E70" i="64"/>
  <c r="E70" i="66" s="1"/>
  <c r="I81" i="64"/>
  <c r="I81" i="66" s="1"/>
  <c r="K45" i="64"/>
  <c r="K45" i="66" s="1"/>
  <c r="J72" i="64"/>
  <c r="J72" i="66" s="1"/>
  <c r="E101" i="64"/>
  <c r="E101" i="66" s="1"/>
  <c r="H99" i="64"/>
  <c r="H99" i="66" s="1"/>
  <c r="K84" i="64"/>
  <c r="K84" i="66" s="1"/>
  <c r="I68" i="64"/>
  <c r="I68" i="66" s="1"/>
  <c r="G68" i="64"/>
  <c r="G68" i="66" s="1"/>
  <c r="E66" i="64"/>
  <c r="E66" i="66" s="1"/>
  <c r="H93" i="64"/>
  <c r="H93" i="66" s="1"/>
  <c r="H98" i="64"/>
  <c r="H98" i="66" s="1"/>
  <c r="H39" i="64"/>
  <c r="H39" i="66" s="1"/>
  <c r="G56" i="64"/>
  <c r="G56" i="66" s="1"/>
  <c r="J60" i="64"/>
  <c r="J60" i="66" s="1"/>
  <c r="G106" i="64"/>
  <c r="G106" i="66" s="1"/>
  <c r="F60" i="64"/>
  <c r="F60" i="66" s="1"/>
  <c r="E86" i="64"/>
  <c r="E86" i="66" s="1"/>
  <c r="K40" i="64"/>
  <c r="K40" i="66" s="1"/>
  <c r="G91" i="64"/>
  <c r="G91" i="66" s="1"/>
  <c r="G62" i="64"/>
  <c r="G62" i="66" s="1"/>
  <c r="J76" i="64"/>
  <c r="J76" i="66" s="1"/>
  <c r="I113" i="64"/>
  <c r="I113" i="66" s="1"/>
  <c r="H63" i="64"/>
  <c r="H63" i="66" s="1"/>
  <c r="F44" i="64"/>
  <c r="F44" i="66" s="1"/>
  <c r="K71" i="64"/>
  <c r="K71" i="66" s="1"/>
  <c r="F50" i="64"/>
  <c r="F50" i="66" s="1"/>
  <c r="I55" i="64"/>
  <c r="I55" i="66" s="1"/>
  <c r="J96" i="64"/>
  <c r="J96" i="66" s="1"/>
  <c r="E96" i="64"/>
  <c r="E96" i="66" s="1"/>
  <c r="J59" i="64"/>
  <c r="J59" i="66" s="1"/>
  <c r="F54" i="64"/>
  <c r="F54" i="66" s="1"/>
  <c r="I135" i="64"/>
  <c r="I135" i="66" s="1"/>
  <c r="F117" i="64"/>
  <c r="F117" i="66" s="1"/>
  <c r="G101" i="64"/>
  <c r="G101" i="66" s="1"/>
  <c r="G47" i="64"/>
  <c r="G47" i="66" s="1"/>
  <c r="K119" i="64"/>
  <c r="K119" i="66" s="1"/>
  <c r="K27" i="64"/>
  <c r="K27" i="66" s="1"/>
  <c r="I6" i="73" s="1"/>
  <c r="I35" i="64"/>
  <c r="I35" i="66" s="1"/>
  <c r="F82" i="64"/>
  <c r="F82" i="66" s="1"/>
  <c r="H60" i="64"/>
  <c r="H60" i="66" s="1"/>
  <c r="E58" i="64"/>
  <c r="E58" i="66" s="1"/>
  <c r="F26" i="64"/>
  <c r="F26" i="66" s="1"/>
  <c r="G29" i="64"/>
  <c r="G29" i="66" s="1"/>
  <c r="E85" i="64"/>
  <c r="E85" i="66" s="1"/>
  <c r="J54" i="64"/>
  <c r="J54" i="66" s="1"/>
  <c r="I45" i="64"/>
  <c r="I45" i="66" s="1"/>
  <c r="I109" i="64"/>
  <c r="I109" i="66" s="1"/>
  <c r="E15" i="73"/>
  <c r="H81" i="64"/>
  <c r="H81" i="66" s="1"/>
  <c r="G123" i="64"/>
  <c r="G123" i="66" s="1"/>
  <c r="I40" i="64"/>
  <c r="I40" i="66" s="1"/>
  <c r="F103" i="64"/>
  <c r="F103" i="66" s="1"/>
  <c r="E50" i="64"/>
  <c r="E50" i="66" s="1"/>
  <c r="G82" i="64"/>
  <c r="G82" i="66" s="1"/>
  <c r="F130" i="64"/>
  <c r="F130" i="66" s="1"/>
  <c r="I98" i="64"/>
  <c r="I98" i="66" s="1"/>
  <c r="F39" i="64"/>
  <c r="F39" i="66" s="1"/>
  <c r="E30" i="64"/>
  <c r="E30" i="66" s="1"/>
  <c r="F96" i="64"/>
  <c r="F96" i="66" s="1"/>
  <c r="G43" i="64"/>
  <c r="G43" i="66" s="1"/>
  <c r="E65" i="64"/>
  <c r="E65" i="66" s="1"/>
  <c r="F29" i="64"/>
  <c r="F29" i="66" s="1"/>
  <c r="J32" i="64"/>
  <c r="J32" i="66" s="1"/>
  <c r="E134" i="64"/>
  <c r="E134" i="66" s="1"/>
  <c r="E76" i="64"/>
  <c r="E76" i="66" s="1"/>
  <c r="E46" i="64"/>
  <c r="E46" i="66" s="1"/>
  <c r="E37" i="64"/>
  <c r="E37" i="66" s="1"/>
  <c r="I63" i="64"/>
  <c r="I63" i="66" s="1"/>
  <c r="I44" i="64"/>
  <c r="I44" i="66" s="1"/>
  <c r="I53" i="64"/>
  <c r="I53" i="66" s="1"/>
  <c r="E87" i="64"/>
  <c r="E87" i="66" s="1"/>
  <c r="F71" i="64"/>
  <c r="F71" i="66" s="1"/>
  <c r="J23" i="64"/>
  <c r="J23" i="66" s="1"/>
  <c r="F52" i="64"/>
  <c r="F52" i="66" s="1"/>
  <c r="J94" i="64"/>
  <c r="J94" i="66" s="1"/>
  <c r="J117" i="64"/>
  <c r="J117" i="66" s="1"/>
  <c r="J86" i="64"/>
  <c r="J86" i="66" s="1"/>
  <c r="G61" i="64"/>
  <c r="G61" i="66" s="1"/>
  <c r="H101" i="64"/>
  <c r="H101" i="66" s="1"/>
  <c r="I31" i="64"/>
  <c r="I31" i="66" s="1"/>
  <c r="I107" i="64"/>
  <c r="I107" i="66" s="1"/>
  <c r="I24" i="64"/>
  <c r="I24" i="66" s="1"/>
  <c r="J47" i="64"/>
  <c r="J47" i="66" s="1"/>
  <c r="H65" i="64"/>
  <c r="H65" i="66" s="1"/>
  <c r="J128" i="64"/>
  <c r="J128" i="66" s="1"/>
  <c r="F75" i="64"/>
  <c r="F75" i="66" s="1"/>
  <c r="E117" i="64"/>
  <c r="E117" i="66" s="1"/>
  <c r="J122" i="64"/>
  <c r="J122" i="66" s="1"/>
  <c r="H29" i="64"/>
  <c r="H29" i="66" s="1"/>
  <c r="G133" i="64"/>
  <c r="G133" i="66" s="1"/>
  <c r="H135" i="64"/>
  <c r="H135" i="66" s="1"/>
  <c r="E55" i="64"/>
  <c r="E55" i="66" s="1"/>
  <c r="K112" i="64"/>
  <c r="K112" i="66" s="1"/>
  <c r="F35" i="64"/>
  <c r="F35" i="66" s="1"/>
  <c r="G73" i="64"/>
  <c r="G73" i="66" s="1"/>
  <c r="I114" i="64"/>
  <c r="I114" i="66" s="1"/>
  <c r="F98" i="64"/>
  <c r="F98" i="66" s="1"/>
  <c r="H68" i="64"/>
  <c r="H68" i="66" s="1"/>
  <c r="K98" i="64"/>
  <c r="K98" i="66" s="1"/>
  <c r="H27" i="64"/>
  <c r="H27" i="66" s="1"/>
  <c r="E44" i="64"/>
  <c r="E44" i="66" s="1"/>
  <c r="G97" i="64"/>
  <c r="G97" i="66" s="1"/>
  <c r="G70" i="64"/>
  <c r="G70" i="66" s="1"/>
  <c r="I124" i="64"/>
  <c r="I124" i="66" s="1"/>
  <c r="H46" i="64"/>
  <c r="H46" i="66" s="1"/>
  <c r="I112" i="64"/>
  <c r="I112" i="66" s="1"/>
  <c r="I115" i="64"/>
  <c r="I115" i="66" s="1"/>
  <c r="K87" i="64"/>
  <c r="K87" i="66" s="1"/>
  <c r="F111" i="64"/>
  <c r="F111" i="66" s="1"/>
  <c r="K65" i="64"/>
  <c r="K65" i="66" s="1"/>
  <c r="G34" i="64"/>
  <c r="G34" i="66" s="1"/>
  <c r="H117" i="64"/>
  <c r="H117" i="66" s="1"/>
  <c r="G33" i="64"/>
  <c r="G33" i="66" s="1"/>
  <c r="H24" i="64"/>
  <c r="H24" i="66" s="1"/>
  <c r="F125" i="64"/>
  <c r="F125" i="66" s="1"/>
  <c r="H47" i="64"/>
  <c r="H47" i="66" s="1"/>
  <c r="K117" i="64"/>
  <c r="K117" i="66" s="1"/>
  <c r="I15" i="73"/>
  <c r="L138" i="66"/>
  <c r="L142" i="66"/>
  <c r="C15" i="73"/>
  <c r="K8" i="66"/>
  <c r="L146" i="66"/>
  <c r="L147" i="66"/>
  <c r="F5" i="66"/>
  <c r="L140" i="66"/>
  <c r="L143" i="66"/>
  <c r="L145" i="66"/>
  <c r="G5" i="66"/>
  <c r="K5" i="66"/>
  <c r="E5" i="66"/>
  <c r="L144" i="66"/>
  <c r="H15" i="73"/>
  <c r="H14" i="73"/>
  <c r="D15" i="73"/>
  <c r="L139" i="66"/>
  <c r="F15" i="73"/>
  <c r="G15" i="73"/>
  <c r="J5" i="66"/>
  <c r="L141" i="66"/>
  <c r="I14" i="73" l="1"/>
  <c r="AL21" i="43"/>
  <c r="L24" i="66"/>
  <c r="I10" i="73"/>
  <c r="H8" i="73"/>
  <c r="F11" i="73"/>
  <c r="V7" i="82" a="1"/>
  <c r="V7" i="82" s="1"/>
  <c r="D5" i="73"/>
  <c r="C14" i="73"/>
  <c r="G11" i="73"/>
  <c r="I12" i="73"/>
  <c r="I7" i="82" a="1"/>
  <c r="I7" i="82" s="1"/>
  <c r="F8" i="73"/>
  <c r="L74" i="66"/>
  <c r="H5" i="73"/>
  <c r="I7" i="73"/>
  <c r="L38" i="66"/>
  <c r="F10" i="73"/>
  <c r="L92" i="66"/>
  <c r="C9" i="73"/>
  <c r="L67" i="66"/>
  <c r="L131" i="66"/>
  <c r="E5" i="73"/>
  <c r="H12" i="73"/>
  <c r="E8" i="73"/>
  <c r="C13" i="73"/>
  <c r="L105" i="66"/>
  <c r="L36" i="66"/>
  <c r="L129" i="66"/>
  <c r="I11" i="73"/>
  <c r="E10" i="73"/>
  <c r="L30" i="66"/>
  <c r="L6" i="73" s="1"/>
  <c r="E12" i="73"/>
  <c r="D6" i="73"/>
  <c r="H6" i="73"/>
  <c r="L90" i="66"/>
  <c r="L18" i="66"/>
  <c r="L126" i="66"/>
  <c r="L21" i="66"/>
  <c r="L82" i="66"/>
  <c r="K7" i="82" a="1"/>
  <c r="K7" i="82" s="1"/>
  <c r="L134" i="66"/>
  <c r="L120" i="66"/>
  <c r="D9" i="73"/>
  <c r="E6" i="73"/>
  <c r="L65" i="66"/>
  <c r="L15" i="66"/>
  <c r="L100" i="66"/>
  <c r="I8" i="82" a="1"/>
  <c r="I8" i="82" s="1"/>
  <c r="L44" i="66"/>
  <c r="L63" i="66"/>
  <c r="L119" i="66"/>
  <c r="L104" i="66"/>
  <c r="I5" i="73"/>
  <c r="L148" i="66"/>
  <c r="J7" i="82" a="1"/>
  <c r="J7" i="82" s="1"/>
  <c r="E11" i="73"/>
  <c r="L49" i="66"/>
  <c r="L118" i="66"/>
  <c r="C7" i="73"/>
  <c r="L75" i="66"/>
  <c r="L68" i="66"/>
  <c r="E14" i="73"/>
  <c r="L93" i="66"/>
  <c r="L83" i="66"/>
  <c r="L80" i="66"/>
  <c r="L124" i="66"/>
  <c r="L61" i="66"/>
  <c r="F14" i="73"/>
  <c r="L55" i="66"/>
  <c r="C11" i="73"/>
  <c r="L42" i="66"/>
  <c r="U8" i="82" a="1"/>
  <c r="U8" i="82" s="1"/>
  <c r="L35" i="66"/>
  <c r="L54" i="66"/>
  <c r="H13" i="73"/>
  <c r="L19" i="66"/>
  <c r="L121" i="66"/>
  <c r="L70" i="66"/>
  <c r="L84" i="66"/>
  <c r="G5" i="73"/>
  <c r="L11" i="66"/>
  <c r="L114" i="66"/>
  <c r="L57" i="66"/>
  <c r="G6" i="73"/>
  <c r="L32" i="66"/>
  <c r="L109" i="66"/>
  <c r="L16" i="66"/>
  <c r="L137" i="66"/>
  <c r="L127" i="66"/>
  <c r="L9" i="66"/>
  <c r="L128" i="66"/>
  <c r="L43" i="66"/>
  <c r="L132" i="66"/>
  <c r="L56" i="66"/>
  <c r="L14" i="66"/>
  <c r="L5" i="73" s="1"/>
  <c r="L72" i="66"/>
  <c r="L135" i="66"/>
  <c r="L7" i="66"/>
  <c r="F7" i="73"/>
  <c r="L111" i="66"/>
  <c r="G8" i="73"/>
  <c r="L50" i="66"/>
  <c r="L106" i="66"/>
  <c r="L66" i="66"/>
  <c r="L78" i="66"/>
  <c r="D10" i="73"/>
  <c r="L12" i="66"/>
  <c r="L79" i="66"/>
  <c r="L99" i="66"/>
  <c r="L64" i="66"/>
  <c r="L103" i="66"/>
  <c r="L88" i="66"/>
  <c r="L110" i="66"/>
  <c r="L17" i="66"/>
  <c r="L10" i="66"/>
  <c r="C7" i="82" a="1"/>
  <c r="C7" i="82" s="1"/>
  <c r="L94" i="66"/>
  <c r="D7" i="73"/>
  <c r="L25" i="66"/>
  <c r="L89" i="66"/>
  <c r="L59" i="66"/>
  <c r="E9" i="73"/>
  <c r="D11" i="73"/>
  <c r="L136" i="66"/>
  <c r="L27" i="66"/>
  <c r="L48" i="66"/>
  <c r="L108" i="66"/>
  <c r="L47" i="66"/>
  <c r="L41" i="66"/>
  <c r="L34" i="66"/>
  <c r="L73" i="66"/>
  <c r="D7" i="82" a="1"/>
  <c r="D7" i="82" s="1"/>
  <c r="L45" i="66"/>
  <c r="L60" i="66"/>
  <c r="L85" i="66"/>
  <c r="C8" i="82" a="1"/>
  <c r="C8" i="82" s="1"/>
  <c r="I13" i="73"/>
  <c r="L33" i="66"/>
  <c r="L58" i="66"/>
  <c r="L102" i="66"/>
  <c r="D8" i="82" a="1"/>
  <c r="D8" i="82" s="1"/>
  <c r="C5" i="73"/>
  <c r="F5" i="73"/>
  <c r="F9" i="73"/>
  <c r="G7" i="82" a="1"/>
  <c r="G7" i="82" s="1"/>
  <c r="E7" i="82" a="1"/>
  <c r="E7" i="82" s="1"/>
  <c r="I8" i="73"/>
  <c r="G9" i="82" a="1"/>
  <c r="G9" i="82" s="1"/>
  <c r="L112" i="66"/>
  <c r="L26" i="66"/>
  <c r="L125" i="66"/>
  <c r="C10" i="73"/>
  <c r="L29" i="66"/>
  <c r="D13" i="73"/>
  <c r="L51" i="66"/>
  <c r="L69" i="66"/>
  <c r="L77" i="66"/>
  <c r="H8" i="82" a="1"/>
  <c r="H8" i="82" s="1"/>
  <c r="F7" i="82" a="1"/>
  <c r="F7" i="82" s="1"/>
  <c r="G14" i="73"/>
  <c r="L133" i="66"/>
  <c r="L52" i="66"/>
  <c r="L40" i="66"/>
  <c r="D12" i="73"/>
  <c r="L76" i="66"/>
  <c r="L116" i="66"/>
  <c r="G9" i="73"/>
  <c r="J8" i="82" a="1"/>
  <c r="J8" i="82" s="1"/>
  <c r="C10" i="82" a="1"/>
  <c r="C10" i="82" s="1"/>
  <c r="H7" i="82" a="1"/>
  <c r="H7" i="82" s="1"/>
  <c r="L13" i="66"/>
  <c r="L115" i="66"/>
  <c r="K8" i="82" a="1"/>
  <c r="K8" i="82" s="1"/>
  <c r="C8" i="73"/>
  <c r="L37" i="66"/>
  <c r="F13" i="73"/>
  <c r="L81" i="66"/>
  <c r="L86" i="66"/>
  <c r="L95" i="66"/>
  <c r="G7" i="73"/>
  <c r="E8" i="82" a="1"/>
  <c r="E8" i="82" s="1"/>
  <c r="F6" i="73"/>
  <c r="L97" i="66"/>
  <c r="L53" i="66"/>
  <c r="H9" i="73"/>
  <c r="L113" i="66"/>
  <c r="C9" i="82" a="1"/>
  <c r="C9" i="82" s="1"/>
  <c r="L107" i="66"/>
  <c r="L71" i="66"/>
  <c r="L122" i="66"/>
  <c r="L31" i="66"/>
  <c r="C12" i="73"/>
  <c r="L123" i="66"/>
  <c r="G13" i="73"/>
  <c r="D8" i="73"/>
  <c r="H11" i="73"/>
  <c r="G12" i="82" a="1"/>
  <c r="G12" i="82" s="1"/>
  <c r="L46" i="66"/>
  <c r="L130" i="66"/>
  <c r="I9" i="73"/>
  <c r="H11" i="82" a="1"/>
  <c r="H11" i="82" s="1"/>
  <c r="D9" i="82" a="1"/>
  <c r="D9" i="82" s="1"/>
  <c r="L96" i="66"/>
  <c r="L62" i="66"/>
  <c r="F8" i="82" a="1"/>
  <c r="F8" i="82" s="1"/>
  <c r="I11" i="82" a="1"/>
  <c r="I11" i="82" s="1"/>
  <c r="F12" i="82" a="1"/>
  <c r="F12" i="82" s="1"/>
  <c r="D12" i="82" a="1"/>
  <c r="D12" i="82" s="1"/>
  <c r="K16" i="82" a="1"/>
  <c r="K16" i="82" s="1"/>
  <c r="F13" i="82" a="1"/>
  <c r="F13" i="82" s="1"/>
  <c r="K12" i="82" a="1"/>
  <c r="K12" i="82" s="1"/>
  <c r="G16" i="82" a="1"/>
  <c r="G16" i="82" s="1"/>
  <c r="I9" i="82" a="1"/>
  <c r="I9" i="82" s="1"/>
  <c r="J9" i="82" a="1"/>
  <c r="J9" i="82" s="1"/>
  <c r="K11" i="82" a="1"/>
  <c r="K11" i="82" s="1"/>
  <c r="E10" i="82" a="1"/>
  <c r="E10" i="82" s="1"/>
  <c r="V16" i="82" a="1"/>
  <c r="V16" i="82" s="1"/>
  <c r="E17" i="82" a="1"/>
  <c r="E17" i="82" s="1"/>
  <c r="C12" i="82" a="1"/>
  <c r="C12" i="82" s="1"/>
  <c r="G10" i="82" a="1"/>
  <c r="G10" i="82" s="1"/>
  <c r="K10" i="82" a="1"/>
  <c r="K10" i="82" s="1"/>
  <c r="K9" i="82" a="1"/>
  <c r="K9" i="82" s="1"/>
  <c r="E7" i="73"/>
  <c r="J10" i="82" a="1"/>
  <c r="J10" i="82" s="1"/>
  <c r="F11" i="82" a="1"/>
  <c r="F11" i="82" s="1"/>
  <c r="G8" i="82" a="1"/>
  <c r="G8" i="82" s="1"/>
  <c r="M15" i="73"/>
  <c r="F9" i="82" a="1"/>
  <c r="F9" i="82" s="1"/>
  <c r="C15" i="82" a="1"/>
  <c r="C15" i="82" s="1"/>
  <c r="J11" i="82" a="1"/>
  <c r="J11" i="82" s="1"/>
  <c r="U9" i="82" a="1"/>
  <c r="U9" i="82" s="1"/>
  <c r="L23" i="66"/>
  <c r="E9" i="82" a="1"/>
  <c r="E9" i="82" s="1"/>
  <c r="D15" i="82" a="1"/>
  <c r="D15" i="82" s="1"/>
  <c r="F10" i="82" a="1"/>
  <c r="F10" i="82" s="1"/>
  <c r="L101" i="66"/>
  <c r="L87" i="66"/>
  <c r="L91" i="66"/>
  <c r="J14" i="82" a="1"/>
  <c r="J14" i="82" s="1"/>
  <c r="H14" i="82" a="1"/>
  <c r="H14" i="82" s="1"/>
  <c r="E11" i="82" a="1"/>
  <c r="E11" i="82" s="1"/>
  <c r="E12" i="82" a="1"/>
  <c r="E12" i="82" s="1"/>
  <c r="I10" i="82" a="1"/>
  <c r="I10" i="82" s="1"/>
  <c r="K17" i="82" a="1"/>
  <c r="K17" i="82" s="1"/>
  <c r="K15" i="82" a="1"/>
  <c r="K15" i="82" s="1"/>
  <c r="D11" i="82" a="1"/>
  <c r="D11" i="82" s="1"/>
  <c r="L39" i="66"/>
  <c r="J15" i="82" a="1"/>
  <c r="J15" i="82" s="1"/>
  <c r="I17" i="82" a="1"/>
  <c r="I17" i="82" s="1"/>
  <c r="E13" i="82" a="1"/>
  <c r="E13" i="82" s="1"/>
  <c r="F14" i="82" a="1"/>
  <c r="F14" i="82" s="1"/>
  <c r="F15" i="82" a="1"/>
  <c r="F15" i="82" s="1"/>
  <c r="G13" i="82" a="1"/>
  <c r="G13" i="82" s="1"/>
  <c r="I15" i="82" a="1"/>
  <c r="I15" i="82" s="1"/>
  <c r="D10" i="82" a="1"/>
  <c r="D10" i="82" s="1"/>
  <c r="G11" i="82" a="1"/>
  <c r="G11" i="82" s="1"/>
  <c r="C17" i="82" a="1"/>
  <c r="C17" i="82" s="1"/>
  <c r="L117" i="66"/>
  <c r="L98" i="66"/>
  <c r="X16" i="82" a="1"/>
  <c r="X16" i="82" s="1"/>
  <c r="H16" i="82" a="1"/>
  <c r="H16" i="82" s="1"/>
  <c r="H12" i="82" a="1"/>
  <c r="H12" i="82" s="1"/>
  <c r="G14" i="82" a="1"/>
  <c r="G14" i="82" s="1"/>
  <c r="H9" i="82" a="1"/>
  <c r="H9" i="82" s="1"/>
  <c r="D17" i="82" a="1"/>
  <c r="D17" i="82" s="1"/>
  <c r="K14" i="82" a="1"/>
  <c r="K14" i="82" s="1"/>
  <c r="G17" i="82" a="1"/>
  <c r="G17" i="82" s="1"/>
  <c r="D16" i="82" a="1"/>
  <c r="D16" i="82" s="1"/>
  <c r="J16" i="82" a="1"/>
  <c r="J16" i="82" s="1"/>
  <c r="J12" i="82" a="1"/>
  <c r="J12" i="82" s="1"/>
  <c r="J17" i="82" a="1"/>
  <c r="J17" i="82" s="1"/>
  <c r="I16" i="82" a="1"/>
  <c r="I16" i="82" s="1"/>
  <c r="C11" i="82" a="1"/>
  <c r="C11" i="82" s="1"/>
  <c r="E16" i="82" a="1"/>
  <c r="E16" i="82" s="1"/>
  <c r="K13" i="82" a="1"/>
  <c r="K13" i="82" s="1"/>
  <c r="E14" i="82" a="1"/>
  <c r="E14" i="82" s="1"/>
  <c r="D13" i="82" a="1"/>
  <c r="D13" i="82" s="1"/>
  <c r="H17" i="82" a="1"/>
  <c r="H17" i="82" s="1"/>
  <c r="H13" i="82" a="1"/>
  <c r="H13" i="82" s="1"/>
  <c r="D14" i="82" a="1"/>
  <c r="D14" i="82" s="1"/>
  <c r="I14" i="82" a="1"/>
  <c r="I14" i="82" s="1"/>
  <c r="H15" i="82" a="1"/>
  <c r="H15" i="82" s="1"/>
  <c r="C13" i="82" a="1"/>
  <c r="C13" i="82" s="1"/>
  <c r="J13" i="82" a="1"/>
  <c r="J13" i="82" s="1"/>
  <c r="F17" i="82" a="1"/>
  <c r="F17" i="82" s="1"/>
  <c r="C14" i="82" a="1"/>
  <c r="C14" i="82" s="1"/>
  <c r="E15" i="82" a="1"/>
  <c r="E15" i="82" s="1"/>
  <c r="I12" i="82" a="1"/>
  <c r="I12" i="82" s="1"/>
  <c r="H10" i="82" a="1"/>
  <c r="H10" i="82" s="1"/>
  <c r="G15" i="82" a="1"/>
  <c r="G15" i="82" s="1"/>
  <c r="V12" i="82" a="1"/>
  <c r="V12" i="82" s="1"/>
  <c r="F16" i="82" a="1"/>
  <c r="F16" i="82" s="1"/>
  <c r="I13" i="82" a="1"/>
  <c r="I13" i="82" s="1"/>
  <c r="C16" i="82" a="1"/>
  <c r="C16" i="82" s="1"/>
  <c r="V10" i="82" a="1"/>
  <c r="V10" i="82" s="1"/>
  <c r="V15" i="82" a="1"/>
  <c r="V15" i="82" s="1"/>
  <c r="Y16" i="82" a="1"/>
  <c r="Y16" i="82" s="1"/>
  <c r="V13" i="82" a="1"/>
  <c r="V13" i="82" s="1"/>
  <c r="W16" i="82" a="1"/>
  <c r="W16" i="82" s="1"/>
  <c r="X8" i="82" a="1"/>
  <c r="X8" i="82" s="1"/>
  <c r="L6" i="66"/>
  <c r="U16" i="82" a="1"/>
  <c r="U16" i="82" s="1"/>
  <c r="X9" i="82" a="1"/>
  <c r="X9" i="82" s="1"/>
  <c r="W9" i="82" a="1"/>
  <c r="W9" i="82" s="1"/>
  <c r="W8" i="82" a="1"/>
  <c r="W8" i="82" s="1"/>
  <c r="Y9" i="82" a="1"/>
  <c r="Y9" i="82" s="1"/>
  <c r="U13" i="82" a="1"/>
  <c r="U13" i="82" s="1"/>
  <c r="U17" i="82" a="1"/>
  <c r="U17" i="82" s="1"/>
  <c r="U14" i="82" a="1"/>
  <c r="U14" i="82" s="1"/>
  <c r="U7" i="82" a="1"/>
  <c r="U7" i="82" s="1"/>
  <c r="U12" i="82" a="1"/>
  <c r="U12" i="82" s="1"/>
  <c r="U15" i="82" a="1"/>
  <c r="U15" i="82" s="1"/>
  <c r="U10" i="82" a="1"/>
  <c r="U10" i="82" s="1"/>
  <c r="U11" i="82" a="1"/>
  <c r="U11" i="82" s="1"/>
  <c r="V9" i="82" a="1"/>
  <c r="V9" i="82" s="1"/>
  <c r="V8" i="82" a="1"/>
  <c r="V8" i="82" s="1"/>
  <c r="X15" i="82" a="1"/>
  <c r="X15" i="82" s="1"/>
  <c r="X10" i="82" a="1"/>
  <c r="X10" i="82" s="1"/>
  <c r="X13" i="82" a="1"/>
  <c r="X13" i="82" s="1"/>
  <c r="X17" i="82" a="1"/>
  <c r="X17" i="82" s="1"/>
  <c r="X14" i="82" a="1"/>
  <c r="X14" i="82" s="1"/>
  <c r="X7" i="82" a="1"/>
  <c r="X7" i="82" s="1"/>
  <c r="X12" i="82" a="1"/>
  <c r="X12" i="82" s="1"/>
  <c r="X11" i="82" a="1"/>
  <c r="X11" i="82" s="1"/>
  <c r="R15" i="82" a="1"/>
  <c r="R15" i="82" s="1"/>
  <c r="L5" i="66"/>
  <c r="R12" i="82" a="1"/>
  <c r="R12" i="82" s="1"/>
  <c r="R7" i="82" a="1"/>
  <c r="R7" i="82" s="1"/>
  <c r="Q12" i="82" a="1"/>
  <c r="Q12" i="82" s="1"/>
  <c r="Q17" i="82" a="1"/>
  <c r="Q17" i="82" s="1"/>
  <c r="Q15" i="82" a="1"/>
  <c r="Q15" i="82" s="1"/>
  <c r="R9" i="82" a="1"/>
  <c r="R9" i="82" s="1"/>
  <c r="R16" i="82" a="1"/>
  <c r="R16" i="82" s="1"/>
  <c r="R17" i="82" a="1"/>
  <c r="R17" i="82" s="1"/>
  <c r="Q13" i="82" a="1"/>
  <c r="Q13" i="82" s="1"/>
  <c r="Q7" i="82" a="1"/>
  <c r="Q7" i="82" s="1"/>
  <c r="R13" i="82" a="1"/>
  <c r="R13" i="82" s="1"/>
  <c r="R11" i="82" a="1"/>
  <c r="R11" i="82" s="1"/>
  <c r="Q11" i="82" a="1"/>
  <c r="Q11" i="82" s="1"/>
  <c r="R8" i="82" a="1"/>
  <c r="R8" i="82" s="1"/>
  <c r="Q14" i="82" a="1"/>
  <c r="Q14" i="82" s="1"/>
  <c r="R10" i="82" a="1"/>
  <c r="R10" i="82" s="1"/>
  <c r="R14" i="82" a="1"/>
  <c r="R14" i="82" s="1"/>
  <c r="Q8" i="82" a="1"/>
  <c r="Q8" i="82" s="1"/>
  <c r="Q10" i="82" a="1"/>
  <c r="Q10" i="82" s="1"/>
  <c r="Q16" i="82" a="1"/>
  <c r="Q16" i="82" s="1"/>
  <c r="Q9" i="82" a="1"/>
  <c r="Q9" i="82" s="1"/>
  <c r="T15" i="82" a="1"/>
  <c r="T15" i="82" s="1"/>
  <c r="S11" i="82" a="1"/>
  <c r="S11" i="82" s="1"/>
  <c r="S13" i="82" a="1"/>
  <c r="S13" i="82" s="1"/>
  <c r="S15" i="82" a="1"/>
  <c r="S15" i="82" s="1"/>
  <c r="T17" i="82" a="1"/>
  <c r="T17" i="82" s="1"/>
  <c r="S12" i="82" a="1"/>
  <c r="S12" i="82" s="1"/>
  <c r="T7" i="82" a="1"/>
  <c r="T7" i="82" s="1"/>
  <c r="S10" i="82" a="1"/>
  <c r="S10" i="82" s="1"/>
  <c r="S9" i="82" a="1"/>
  <c r="S9" i="82" s="1"/>
  <c r="S17" i="82" a="1"/>
  <c r="S17" i="82" s="1"/>
  <c r="S16" i="82" a="1"/>
  <c r="S16" i="82" s="1"/>
  <c r="S14" i="82" a="1"/>
  <c r="S14" i="82" s="1"/>
  <c r="T13" i="82" a="1"/>
  <c r="T13" i="82" s="1"/>
  <c r="T16" i="82" a="1"/>
  <c r="T16" i="82" s="1"/>
  <c r="T10" i="82" a="1"/>
  <c r="T10" i="82" s="1"/>
  <c r="T11" i="82" a="1"/>
  <c r="T11" i="82" s="1"/>
  <c r="S7" i="82" a="1"/>
  <c r="S7" i="82" s="1"/>
  <c r="T12" i="82" a="1"/>
  <c r="T12" i="82" s="1"/>
  <c r="T9" i="82" a="1"/>
  <c r="T9" i="82" s="1"/>
  <c r="T8" i="82" a="1"/>
  <c r="T8" i="82" s="1"/>
  <c r="S8" i="82" a="1"/>
  <c r="S8" i="82" s="1"/>
  <c r="T14" i="82" a="1"/>
  <c r="T14" i="82" s="1"/>
  <c r="L14" i="73"/>
  <c r="L8" i="66"/>
  <c r="Y13" i="82" a="1"/>
  <c r="Y13" i="82" s="1"/>
  <c r="Y11" i="82" a="1"/>
  <c r="Y11" i="82" s="1"/>
  <c r="Y7" i="82" a="1"/>
  <c r="Y7" i="82" s="1"/>
  <c r="Y17" i="82" a="1"/>
  <c r="Y17" i="82" s="1"/>
  <c r="Y12" i="82" a="1"/>
  <c r="Y12" i="82" s="1"/>
  <c r="Y10" i="82" a="1"/>
  <c r="Y10" i="82" s="1"/>
  <c r="Y14" i="82" a="1"/>
  <c r="Y14" i="82" s="1"/>
  <c r="Y15" i="82" a="1"/>
  <c r="Y15" i="82" s="1"/>
  <c r="Y8" i="82" a="1"/>
  <c r="Y8" i="82" s="1"/>
  <c r="V14" i="82" a="1"/>
  <c r="V14" i="82" s="1"/>
  <c r="V17" i="82" a="1"/>
  <c r="V17" i="82" s="1"/>
  <c r="M14" i="73"/>
  <c r="J15" i="73"/>
  <c r="L15" i="73"/>
  <c r="W17" i="82" a="1"/>
  <c r="W17" i="82" s="1"/>
  <c r="W11" i="82" a="1"/>
  <c r="W11" i="82" s="1"/>
  <c r="W15" i="82" a="1"/>
  <c r="W15" i="82" s="1"/>
  <c r="W12" i="82" a="1"/>
  <c r="W12" i="82" s="1"/>
  <c r="W14" i="82" a="1"/>
  <c r="W14" i="82" s="1"/>
  <c r="W13" i="82" a="1"/>
  <c r="W13" i="82" s="1"/>
  <c r="W10" i="82" a="1"/>
  <c r="W10" i="82" s="1"/>
  <c r="W7" i="82" a="1"/>
  <c r="W7" i="82" s="1"/>
  <c r="V11" i="82" a="1"/>
  <c r="V11" i="82" s="1"/>
  <c r="L13" i="73" l="1"/>
  <c r="L10" i="73"/>
  <c r="M9" i="73"/>
  <c r="L7" i="73"/>
  <c r="L11" i="73"/>
  <c r="M5" i="73"/>
  <c r="M13" i="73"/>
  <c r="L9" i="73"/>
  <c r="M6" i="73"/>
  <c r="J10" i="73"/>
  <c r="J6" i="73"/>
  <c r="J14" i="73"/>
  <c r="J11" i="73"/>
  <c r="M7" i="73"/>
  <c r="M11" i="73"/>
  <c r="M8" i="73"/>
  <c r="J8" i="73"/>
  <c r="M12" i="73"/>
  <c r="J5" i="73"/>
  <c r="D7" i="41" s="1"/>
  <c r="C13" i="38" s="1"/>
  <c r="L12" i="73"/>
  <c r="L8" i="73"/>
  <c r="D29" i="82"/>
  <c r="C28" i="82"/>
  <c r="I28" i="82"/>
  <c r="D34" i="82"/>
  <c r="H34" i="82"/>
  <c r="J28" i="82"/>
  <c r="K28" i="82"/>
  <c r="I25" i="82"/>
  <c r="D24" i="82"/>
  <c r="G25" i="82"/>
  <c r="K25" i="82"/>
  <c r="J9" i="73"/>
  <c r="F24" i="82"/>
  <c r="L7" i="82"/>
  <c r="C26" i="82"/>
  <c r="J13" i="73"/>
  <c r="I34" i="82"/>
  <c r="E28" i="82"/>
  <c r="F28" i="82"/>
  <c r="H28" i="82"/>
  <c r="I24" i="82"/>
  <c r="G28" i="82"/>
  <c r="H24" i="82"/>
  <c r="M10" i="73"/>
  <c r="H25" i="82"/>
  <c r="J7" i="73"/>
  <c r="L8" i="82"/>
  <c r="C25" i="82"/>
  <c r="J24" i="82"/>
  <c r="E32" i="82"/>
  <c r="J34" i="82"/>
  <c r="L12" i="82"/>
  <c r="J12" i="73"/>
  <c r="E25" i="82"/>
  <c r="D25" i="82"/>
  <c r="F25" i="82"/>
  <c r="C24" i="82"/>
  <c r="E24" i="82"/>
  <c r="C34" i="82"/>
  <c r="J25" i="82"/>
  <c r="F34" i="82"/>
  <c r="L17" i="82"/>
  <c r="K24" i="82"/>
  <c r="G24" i="82"/>
  <c r="E34" i="82"/>
  <c r="L11" i="82"/>
  <c r="F29" i="82"/>
  <c r="G29" i="82"/>
  <c r="I18" i="82"/>
  <c r="J33" i="82"/>
  <c r="G18" i="82"/>
  <c r="K32" i="82"/>
  <c r="I27" i="82"/>
  <c r="H26" i="82"/>
  <c r="I29" i="82"/>
  <c r="K29" i="82"/>
  <c r="H29" i="82"/>
  <c r="E18" i="82"/>
  <c r="F32" i="82"/>
  <c r="K34" i="82"/>
  <c r="F26" i="82"/>
  <c r="J29" i="82"/>
  <c r="C29" i="82"/>
  <c r="G34" i="82"/>
  <c r="D28" i="82"/>
  <c r="E29" i="82"/>
  <c r="J30" i="82"/>
  <c r="D26" i="82"/>
  <c r="G33" i="82"/>
  <c r="L14" i="82"/>
  <c r="L9" i="82"/>
  <c r="K27" i="82"/>
  <c r="G32" i="82"/>
  <c r="J32" i="82"/>
  <c r="H18" i="82"/>
  <c r="F33" i="82"/>
  <c r="H33" i="82"/>
  <c r="C33" i="82"/>
  <c r="K30" i="82"/>
  <c r="H27" i="82"/>
  <c r="E33" i="82"/>
  <c r="I33" i="82"/>
  <c r="I32" i="82"/>
  <c r="G26" i="82"/>
  <c r="L16" i="82"/>
  <c r="L15" i="82"/>
  <c r="J31" i="82"/>
  <c r="D33" i="82"/>
  <c r="J18" i="82"/>
  <c r="C32" i="82"/>
  <c r="F27" i="82"/>
  <c r="D30" i="82"/>
  <c r="K18" i="82"/>
  <c r="D31" i="82"/>
  <c r="K31" i="82"/>
  <c r="G27" i="82"/>
  <c r="K33" i="82"/>
  <c r="K26" i="82"/>
  <c r="D18" i="82"/>
  <c r="H32" i="82"/>
  <c r="C27" i="82"/>
  <c r="J26" i="82"/>
  <c r="D27" i="82"/>
  <c r="E27" i="82"/>
  <c r="L10" i="82"/>
  <c r="I26" i="82"/>
  <c r="E26" i="82"/>
  <c r="D32" i="82"/>
  <c r="J27" i="82"/>
  <c r="C31" i="82"/>
  <c r="F18" i="82"/>
  <c r="F30" i="82"/>
  <c r="F31" i="82"/>
  <c r="I30" i="82"/>
  <c r="H30" i="82"/>
  <c r="H31" i="82"/>
  <c r="C18" i="82"/>
  <c r="G31" i="82"/>
  <c r="L13" i="82"/>
  <c r="G30" i="82"/>
  <c r="C30" i="82"/>
  <c r="I31" i="82"/>
  <c r="E31" i="82"/>
  <c r="E30" i="82"/>
  <c r="V18" i="82"/>
  <c r="W18" i="82"/>
  <c r="Z13" i="82"/>
  <c r="Y18" i="82"/>
  <c r="T18" i="82"/>
  <c r="Z8" i="82"/>
  <c r="Z14" i="82"/>
  <c r="Q18" i="82"/>
  <c r="Z7" i="82"/>
  <c r="S18" i="82"/>
  <c r="Z15" i="82"/>
  <c r="X18" i="82"/>
  <c r="D17" i="41"/>
  <c r="E17" i="41"/>
  <c r="Z9" i="82"/>
  <c r="Z16" i="82"/>
  <c r="Z10" i="82"/>
  <c r="Z17" i="82"/>
  <c r="Z12" i="82"/>
  <c r="R18" i="82"/>
  <c r="U18" i="82"/>
  <c r="Z11" i="82"/>
  <c r="C23" i="38" l="1"/>
  <c r="C20" i="43" s="1"/>
  <c r="E8" i="41"/>
  <c r="D8" i="41"/>
  <c r="C17" i="106"/>
  <c r="D17" i="106" s="1"/>
  <c r="E16" i="41"/>
  <c r="D16" i="41"/>
  <c r="E12" i="41"/>
  <c r="D12" i="41"/>
  <c r="B7" i="91"/>
  <c r="E13" i="41"/>
  <c r="D13" i="41"/>
  <c r="E11" i="41"/>
  <c r="D10" i="41"/>
  <c r="E9" i="41"/>
  <c r="D14" i="41"/>
  <c r="D15" i="41"/>
  <c r="D11" i="41"/>
  <c r="E7" i="41"/>
  <c r="F7" i="41" s="1"/>
  <c r="D9" i="41"/>
  <c r="L16" i="73"/>
  <c r="E10" i="41"/>
  <c r="M16" i="73"/>
  <c r="E15" i="41"/>
  <c r="L33" i="82"/>
  <c r="L29" i="82"/>
  <c r="L34" i="82"/>
  <c r="L28" i="82"/>
  <c r="L24" i="82"/>
  <c r="J16" i="73"/>
  <c r="L25" i="82"/>
  <c r="E14" i="41"/>
  <c r="E35" i="82"/>
  <c r="L30" i="82"/>
  <c r="L31" i="82"/>
  <c r="L32" i="82"/>
  <c r="L26" i="82"/>
  <c r="L27" i="82"/>
  <c r="D35" i="82"/>
  <c r="G35" i="82"/>
  <c r="I35" i="82"/>
  <c r="K35" i="82"/>
  <c r="C35" i="82"/>
  <c r="H35" i="82"/>
  <c r="F35" i="82"/>
  <c r="L18" i="82"/>
  <c r="J35" i="82"/>
  <c r="F17" i="41"/>
  <c r="E23" i="38"/>
  <c r="Z18" i="82"/>
  <c r="C15" i="38" l="1"/>
  <c r="C12" i="43" s="1"/>
  <c r="C17" i="38"/>
  <c r="C14" i="43" s="1"/>
  <c r="C21" i="38"/>
  <c r="C18" i="43" s="1"/>
  <c r="C20" i="38"/>
  <c r="C17" i="43" s="1"/>
  <c r="C16" i="38"/>
  <c r="C13" i="43" s="1"/>
  <c r="C19" i="38"/>
  <c r="C16" i="43" s="1"/>
  <c r="C18" i="38"/>
  <c r="C15" i="43" s="1"/>
  <c r="C22" i="38"/>
  <c r="C19" i="43" s="1"/>
  <c r="C14" i="38"/>
  <c r="C8" i="106"/>
  <c r="F8" i="41"/>
  <c r="E14" i="38"/>
  <c r="B7" i="90"/>
  <c r="B9" i="90" s="1"/>
  <c r="B7" i="109"/>
  <c r="B11" i="109" s="1"/>
  <c r="H20" i="38" s="1"/>
  <c r="B7" i="107"/>
  <c r="B9" i="107" s="1"/>
  <c r="E20" i="38"/>
  <c r="C14" i="106"/>
  <c r="F10" i="41"/>
  <c r="C10" i="106"/>
  <c r="C9" i="106"/>
  <c r="D9" i="106" s="1"/>
  <c r="C13" i="106"/>
  <c r="B7" i="92"/>
  <c r="B9" i="92" s="1"/>
  <c r="C15" i="106"/>
  <c r="E13" i="38"/>
  <c r="C7" i="106"/>
  <c r="F11" i="41"/>
  <c r="C11" i="106"/>
  <c r="D11" i="106" s="1"/>
  <c r="E18" i="38"/>
  <c r="C12" i="106"/>
  <c r="D12" i="106" s="1"/>
  <c r="C16" i="106"/>
  <c r="B7" i="94"/>
  <c r="B11" i="94" s="1"/>
  <c r="H22" i="38" s="1"/>
  <c r="F16" i="41"/>
  <c r="E22" i="38"/>
  <c r="I12" i="41"/>
  <c r="F18" i="38" s="1"/>
  <c r="I18" i="38" s="1"/>
  <c r="D15" i="43" s="1"/>
  <c r="F12" i="41"/>
  <c r="B9" i="91"/>
  <c r="B11" i="91"/>
  <c r="H23" i="38" s="1"/>
  <c r="F13" i="41"/>
  <c r="E19" i="38"/>
  <c r="B7" i="89"/>
  <c r="B11" i="89" s="1"/>
  <c r="H19" i="38" s="1"/>
  <c r="I19" i="38" s="1"/>
  <c r="D16" i="43" s="1"/>
  <c r="E17" i="38"/>
  <c r="E15" i="38"/>
  <c r="I11" i="41"/>
  <c r="F17" i="38" s="1"/>
  <c r="I17" i="38" s="1"/>
  <c r="D14" i="43" s="1"/>
  <c r="I9" i="41"/>
  <c r="F15" i="38" s="1"/>
  <c r="I15" i="38" s="1"/>
  <c r="D12" i="43" s="1"/>
  <c r="F9" i="41"/>
  <c r="D18" i="41"/>
  <c r="I7" i="41"/>
  <c r="F13" i="38" s="1"/>
  <c r="B7" i="88"/>
  <c r="B9" i="88" s="1"/>
  <c r="E16" i="38"/>
  <c r="E21" i="38"/>
  <c r="I14" i="41"/>
  <c r="F20" i="38" s="1"/>
  <c r="F14" i="41"/>
  <c r="F15" i="41"/>
  <c r="E18" i="41"/>
  <c r="L35" i="82"/>
  <c r="F91" i="86"/>
  <c r="P17" i="82"/>
  <c r="AA17" i="82" s="1"/>
  <c r="C10" i="43"/>
  <c r="AR19" i="43" l="1"/>
  <c r="C11" i="43"/>
  <c r="C21" i="43" s="1"/>
  <c r="C24" i="38"/>
  <c r="F75" i="86"/>
  <c r="P8" i="82"/>
  <c r="AA8" i="82" s="1"/>
  <c r="B11" i="90"/>
  <c r="H14" i="38" s="1"/>
  <c r="I14" i="38" s="1"/>
  <c r="D8" i="106"/>
  <c r="P29" i="82"/>
  <c r="R29" i="82" s="1"/>
  <c r="J12" i="43"/>
  <c r="P28" i="82"/>
  <c r="U28" i="82" s="1"/>
  <c r="B9" i="109"/>
  <c r="I20" i="38"/>
  <c r="D17" i="43" s="1"/>
  <c r="B11" i="107"/>
  <c r="H13" i="38" s="1"/>
  <c r="I13" i="38" s="1"/>
  <c r="D10" i="43" s="1"/>
  <c r="J10" i="43" s="1"/>
  <c r="D14" i="106"/>
  <c r="I23" i="38"/>
  <c r="D20" i="43" s="1"/>
  <c r="P14" i="82"/>
  <c r="AA14" i="82" s="1"/>
  <c r="F51" i="86"/>
  <c r="F43" i="86"/>
  <c r="P7" i="82"/>
  <c r="AA7" i="82" s="1"/>
  <c r="F35" i="86"/>
  <c r="P10" i="82"/>
  <c r="AA10" i="82" s="1"/>
  <c r="P9" i="82"/>
  <c r="AA9" i="82" s="1"/>
  <c r="F59" i="86"/>
  <c r="P16" i="82"/>
  <c r="AA16" i="82" s="1"/>
  <c r="D15" i="106"/>
  <c r="D13" i="106"/>
  <c r="D10" i="106"/>
  <c r="D16" i="106"/>
  <c r="F67" i="86"/>
  <c r="P12" i="82"/>
  <c r="AA12" i="82" s="1"/>
  <c r="B11" i="92"/>
  <c r="H21" i="38" s="1"/>
  <c r="I21" i="38" s="1"/>
  <c r="D18" i="43" s="1"/>
  <c r="F11" i="86"/>
  <c r="I22" i="38"/>
  <c r="D19" i="43" s="1"/>
  <c r="D7" i="106"/>
  <c r="C18" i="106"/>
  <c r="B9" i="94"/>
  <c r="F83" i="86"/>
  <c r="J15" i="43"/>
  <c r="B9" i="89"/>
  <c r="P13" i="82"/>
  <c r="AA13" i="82" s="1"/>
  <c r="P11" i="82"/>
  <c r="AA11" i="82" s="1"/>
  <c r="F19" i="86"/>
  <c r="P26" i="82"/>
  <c r="P43" i="82" s="1"/>
  <c r="J14" i="43"/>
  <c r="E24" i="38"/>
  <c r="P18" i="82" s="1"/>
  <c r="F27" i="86"/>
  <c r="I18" i="41"/>
  <c r="B11" i="88"/>
  <c r="H16" i="38" s="1"/>
  <c r="I16" i="38" s="1"/>
  <c r="D13" i="43" s="1"/>
  <c r="P15" i="82"/>
  <c r="AA15" i="82" s="1"/>
  <c r="F24" i="38"/>
  <c r="P30" i="82"/>
  <c r="J16" i="43"/>
  <c r="P25" i="82" l="1"/>
  <c r="Q25" i="82" s="1"/>
  <c r="D11" i="43"/>
  <c r="D21" i="43" s="1"/>
  <c r="Y29" i="82"/>
  <c r="T29" i="82"/>
  <c r="S29" i="82"/>
  <c r="X29" i="82"/>
  <c r="V29" i="82"/>
  <c r="P46" i="82"/>
  <c r="V46" i="82" s="1"/>
  <c r="J52" i="86" s="1"/>
  <c r="V28" i="82"/>
  <c r="W28" i="82"/>
  <c r="Q29" i="82"/>
  <c r="U29" i="82"/>
  <c r="W29" i="82"/>
  <c r="Q28" i="82"/>
  <c r="R28" i="82"/>
  <c r="P45" i="82"/>
  <c r="W45" i="82" s="1"/>
  <c r="K44" i="86" s="1"/>
  <c r="Y28" i="82"/>
  <c r="S28" i="82"/>
  <c r="P31" i="82"/>
  <c r="W31" i="82" s="1"/>
  <c r="T28" i="82"/>
  <c r="P27" i="82"/>
  <c r="Q27" i="82" s="1"/>
  <c r="X28" i="82"/>
  <c r="P32" i="82"/>
  <c r="T32" i="82" s="1"/>
  <c r="P34" i="82"/>
  <c r="V34" i="82" s="1"/>
  <c r="G12" i="43"/>
  <c r="G15" i="43"/>
  <c r="G14" i="43"/>
  <c r="P33" i="82"/>
  <c r="Y33" i="82" s="1"/>
  <c r="S26" i="82"/>
  <c r="V26" i="82"/>
  <c r="W26" i="82"/>
  <c r="X26" i="82"/>
  <c r="T26" i="82"/>
  <c r="Q26" i="82"/>
  <c r="R26" i="82"/>
  <c r="Y26" i="82"/>
  <c r="U26" i="82"/>
  <c r="J13" i="43"/>
  <c r="H24" i="38"/>
  <c r="P47" i="82"/>
  <c r="S30" i="82"/>
  <c r="V30" i="82"/>
  <c r="U30" i="82"/>
  <c r="Q30" i="82"/>
  <c r="T30" i="82"/>
  <c r="Y30" i="82"/>
  <c r="X30" i="82"/>
  <c r="R30" i="82"/>
  <c r="W30" i="82"/>
  <c r="I24" i="38"/>
  <c r="P35" i="82" s="1"/>
  <c r="P24" i="82"/>
  <c r="W43" i="82"/>
  <c r="K12" i="86" s="1"/>
  <c r="U43" i="82"/>
  <c r="I12" i="86" s="1"/>
  <c r="X43" i="82"/>
  <c r="L12" i="86" s="1"/>
  <c r="R43" i="82"/>
  <c r="G13" i="86" s="1"/>
  <c r="V43" i="82"/>
  <c r="J12" i="86" s="1"/>
  <c r="Q43" i="82"/>
  <c r="G14" i="86" s="1"/>
  <c r="S43" i="82"/>
  <c r="H14" i="86" s="1"/>
  <c r="Y43" i="82"/>
  <c r="M12" i="86" s="1"/>
  <c r="T43" i="82"/>
  <c r="H13" i="86" s="1"/>
  <c r="G16" i="43"/>
  <c r="X25" i="82" l="1"/>
  <c r="R25" i="82"/>
  <c r="W25" i="82"/>
  <c r="U25" i="82"/>
  <c r="S25" i="82"/>
  <c r="V25" i="82"/>
  <c r="T25" i="82"/>
  <c r="P42" i="82"/>
  <c r="Y42" i="82" s="1"/>
  <c r="M68" i="86" s="1"/>
  <c r="Y25" i="82"/>
  <c r="J11" i="43"/>
  <c r="G18" i="43"/>
  <c r="J18" i="43"/>
  <c r="G20" i="43"/>
  <c r="J20" i="43"/>
  <c r="G17" i="43"/>
  <c r="J17" i="43"/>
  <c r="G19" i="43"/>
  <c r="J19" i="43"/>
  <c r="G10" i="43"/>
  <c r="G11" i="43"/>
  <c r="U46" i="82"/>
  <c r="I52" i="86" s="1"/>
  <c r="T46" i="82"/>
  <c r="H53" i="86" s="1"/>
  <c r="W46" i="82"/>
  <c r="K52" i="86" s="1"/>
  <c r="Q46" i="82"/>
  <c r="G54" i="86" s="1"/>
  <c r="Y46" i="82"/>
  <c r="M52" i="86" s="1"/>
  <c r="R46" i="82"/>
  <c r="G53" i="86" s="1"/>
  <c r="X46" i="82"/>
  <c r="L52" i="86" s="1"/>
  <c r="S46" i="82"/>
  <c r="H54" i="86" s="1"/>
  <c r="Z29" i="82"/>
  <c r="S27" i="82"/>
  <c r="Q45" i="82"/>
  <c r="G46" i="86" s="1"/>
  <c r="R45" i="82"/>
  <c r="G45" i="86" s="1"/>
  <c r="T27" i="82"/>
  <c r="W27" i="82"/>
  <c r="P44" i="82"/>
  <c r="Q44" i="82" s="1"/>
  <c r="G22" i="86" s="1"/>
  <c r="R27" i="82"/>
  <c r="Y27" i="82"/>
  <c r="X27" i="82"/>
  <c r="U27" i="82"/>
  <c r="R34" i="82"/>
  <c r="S45" i="82"/>
  <c r="H46" i="86" s="1"/>
  <c r="U45" i="82"/>
  <c r="I44" i="86" s="1"/>
  <c r="Y45" i="82"/>
  <c r="M44" i="86" s="1"/>
  <c r="T45" i="82"/>
  <c r="H45" i="86" s="1"/>
  <c r="V45" i="82"/>
  <c r="J44" i="86" s="1"/>
  <c r="X45" i="82"/>
  <c r="L44" i="86" s="1"/>
  <c r="S32" i="82"/>
  <c r="W32" i="82"/>
  <c r="U32" i="82"/>
  <c r="Q32" i="82"/>
  <c r="Y32" i="82"/>
  <c r="W34" i="82"/>
  <c r="S31" i="82"/>
  <c r="Y34" i="82"/>
  <c r="Y31" i="82"/>
  <c r="R31" i="82"/>
  <c r="T34" i="82"/>
  <c r="Q34" i="82"/>
  <c r="X34" i="82"/>
  <c r="P51" i="82"/>
  <c r="X51" i="82" s="1"/>
  <c r="L84" i="86" s="1"/>
  <c r="T31" i="82"/>
  <c r="Z28" i="82"/>
  <c r="S34" i="82"/>
  <c r="P49" i="82"/>
  <c r="R49" i="82" s="1"/>
  <c r="G29" i="86" s="1"/>
  <c r="U34" i="82"/>
  <c r="R32" i="82"/>
  <c r="X31" i="82"/>
  <c r="V32" i="82"/>
  <c r="V27" i="82"/>
  <c r="U31" i="82"/>
  <c r="V31" i="82"/>
  <c r="P48" i="82"/>
  <c r="W48" i="82" s="1"/>
  <c r="K60" i="86" s="1"/>
  <c r="X32" i="82"/>
  <c r="Q31" i="82"/>
  <c r="R33" i="82"/>
  <c r="W33" i="82"/>
  <c r="X33" i="82"/>
  <c r="P50" i="82"/>
  <c r="V50" i="82" s="1"/>
  <c r="J76" i="86" s="1"/>
  <c r="T33" i="82"/>
  <c r="U33" i="82"/>
  <c r="Q33" i="82"/>
  <c r="V33" i="82"/>
  <c r="S33" i="82"/>
  <c r="Z26" i="82"/>
  <c r="G13" i="43"/>
  <c r="Z30" i="82"/>
  <c r="Z43" i="82"/>
  <c r="P41" i="82"/>
  <c r="S24" i="82"/>
  <c r="T24" i="82"/>
  <c r="U24" i="82"/>
  <c r="X24" i="82"/>
  <c r="R24" i="82"/>
  <c r="W24" i="82"/>
  <c r="Q24" i="82"/>
  <c r="V24" i="82"/>
  <c r="Y24" i="82"/>
  <c r="P52" i="82"/>
  <c r="X35" i="82"/>
  <c r="V35" i="82"/>
  <c r="S35" i="82"/>
  <c r="W35" i="82"/>
  <c r="U35" i="82"/>
  <c r="Q35" i="82"/>
  <c r="T35" i="82"/>
  <c r="R35" i="82"/>
  <c r="Y35" i="82"/>
  <c r="V47" i="82"/>
  <c r="J36" i="86" s="1"/>
  <c r="X47" i="82"/>
  <c r="L36" i="86" s="1"/>
  <c r="R47" i="82"/>
  <c r="G37" i="86" s="1"/>
  <c r="U47" i="82"/>
  <c r="I36" i="86" s="1"/>
  <c r="Y47" i="82"/>
  <c r="M36" i="86" s="1"/>
  <c r="T47" i="82"/>
  <c r="H37" i="86" s="1"/>
  <c r="Q47" i="82"/>
  <c r="G38" i="86" s="1"/>
  <c r="W47" i="82"/>
  <c r="K36" i="86" s="1"/>
  <c r="S47" i="82"/>
  <c r="H38" i="86" s="1"/>
  <c r="W42" i="82" l="1"/>
  <c r="K68" i="86" s="1"/>
  <c r="T42" i="82"/>
  <c r="H69" i="86" s="1"/>
  <c r="V42" i="82"/>
  <c r="J68" i="86" s="1"/>
  <c r="Q42" i="82"/>
  <c r="G70" i="86" s="1"/>
  <c r="U42" i="82"/>
  <c r="I68" i="86" s="1"/>
  <c r="X42" i="82"/>
  <c r="L68" i="86" s="1"/>
  <c r="R42" i="82"/>
  <c r="G69" i="86" s="1"/>
  <c r="S42" i="82"/>
  <c r="H70" i="86" s="1"/>
  <c r="Z25" i="82"/>
  <c r="W44" i="82"/>
  <c r="K20" i="86" s="1"/>
  <c r="U44" i="82"/>
  <c r="I20" i="86" s="1"/>
  <c r="Y44" i="82"/>
  <c r="M20" i="86" s="1"/>
  <c r="V44" i="82"/>
  <c r="J20" i="86" s="1"/>
  <c r="R44" i="82"/>
  <c r="G21" i="86" s="1"/>
  <c r="T44" i="82"/>
  <c r="H21" i="86" s="1"/>
  <c r="Z46" i="82"/>
  <c r="S44" i="82"/>
  <c r="H22" i="86" s="1"/>
  <c r="X44" i="82"/>
  <c r="L20" i="86" s="1"/>
  <c r="U49" i="82"/>
  <c r="I28" i="86" s="1"/>
  <c r="S49" i="82"/>
  <c r="H30" i="86" s="1"/>
  <c r="V49" i="82"/>
  <c r="J28" i="86" s="1"/>
  <c r="W49" i="82"/>
  <c r="K28" i="86" s="1"/>
  <c r="Q49" i="82"/>
  <c r="G30" i="86" s="1"/>
  <c r="Z27" i="82"/>
  <c r="Z45" i="82"/>
  <c r="Y49" i="82"/>
  <c r="M28" i="86" s="1"/>
  <c r="X49" i="82"/>
  <c r="L28" i="86" s="1"/>
  <c r="T49" i="82"/>
  <c r="H29" i="86" s="1"/>
  <c r="R51" i="82"/>
  <c r="G85" i="86" s="1"/>
  <c r="Z31" i="82"/>
  <c r="U51" i="82"/>
  <c r="I84" i="86" s="1"/>
  <c r="Q51" i="82"/>
  <c r="G86" i="86" s="1"/>
  <c r="V51" i="82"/>
  <c r="J84" i="86" s="1"/>
  <c r="W51" i="82"/>
  <c r="K84" i="86" s="1"/>
  <c r="S51" i="82"/>
  <c r="H86" i="86" s="1"/>
  <c r="Y51" i="82"/>
  <c r="M84" i="86" s="1"/>
  <c r="T51" i="82"/>
  <c r="H85" i="86" s="1"/>
  <c r="U48" i="82"/>
  <c r="I60" i="86" s="1"/>
  <c r="Y48" i="82"/>
  <c r="M60" i="86" s="1"/>
  <c r="V48" i="82"/>
  <c r="J60" i="86" s="1"/>
  <c r="Z34" i="82"/>
  <c r="Z32" i="82"/>
  <c r="X48" i="82"/>
  <c r="L60" i="86" s="1"/>
  <c r="R48" i="82"/>
  <c r="G61" i="86" s="1"/>
  <c r="S48" i="82"/>
  <c r="H62" i="86" s="1"/>
  <c r="Q48" i="82"/>
  <c r="G62" i="86" s="1"/>
  <c r="T48" i="82"/>
  <c r="H61" i="86" s="1"/>
  <c r="W50" i="82"/>
  <c r="K76" i="86" s="1"/>
  <c r="Z33" i="82"/>
  <c r="Y50" i="82"/>
  <c r="M76" i="86" s="1"/>
  <c r="X50" i="82"/>
  <c r="L76" i="86" s="1"/>
  <c r="Q50" i="82"/>
  <c r="G78" i="86" s="1"/>
  <c r="S50" i="82"/>
  <c r="H78" i="86" s="1"/>
  <c r="U50" i="82"/>
  <c r="I76" i="86" s="1"/>
  <c r="T50" i="82"/>
  <c r="H77" i="86" s="1"/>
  <c r="R50" i="82"/>
  <c r="G77" i="86" s="1"/>
  <c r="Z35" i="82"/>
  <c r="Z24" i="82"/>
  <c r="V41" i="82"/>
  <c r="J4" i="86" s="1"/>
  <c r="U41" i="82"/>
  <c r="I4" i="86" s="1"/>
  <c r="Y41" i="82"/>
  <c r="M4" i="86" s="1"/>
  <c r="T41" i="82"/>
  <c r="H5" i="86" s="1"/>
  <c r="S41" i="82"/>
  <c r="H6" i="86" s="1"/>
  <c r="R41" i="82"/>
  <c r="G5" i="86" s="1"/>
  <c r="X41" i="82"/>
  <c r="L4" i="86" s="1"/>
  <c r="W41" i="82"/>
  <c r="K4" i="86" s="1"/>
  <c r="Q41" i="82"/>
  <c r="G6" i="86" s="1"/>
  <c r="V52" i="82"/>
  <c r="S52" i="82"/>
  <c r="W52" i="82"/>
  <c r="Q52" i="82"/>
  <c r="T52" i="82"/>
  <c r="U52" i="82"/>
  <c r="R52" i="82"/>
  <c r="X52" i="82"/>
  <c r="Y52" i="82"/>
  <c r="Z47" i="82"/>
  <c r="Z42" i="82" l="1"/>
  <c r="Z44" i="82"/>
  <c r="Z49" i="82"/>
  <c r="Z51" i="82"/>
  <c r="Z48" i="82"/>
  <c r="Z50" i="82"/>
  <c r="Z52" i="82"/>
  <c r="Z41" i="8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<sst xmlns="http://schemas.openxmlformats.org/spreadsheetml/2006/main" count="8625" uniqueCount="480">
  <si>
    <t>MCERTS monitoring at emergency sewage pumping station overflows</t>
  </si>
  <si>
    <t>Model code:</t>
  </si>
  <si>
    <t>PR24CA28</t>
  </si>
  <si>
    <t>Version number:</t>
  </si>
  <si>
    <t>File name:</t>
  </si>
  <si>
    <t>Date:</t>
  </si>
  <si>
    <t>For enquiries please contact:</t>
  </si>
  <si>
    <t>PR24@ofwat.gov.uk</t>
  </si>
  <si>
    <t>Contents:</t>
  </si>
  <si>
    <t>Tab name</t>
  </si>
  <si>
    <t>Description</t>
  </si>
  <si>
    <t>Cover</t>
  </si>
  <si>
    <t>Details of the file and the enhancement assessment approach.</t>
  </si>
  <si>
    <t xml:space="preserve">Conceptual model </t>
  </si>
  <si>
    <t xml:space="preserve"> Flow diagram of the high-level enhancement assessment process and data flow in model. </t>
  </si>
  <si>
    <t xml:space="preserve"> Inputs &gt; &gt; </t>
  </si>
  <si>
    <t xml:space="preserve"> Blank - section header </t>
  </si>
  <si>
    <t xml:space="preserve"> F_Inputs </t>
  </si>
  <si>
    <t xml:space="preserve"> Submitted company business plan data import from central database.</t>
  </si>
  <si>
    <t>F_Inputs adjusted</t>
  </si>
  <si>
    <t xml:space="preserve">Re-organising of input data to take account of transitional / accelerated process expenditure and drivers, and including any reallocations between enhancement lines. </t>
  </si>
  <si>
    <t xml:space="preserve"> Consolidated Input </t>
  </si>
  <si>
    <t xml:space="preserve"> Combined input data taking account of any other contributing data, where applicable (eg historical APR data).</t>
  </si>
  <si>
    <t xml:space="preserve">F_Input Override </t>
  </si>
  <si>
    <t xml:space="preserve"> Manual adjustments to requested data where not corrected in business plan data table resubmissions </t>
  </si>
  <si>
    <t xml:space="preserve"> Final Input </t>
  </si>
  <si>
    <t xml:space="preserve"> Final data used for the enhancement assessment.</t>
  </si>
  <si>
    <t>PR24_NETTOTEX_Waste</t>
  </si>
  <si>
    <t xml:space="preserve"> Wastewater price control net Totex data import from central database used for materiality assessment. </t>
  </si>
  <si>
    <t xml:space="preserve"> Company level efficiencies </t>
  </si>
  <si>
    <t xml:space="preserve"> Wastewater price control company-level efficiency challenges  </t>
  </si>
  <si>
    <t xml:space="preserve">Data_Final_Model_Format </t>
  </si>
  <si>
    <t xml:space="preserve"> Summary of the expenditure and associated drivers used during the assessment </t>
  </si>
  <si>
    <t xml:space="preserve">Post Adj &amp; FS Allowances </t>
  </si>
  <si>
    <t xml:space="preserve">Summary of imported, post-adjusted allowances per company per enhancement line per year. </t>
  </si>
  <si>
    <t xml:space="preserve"> Analysis &gt; &gt; </t>
  </si>
  <si>
    <t xml:space="preserve"> QueryResponse_SchemeBreakdown </t>
  </si>
  <si>
    <t>Supplementary data from companies via the PR24 query process to support the assessment</t>
  </si>
  <si>
    <t xml:space="preserve"> Materiality and shallow dive </t>
  </si>
  <si>
    <t xml:space="preserve"> Initial assessment of the materiality of requested expenditure to inform the decision on the overall approach and shallow dive assessment. </t>
  </si>
  <si>
    <t xml:space="preserve"> Modelled costs_FD</t>
  </si>
  <si>
    <t xml:space="preserve"> Analysis undertaken using a modelled assessment approach. </t>
  </si>
  <si>
    <t xml:space="preserve"> Deep dive_[company acronym] </t>
  </si>
  <si>
    <t xml:space="preserve"> Detailed assessment per company of the requested expenditure where costs are material and / or a modelled approach is not appropriate. </t>
  </si>
  <si>
    <t xml:space="preserve"> Outputs &gt; &gt; </t>
  </si>
  <si>
    <t xml:space="preserve"> Allowance </t>
  </si>
  <si>
    <t xml:space="preserve"> Summary of our assessed allowances per company before other adjustments (eg frontier shift).</t>
  </si>
  <si>
    <t>Outputs to aggregator</t>
  </si>
  <si>
    <t>Summary of submitted and assessed costs profiled over the 2023-30 period (including transitional and accelerated process expenditure).</t>
  </si>
  <si>
    <t xml:space="preserve">F_Outputs </t>
  </si>
  <si>
    <t xml:space="preserve"> Allowance data export to central database.</t>
  </si>
  <si>
    <t>PCD</t>
  </si>
  <si>
    <t>Price control deliverable assessment and calculation of PCD rate(s).</t>
  </si>
  <si>
    <t>DROPDOWN LISTS</t>
  </si>
  <si>
    <t>Data validation lists used throughout the file</t>
  </si>
  <si>
    <t>No.</t>
  </si>
  <si>
    <t xml:space="preserve">Date </t>
  </si>
  <si>
    <t>Sheet / Tab</t>
  </si>
  <si>
    <t>Cell reference (if relevant)</t>
  </si>
  <si>
    <t>Comment</t>
  </si>
  <si>
    <t>010 and R10
AN10 and AQ10</t>
  </si>
  <si>
    <t>50% reduction applied to the nr of schemes to be delivered to align with the Defra steer &amp; to align with the 50% reduction in costs applied in the deep dive.
Calculated PCD rate changes because of the 50% reduction in nr of schemes.</t>
  </si>
  <si>
    <t>O20, Q20 and R20</t>
  </si>
  <si>
    <t xml:space="preserve">Revised number of schemes to be delivered to align with Defra steer and WINEP.
Calculated PCD rates change as a result. </t>
  </si>
  <si>
    <t>End of sheet</t>
  </si>
  <si>
    <t>WW_MCERTS</t>
  </si>
  <si>
    <t>Run on 05 Sep 2024 9:10</t>
  </si>
  <si>
    <t>Acronym</t>
  </si>
  <si>
    <t>Reference</t>
  </si>
  <si>
    <t>Item description</t>
  </si>
  <si>
    <t>Unit</t>
  </si>
  <si>
    <t>Model</t>
  </si>
  <si>
    <t>2023-24</t>
  </si>
  <si>
    <t>2024-25</t>
  </si>
  <si>
    <t>2025-26</t>
  </si>
  <si>
    <t>2026-27</t>
  </si>
  <si>
    <t>2027-28</t>
  </si>
  <si>
    <t>2028-29</t>
  </si>
  <si>
    <t>2029-30</t>
  </si>
  <si>
    <t>Price Review 2024</t>
  </si>
  <si>
    <t>Run 11 - PR24 FD Data</t>
  </si>
  <si>
    <t>Latest</t>
  </si>
  <si>
    <t>ANH</t>
  </si>
  <si>
    <t>CWW3_010TOT_PR24</t>
  </si>
  <si>
    <t>EA/NRW environmental programme wastewater (WINEP/NEP) - MCERTs monitoring at emergency sewage pumping station overflows (WINEP/NEP) wastewater capex - Total</t>
  </si>
  <si>
    <t>£m</t>
  </si>
  <si>
    <t>CWW3_011TOT_PR24</t>
  </si>
  <si>
    <t>EA/NRW environmental programme wastewater (WINEP/NEP) - MCERTs monitoring at emergency sewage pumping station overflows (WINEP/NEP) wastewater opex - Total</t>
  </si>
  <si>
    <t>CWW3_012TOT_PR24</t>
  </si>
  <si>
    <t>EA/NRW environmental programme wastewater (WINEP/NEP) - MCERTs monitoring at emergency sewage pumping station overflows (WINEP/NEP) wastewater totex - Total</t>
  </si>
  <si>
    <t>CWW12_010TOT_PR24</t>
  </si>
  <si>
    <t/>
  </si>
  <si>
    <t>CWW12_011TOT_PR24</t>
  </si>
  <si>
    <t>CWW12_012TOT_PR24</t>
  </si>
  <si>
    <t>CWW17_010TOT_PR24</t>
  </si>
  <si>
    <t>CWW17_011TOT_PR24</t>
  </si>
  <si>
    <t>CWW17_012TOT_PR24</t>
  </si>
  <si>
    <t>CWW20_050_PR24</t>
  </si>
  <si>
    <t>Network / Storm overflow data - Number of new MCERTs event duration monitors installed at SPS emergency overflows</t>
  </si>
  <si>
    <t>nr</t>
  </si>
  <si>
    <t>CWW20_051_PR24</t>
  </si>
  <si>
    <t>Network / Storm overflow data - Number of new MCERTs flow monitors (PFF) installed at SPSs with combined emergency and storm overflows.</t>
  </si>
  <si>
    <t>CWW20A_050_PR24</t>
  </si>
  <si>
    <t>CWW20A_051_PR24</t>
  </si>
  <si>
    <t>CWW1A_015TOT_PR24</t>
  </si>
  <si>
    <t>Net totex - Total</t>
  </si>
  <si>
    <t>WSH</t>
  </si>
  <si>
    <t>HDD</t>
  </si>
  <si>
    <t>NES</t>
  </si>
  <si>
    <t>SVE</t>
  </si>
  <si>
    <t>SWB</t>
  </si>
  <si>
    <t>SRN</t>
  </si>
  <si>
    <t>TMS</t>
  </si>
  <si>
    <t>NWT</t>
  </si>
  <si>
    <t>WSX</t>
  </si>
  <si>
    <t>YKY</t>
  </si>
  <si>
    <t>WW_MCERTS_Run8</t>
  </si>
  <si>
    <t>BON code</t>
  </si>
  <si>
    <t>Item Description</t>
  </si>
  <si>
    <t>Item Unit</t>
  </si>
  <si>
    <t>Company Acronym</t>
  </si>
  <si>
    <t>Item Code</t>
  </si>
  <si>
    <t>Totalling £33.573m as per company's response OFW-REP-NES-024 to align with Defra's latest steer on 50% delivery</t>
  </si>
  <si>
    <t>Totalling £5.509m as per company's response OFW-REP-NES-024 to align with Defra's latest steer on 50% delivery</t>
  </si>
  <si>
    <t>Totalling £92.733m as per company's response OFW-REP-SRN-029 to align with Defra's latest steer on 50% delivery - including 17 high complexity sites</t>
  </si>
  <si>
    <t>Totalling £0.114m as per company's response OFW-REP-SRN-029 to align with Defra's latest steer on 50% delivery - including 17 high complexity sites</t>
  </si>
  <si>
    <t>Totalling £66.461m as per company's response OFW-REP-UUW-022 to align with Defra's latest steer on 50% delivery - assuming same profile as the one submitted in representation data table</t>
  </si>
  <si>
    <t>Totalling £3.47m as per company's response OFW-REP-UUW-022 to align with Defra's latest steer on 50% delivery - assuming equal profile across the 5-years</t>
  </si>
  <si>
    <t>Totalling £19.533m as per company's response OFW-REP-WSX-020 to align with Defra's latest steer on 50% delivery - assuming same profile as the one submitted in representation data table</t>
  </si>
  <si>
    <t>Totalling £0.442m as per company's response OFW-REP-WSX-020 to align with Defra's latest steer on 50% delivery - assuming same profile as the one submitted in representation data table</t>
  </si>
  <si>
    <t>Totalling £37.89m as per company's response OFW-REP-YKY-022 to align with Defra's latest steer on 50% delivery - assuming same profile as the one submitted in representation data table</t>
  </si>
  <si>
    <t>Totalling £0.37m as per company's response OFW-REP-YKY-022 to align with Defra's latest steer on 50% delivery - assuming same profile as the one submitted in representation data table</t>
  </si>
  <si>
    <t>PR24 total</t>
  </si>
  <si>
    <t>PR24_NETTOTEX_WASTE_Run8</t>
  </si>
  <si>
    <t>Run on 05 Sep 2024 8:57</t>
  </si>
  <si>
    <t>Constant</t>
  </si>
  <si>
    <t>PR24_NETTOTEX_WASTE</t>
  </si>
  <si>
    <t>PR24 BP Net totex - Total inc. accelerated &amp; transition costs</t>
  </si>
  <si>
    <t>Shallow Dive Output</t>
  </si>
  <si>
    <t>Run on 13 Nov 2024 14:29</t>
  </si>
  <si>
    <t>Item Table Suite</t>
  </si>
  <si>
    <t>Price Review</t>
  </si>
  <si>
    <t>C_PR24ENHWW_SHALLOW_EFF</t>
  </si>
  <si>
    <t>Shallow dive company efficiency factor - enhancement - wastewater</t>
  </si>
  <si>
    <t>%</t>
  </si>
  <si>
    <t>The number of drivers in these columns are as submitted by the companies in their representation data tables. These do not reflect the new steer from Defra on 50% delivery for all of the companies and thus are not being used in the model. Instead, we use breakdown numbers in the QueryResponse_SchemeBreakdown tab in the model</t>
  </si>
  <si>
    <t>Driver 1 data</t>
  </si>
  <si>
    <t>Driver 2 data</t>
  </si>
  <si>
    <t>Company</t>
  </si>
  <si>
    <t>Total Totex for Price control (£m) - wholesale wastewater</t>
  </si>
  <si>
    <t>Totex requested in business plan after reallocations and adjustments (£m)</t>
  </si>
  <si>
    <t>Report ID: 25753</t>
  </si>
  <si>
    <t>PR24CA14 WW Post FS incl. DM and excl. Cont</t>
  </si>
  <si>
    <t>Run on 21 Nov 2024 13:37</t>
  </si>
  <si>
    <t>Total</t>
  </si>
  <si>
    <t>PR24CA14_WW_TOTAL_ENHANCEMENT_ALLOW_TOT</t>
  </si>
  <si>
    <t>PR24 final wastewater enhancement totex allowance- total enhancement expenditure</t>
  </si>
  <si>
    <t>PR24CA14_WW_EDM_ALLOW_TOT</t>
  </si>
  <si>
    <t>PR24 final wastewater enhancement totex allowances - WINEP/NEP - Event duration monitoring at intermittent discharges expenditure</t>
  </si>
  <si>
    <t>PR24CA14_WW_FLOW_MONITORING_ALLOW_TOT</t>
  </si>
  <si>
    <t>PR24 final wastewater enhancement totex allowances - WINEP/NEP - Flow monitoring at sewage treatment works expenditure</t>
  </si>
  <si>
    <t>PR24CA14_WW_CWQM_ALLOW_TOT</t>
  </si>
  <si>
    <t>PR24 final wastewater enhancement totex allowances - WINEP/NEP - Continuous river water quality monitoring expenditure</t>
  </si>
  <si>
    <t>PR24CA14_WW_MCERTS_ALLOW_TOT</t>
  </si>
  <si>
    <t>PR24 final wastewater enhancement totex allowances - WINEP/NEP - MCERTs monitoring at emergency sewage pumping station overflows expenditure</t>
  </si>
  <si>
    <t>PR24CA14_WW_FFT_ALLOW_TOT</t>
  </si>
  <si>
    <t>PR24 final wastewater enhancement totex allowances - WINEP/NEP - Increase flow to full treatment expenditure</t>
  </si>
  <si>
    <t>PR24CA14_WW_CSO_ALLOW_TOT</t>
  </si>
  <si>
    <t>PR24 final wastewater enhancement totex allowances - WINEP/NEP - combined storm overflow expenditure</t>
  </si>
  <si>
    <t>PR24CA14_WW_CHEMICAL_REMOVAL_ALLOW_TOT</t>
  </si>
  <si>
    <t>PR24 final wastewater enhancement totex allowances - WINEP/NEP - Treatment for chemical removal expenditure</t>
  </si>
  <si>
    <t>PR24CA14_WW_CHEMICAL_INV_ALLOW_TOT</t>
  </si>
  <si>
    <t>PR24 final wastewater enhancement totex allowances - WINEP/NEP - Chemicals and emerging contaminants monitoring, investigations, options appraisals expenditure</t>
  </si>
  <si>
    <t>PR24CA14_WW_N_REMOVAL_ALLOW_TOT</t>
  </si>
  <si>
    <t>PR24 final wastewater enhancement totex allowances - WINEP/NEP - Treatment for total nitrogen removal expenditure</t>
  </si>
  <si>
    <t>PR24CA14_WW_NTAL_ALLOW_TOT</t>
  </si>
  <si>
    <t>PR24 final wastewater enhancement totex allowances - WINEP/NEP - Nitrogen technically achievable limit monitoring, investigation or options appraisal expenditure</t>
  </si>
  <si>
    <t>PR24CA14_WW_P_REMOVAL_ALLOW_TOT</t>
  </si>
  <si>
    <t>PR24 final wastewater enhancement totex allowances - WINEP/NEP - Treatment for phosphorus removal expenditure</t>
  </si>
  <si>
    <t>PR24CA14_WW_NUT_SAN_DETS_ALLOW_TOT</t>
  </si>
  <si>
    <t>PR24 final wastewater enhancement totex allowances - WINEP/NEP - Treatment for nutrients (N or P) and / or sanitary determinands, nature based solution expenditure</t>
  </si>
  <si>
    <t>PR24CA14_WW_SANITARY_PARAM_ALLOW_TOT</t>
  </si>
  <si>
    <t>PR24 final wastewater enhancement totex allowances - WINEP/NEP - Treatment for tightening of sanitary parameters expenditure</t>
  </si>
  <si>
    <t>PR24CA14_WW_CHEM_SOURCE_CON_ALLOW_TOT</t>
  </si>
  <si>
    <t>PR24 final wastewater enhancement totex allowances - WINEP/NEP - Catchment management - chemicals source control expenditure</t>
  </si>
  <si>
    <t>PR24CA14_WW_NUT_BALANCING_ALLOW_TOT</t>
  </si>
  <si>
    <t>PR24 final wastewater enhancement totex allowances - WINEP/NEP - Catchment management - nutrient balancing expenditure</t>
  </si>
  <si>
    <t>PR24CA14_WW_CATCHMENT_PERMIT_ALLOW_TOT</t>
  </si>
  <si>
    <t>PR24 final wastewater enhancement totex allowances - WINEP/NEP - Catchment management - catchment permitting expenditure</t>
  </si>
  <si>
    <t>PR24CA14_WW_HABITAT_REST_ALLOW_TOT</t>
  </si>
  <si>
    <t>PR24 final wastewater enhancement totex allowances - WINEP/NEP - Catchment management - habitat restoration expenditure</t>
  </si>
  <si>
    <t>PR24CA14_WW_MICRO_TREATMENT_ALLOW_TOT</t>
  </si>
  <si>
    <t>PR24 final wastewater enhancement totex allowances - WINEP/NEP - Microbiological treatment - bathing waters, coastal and inland expenditure</t>
  </si>
  <si>
    <t>PR24CA14_WW_SEPTIC_TANK_ALLOW_TOT</t>
  </si>
  <si>
    <t>PR24 final wastewater enhancement totex allowances - WINEP/NEP - Septic tank expenditure</t>
  </si>
  <si>
    <t>PR24CA14_WW_FISH_SCREENS_ALLOW_TOT</t>
  </si>
  <si>
    <t>PR24 final wastewater enhancement totex allowances - WINEP/NEP - Fish outfall screens expenditure</t>
  </si>
  <si>
    <t>PR24CA14_WW_25YR_EP_ALLOW_TOT</t>
  </si>
  <si>
    <t>PR24 final wastewater enhancement totex allowances - WINEP/NEP - 25 year environment plan expenditure</t>
  </si>
  <si>
    <t>PR24CA14_WW_INVESTIGATIONS_ALLOW_TOT</t>
  </si>
  <si>
    <t>PR24 final wastewater enhancement totex allowances - WINEP/NEP - Investigations expenditure</t>
  </si>
  <si>
    <t>PR24CA14_WW_THIRD_PARTY_ALLOW_TOT</t>
  </si>
  <si>
    <t>PR24 final wastewater enhancement totex allowances - WINEP/NEP - Contribution to third party schemes under WINEP/NEP only (not covered elsewhere) expenditure</t>
  </si>
  <si>
    <t>PR24CA14_WW_RIVER_CONNECT_ALLOW_TOT</t>
  </si>
  <si>
    <t>PR24 final wastewater enhancement totex allowances - WINEP/NEP - River connectivity (e.g. for fish passage) expenditure</t>
  </si>
  <si>
    <t>PR24CA14_WW_REST_MANAGEMENT_ALLOW_TOT</t>
  </si>
  <si>
    <t>PR24 final wastewater enhancement totex allowances - WINEP/NEP - Restoration management (marine conservation zones etc) expenditure</t>
  </si>
  <si>
    <t>PR24CA14_WW_ACCESS_AMENITY_ALLOW_TOT</t>
  </si>
  <si>
    <t>PR24 final wastewater enhancement totex allowances - WINEP/NEP - Access and amenity for WINEP/NEP only (not covered elsewhere) expenditure</t>
  </si>
  <si>
    <t>PR24CA14_WW_ADVANCED_WINEP_ALLOW_TOT</t>
  </si>
  <si>
    <t>PR24 final wastewater enhancement totex allowances - WINEP/NEP - Advanced WINEP (not covered elsewhere) expenditure</t>
  </si>
  <si>
    <t>PR24CA14_WW_SLUDGE_TANK_ALLOW_TOT</t>
  </si>
  <si>
    <t>PR24 final wastewater enhancement totex allowances - WINEP/NEP - Sludge storage -Tanks expenditure</t>
  </si>
  <si>
    <t>PR24CA14_WW_SLUDGE_CAKE_ALLOW_TOT</t>
  </si>
  <si>
    <t>PR24 final wastewater enhancement totex allowances - WINEP/NEP - Sludge storage - Cake expenditure</t>
  </si>
  <si>
    <t>PR24CA14_WW_SLUDGE_ANAEROBIC_ALLOW_TOT</t>
  </si>
  <si>
    <t>PR24 final wastewater enhancement totex allowances - WINEP/NEP - Sludge treatment - Anaerobic digestion and/or advanced anaerobic digestion expenditure</t>
  </si>
  <si>
    <t>PR24CA14_WW_SLUDGE_THICKENING_ALLOW_TOT</t>
  </si>
  <si>
    <t>PR24 final wastewater enhancement totex allowances - WINEP/NEP - Sludge treatment - Thickening and/or dewatering expenditure</t>
  </si>
  <si>
    <t>PR24CA14_WW_SLUDGE_OTHER_ALLOW_TOT</t>
  </si>
  <si>
    <t>PR24 final wastewater enhancement totex allowances - WINEP/NEP - Sludge treatment -Other expenditure</t>
  </si>
  <si>
    <t>PR24CA14_WW_SLUDGE_INV_ALLOW_TOT</t>
  </si>
  <si>
    <t>PR24 final wastewater enhancement totex allowances - WINEP/NEP - Sludge investigations and monitoring (NEP only) expenditure</t>
  </si>
  <si>
    <t>PR24CA14_WW_GROWTH_STW_ALLOW_TOT</t>
  </si>
  <si>
    <t>PR24 final wastewater enhancement totex allowances - Growth at sewage treatment works (excluding sludge treatment) expenditure</t>
  </si>
  <si>
    <t>PR24CA14_WW_FIRSTTIME_SEWERAGE_ALLOW_TOT</t>
  </si>
  <si>
    <t>PR24 final wastewater enhancement totex allowances - First time sewerage expenditure</t>
  </si>
  <si>
    <t>PR24CA14_WW_ODOUR_NUISANCE_ALLOW_TOT</t>
  </si>
  <si>
    <t>PR24 final wastewater enhancement totex allowances - Odour and other nuisance expenditure</t>
  </si>
  <si>
    <t>PR24CA14_WW_RESILIENCE_ALLOW_TOT</t>
  </si>
  <si>
    <t>PR24 final wastewater enhancement totex allowances - Resilience expenditure</t>
  </si>
  <si>
    <t>PR24CA14_WW_SEMD_ALLOW_TOT</t>
  </si>
  <si>
    <t>PR24 final wastewater enhancement totex allowances - Security - SEMD expenditure</t>
  </si>
  <si>
    <t>PR24CA14_WW_CYBER_ALLOW_TOT</t>
  </si>
  <si>
    <t>PR24 final wastewater enhancement totex allowances - Security - cyber expenditure</t>
  </si>
  <si>
    <t>PR24CA14_WW_NET_ZERO_ALLOW_TOT</t>
  </si>
  <si>
    <t>PR24 final wastewater enhancement totex allowances - Greenhouse gas reduction (net zero) expenditure</t>
  </si>
  <si>
    <t>PR24CA14_WW_FREEFORM_ALLOW_TOT</t>
  </si>
  <si>
    <t>PR24 final wastewater enhancement totex allowances - Freeform lines expenditure</t>
  </si>
  <si>
    <t>PR24CA14_WW_IED_ALLOW_TOT</t>
  </si>
  <si>
    <t>PR24 final wastewater enhancement totex allowances - Industrial Emissions Directive (IED) expenditure</t>
  </si>
  <si>
    <t>AFW</t>
  </si>
  <si>
    <t>BRL</t>
  </si>
  <si>
    <t>PRT</t>
  </si>
  <si>
    <t>SEW</t>
  </si>
  <si>
    <t>SSC</t>
  </si>
  <si>
    <t>SES</t>
  </si>
  <si>
    <t>Final Determination query responses</t>
  </si>
  <si>
    <t>Draft Determination query responses</t>
  </si>
  <si>
    <t>Category</t>
  </si>
  <si>
    <t>CAPEX £m</t>
  </si>
  <si>
    <t>OPEX £m</t>
  </si>
  <si>
    <t>TOTEX £m</t>
  </si>
  <si>
    <t>Number of monitors EDM</t>
  </si>
  <si>
    <t>Number of monitors PFF</t>
  </si>
  <si>
    <t xml:space="preserve">Total number of schemes </t>
  </si>
  <si>
    <t>Number of schemes</t>
  </si>
  <si>
    <t>MCERTS EDM only</t>
  </si>
  <si>
    <t>as per OFW-REP-ANH-028</t>
  </si>
  <si>
    <t>MCERTS EDM and civils</t>
  </si>
  <si>
    <t>MCERTS EDM and pass forward flow monitor</t>
  </si>
  <si>
    <t>MCERTS EDM and pass forward flow monitor and civils</t>
  </si>
  <si>
    <t>Permit change only</t>
  </si>
  <si>
    <t>CWW3.10-12, CWW20.50-51</t>
  </si>
  <si>
    <t xml:space="preserve">as per DD query </t>
  </si>
  <si>
    <t>as per OFW-REP-NES-024</t>
  </si>
  <si>
    <t xml:space="preserve">as per OFW-REP-SVE-023 </t>
  </si>
  <si>
    <t>as per OFW-REP-SBB-024</t>
  </si>
  <si>
    <t>revised version OFW-REP-SBB-024b submitted in response to PCD query on 11/03/2025</t>
  </si>
  <si>
    <t>as per  OFW-REP-SRN-029</t>
  </si>
  <si>
    <t>including 17 high complexity sites</t>
  </si>
  <si>
    <t xml:space="preserve">No data received </t>
  </si>
  <si>
    <t>as per OFW-REP-TMS-045</t>
  </si>
  <si>
    <t>as per OFW-REP-UUW-022</t>
  </si>
  <si>
    <t>as per OFW-REP-WSX-020</t>
  </si>
  <si>
    <t>as per OFW-REP-YKY-022</t>
  </si>
  <si>
    <t>Total Totex for Price control (£m)</t>
  </si>
  <si>
    <t>Totex requested in business plan - as submitted as per latest Defra steer (£m)</t>
  </si>
  <si>
    <t>Materiality (%)</t>
  </si>
  <si>
    <t>Type of assessment</t>
  </si>
  <si>
    <t xml:space="preserve">Efficiency factor  </t>
  </si>
  <si>
    <t>Shallow dive output</t>
  </si>
  <si>
    <t>Justification (including assessment of modelled unit costs)</t>
  </si>
  <si>
    <t>Deep dive</t>
  </si>
  <si>
    <t xml:space="preserve">Material (&gt;0.5% of WW totex &amp; &gt;£10m). Slightly above indicative unit cost benchmark for event duration monitors sub-category and level of investment not aligned with the August 2024 regulatory steer on delivery from Defra. </t>
  </si>
  <si>
    <t>Material (&gt;0.5% of WW totex &amp; &gt;£10m) and above indicative unit cost benchmark for 1 sub-category - deep dive</t>
  </si>
  <si>
    <t>Shallow dive</t>
  </si>
  <si>
    <t>Below £10m materiality threshold and below indicative unit cost benchmark - shallow dive</t>
  </si>
  <si>
    <t>Material (&gt;0.5% of WW totex &amp; &gt;£10m) and above indicative unit cost benchmarks for 2 sub-categories - deep dive</t>
  </si>
  <si>
    <t>Below 0.5% materiality threshold and below indicative unit cost benchmark - shallow dive</t>
  </si>
  <si>
    <t>Material (&gt;0.5% of WW totex &amp; &gt;£10m) and above indicative unit cost benchmark for event duration monitors and pass forward flow monitors and civils sub-category - deep dive</t>
  </si>
  <si>
    <t>Material (&lt;0.5% of WW totex &amp; &gt;£10m) and above indicative unit cost benchmark for two sub-categories - deep dive</t>
  </si>
  <si>
    <t>Material (&gt;0.5% of WW totex &amp; &gt;£10m)  and above indicative cost benchmark for two sub-categories - deep dive</t>
  </si>
  <si>
    <t>Material (&gt;0.5% of WW totex &amp; &gt;£10m) and above indicative unit cost benchmark - deep dive.</t>
  </si>
  <si>
    <t>Disaggregated costs based on subsequent query responses from companies - to inform shallow dive / deep dive only</t>
  </si>
  <si>
    <t>Based on original BP submission</t>
  </si>
  <si>
    <t>materiality (%)</t>
  </si>
  <si>
    <t>Totex £m</t>
  </si>
  <si>
    <t>Unit cost - EDM</t>
  </si>
  <si>
    <t xml:space="preserve">Unit cost - EDM </t>
  </si>
  <si>
    <t>Unit cost</t>
  </si>
  <si>
    <t>Total number of schemes</t>
  </si>
  <si>
    <t>Modelled allowance</t>
  </si>
  <si>
    <t>Comments</t>
  </si>
  <si>
    <t>Scheme/Programme name</t>
  </si>
  <si>
    <t>Wastewater WINEP MCERTs</t>
  </si>
  <si>
    <t>Scheme/Programme overview</t>
  </si>
  <si>
    <t>MCERTs monitoring at emergency sewage pumping station overflows</t>
  </si>
  <si>
    <t>PR24 table line allocation</t>
  </si>
  <si>
    <t>Total requested in business plan (totex, £m)</t>
  </si>
  <si>
    <t>Scheme/Programme value assessed in deep dive (totex, £m)</t>
  </si>
  <si>
    <t>Overall adjustment</t>
  </si>
  <si>
    <t>Totex allowance from deep dive</t>
  </si>
  <si>
    <t>Enhancement assessment criteria grouping</t>
  </si>
  <si>
    <t>Assessment comments</t>
  </si>
  <si>
    <t>Criteria decision</t>
  </si>
  <si>
    <t>% adjustment</t>
  </si>
  <si>
    <t xml:space="preserve">Reference </t>
  </si>
  <si>
    <t>Need for enhancement investment</t>
  </si>
  <si>
    <t>Partial pass - In the draft determination we allowed the full costs of the proposal through shallow dive assessment as they were found efficient. In its representation, the company does not change its proposal. However, in its response to our query, the company clarifies that it is not intending to phase its investments into 2030-2035 but instead deliver 100% of the schemes during 2025-2030. 
On 21 August 2024 Defra wrote to the companies setting out a change to its expectation for phasing of the delivery of this work over 2025-2035. Defra now expects the pace of delivery to be increased to 50% of the schemes being delivered in 2025-2030, with the remainder being delivered in 2030-35. As the company has not applied this phasing steer, it is inconsistent with the strategic planning framework (WINEP). The company also does not provide sufficient and convincing evidence the investment meets our scale and timing Need criteria as it does not demonstrate that the timing of delivering all of schemes in 2025-2030 is fully justified.
While we support the installation of monitors at emergency sewage pumping station overflows, the Environment Agency confirmed that it did not agreed to Anglian Water delivering 100% of schemes, therefore we apply a 50% adjustment to scope and cost to reflect the Defra 50% delivery steer which the company had not applied.</t>
  </si>
  <si>
    <t>Partial pass</t>
  </si>
  <si>
    <t>Best option for customers</t>
  </si>
  <si>
    <t>Pass - In the draft determination we allowed the full costs of the proposal through shallow dive assessment as they were found efficient. In its representation, the company does not change its proposal. Therefore, for the final determination, we do not apply an adjustment.</t>
  </si>
  <si>
    <t>Pass</t>
  </si>
  <si>
    <t xml:space="preserve">Cost efficiency </t>
  </si>
  <si>
    <t>Pass - In the draft determination we allowed the full costs of the proposal through shallow dive assessment as they were found efficient.  In its representation the company increases the proposed investment (the “revised” investment). The company provides sufficient and convincing evidence to demonstrate that the revised investment is efficient. Therefore, for the final determination, we do not apply an adjustment. 
In its representation the company provides sufficient and convincing evidence for the increase in cost, putting forward the change in the Environment Agency permit fees that affects its proposals. We have reviewed the revised investment in our updated cost assessment. The revised investment remains efficient compared to the indicative industry benchmark for event duration monitors and for the more complex event duration monitors and pass forward flow monitors and civils categories. 
Therefore for the final determination, we do not apply an adjustment.</t>
  </si>
  <si>
    <t>Customer Protection</t>
  </si>
  <si>
    <t>For the final determination, the company's proposed investment meets the materiality threshold for a price control deliverable (PCD). The company does not propose a PCD. However, to provide customer protection we consider a PCD is required. Therefore, for the final determination we apply a PCD. We discuss the PCD and our consideration of any consultation responses received in the Price Control Deliverables Appendix.</t>
  </si>
  <si>
    <t>n/a</t>
  </si>
  <si>
    <t>End of published version</t>
  </si>
  <si>
    <t>Draft determination version</t>
  </si>
  <si>
    <t>In the draft determination the proposed investment met the criteria for enhancement investment and additional customer funding. The company in its representation retains its proposed investment, but it provides no additional supporting evidence. Therefore, we retain our draft determination approach for the final determination.</t>
  </si>
  <si>
    <t>Pass: The investment meets the criteria for enhancement investment and additional customer funding for monitoring certification schemes (MCERTs) at emergency overflows. 
The proposed investment is consistent with the number of actions within the company’s Water Industry National Environmental Programme (WINEP) and National Environment Programme (NEP) schemes.  
The delivery profile aligns with strategic steer imposed by EA with respect to phasing beyond 2025-30 for the company’s obligations in England, whereas it is currently required to deliver all schemes in Wales by 31.03.30. However, if Natural Resources Wales amends its NEP by imposing a phasing of these schemes into the next price review, we expect the company to confirm final numbers of schemes and costs.</t>
  </si>
  <si>
    <t xml:space="preserve">PR24_NEP_DCWW_ V7 29.09.2023.xlsx 
Information Letter EA_19_2023 WINEP guidance release and U_MON6 phasing.pdf </t>
  </si>
  <si>
    <t>In the draft determination we did not apply an adjustment because the company provided sufficient and convincing evidence to demonstrate that the proposed investment was the best option for customers. In its representation the company retains its proposed investment  but it provides no additional  supporting evidence. Therefore, we retain our draft determination approach for the final determination.</t>
  </si>
  <si>
    <t xml:space="preserve">Pass: An appropriate number of options and range of intervention types have been considered for this investment area.
The company explains its high-level approach to identifying and optimising investment options and determining best value solutions, which it says is applied across its PR24 plan and is subject to internal and external challenge. 
We could not find evidence that demonstrates best value specifically for this investment line, however there are often few alternative options where the solution is prescribed within the NEP.  The company provides a breakdown of the investment subcategories for this enhancement line and explained that because the NEP driver does not require the installation of a pass forward flow monitor to differentiate between a storm overflow and an emergency overflow, it has allocated 98% of its scheme to the least complex EDM-only category.   We consider that sufficient evidence when considering the regulatory requirements imposed on individual sites and that the company appears not to have put forward more complex solutions than necessary.  </t>
  </si>
  <si>
    <t xml:space="preserve">OFW-OBQ-WSH-050 
WSH71-PE10_-_Enhancing_the_Environment_through_WINEP_and_NEP_Investigations_and_Programmes.pdf 
WSH50-IP00_-_Our_Approach_to_Investment_Planning.pdf </t>
  </si>
  <si>
    <t>In the draft determination we had some concerns that the proposed investment was efficient and applied an adjustment. In its representation the company retains its proposed investment  but it provides no additional  supporting evidence. Therefore, we retain our draft determination approach for the final determination.
In the draft determination we had concerns that the company did not outline the specific costing breakdowns for MCERTs schemes and did not provide evidence of internal and external assurance that the estimates were robust, efficient and deliverable. Our draft determination cost assessment analysis showed that the company was an outlier in two of the four subcategories for this driver and it did not provide sufficient and convincing evidence to justify these higher costs. 
For final determination, we have updated our indicative cost benchmark which shows that the proposed investment appears inefficient for the event duration monitoring category and that in the round, the proposed investment is 38% more expensive than the industry benchmarks. 
Therefore, we retain our draft determination approach for the final determination and maintain the 20% adjustment from the draft determination.</t>
  </si>
  <si>
    <t>Some concerns</t>
  </si>
  <si>
    <t>WSH-DD-501-PR24-draft-determinations-representation-proforma-DCWWresponse FINAL.xlsx</t>
  </si>
  <si>
    <t xml:space="preserve">Some concerns: We have some concerns whether the investment is efficient. The company does not provide sufficient and convincing evidence that the proposed costs are efficient. 
The company provides a high-level explanation of its enhancement investment costing approach, incorporating a top-down approach using unit cost models and historical as-built data. It explains how its Unit Cost Database is the main estimation tool for this investment area.  However, the company does not outline the specific costing breakdowns for these MCERTs schemes. The company states that internal and external assurance has been completed to provide confidence that the estimates are robust, efficient and deliverable, but we could not find further evidence of this. 
The company references that cost estimations have been assured against industry benchmarking. However, our cost assessment analysis shows that the company is an outlier in two of the four subcategories for this driver and it has not provided sufficient and convincing evidence to justify these higher costs. </t>
  </si>
  <si>
    <t xml:space="preserve">WSH18-Costs Wholesale wastewater CWW1-CWW22.pdf 
WSH50-IP00 Our Approach to Investment Planning (Section 6) (pg 40 &amp; 48) </t>
  </si>
  <si>
    <t>For the final determination, the company's proposed investment does not meet the materiality threshold for a price control deliverable (PCD). The company does not propose a PCD. Having considered the size of the proposed investment and our guidance on when there should be a PCD, our decision is that a PCD is not required for this investment. Therefore, for the final determination we do not apply a PCD.</t>
  </si>
  <si>
    <t>Some concerns: We have some concerns whether the company's proposal fully protects customers from non-or under delivery. 
The company does not appear to propose a PCD for the proposed enhancement investment.
We could not locate a PCD that covered this investment proposal, or an over-arching PCD for the NEP programme. Instead, Welsh Water relies on permit compliance and the oversight from NRW and the EA through the NEP and WINEP reporting and tracking. 
We do not consider that sufficient customer projection is provided. However, the expenditure in this area is not material and so we do not consider a PCD is required. For more information on PCD decisions see the PR24 draft determinations: Expenditure allowances - Price control deliverable appendix.</t>
  </si>
  <si>
    <t xml:space="preserve">OFW-OBQ-WSH-050 
OFW-PR24 - WSH71-PE10 </t>
  </si>
  <si>
    <t>Total requested in business plan (tote, £m)</t>
  </si>
  <si>
    <t>Scheme/Programme value assessed in deep dive (tote, £m)</t>
  </si>
  <si>
    <t>In the draft determination the proposed investment partially met the criteria for enhancement investment and additional customer funding. The company had not made an adjustment for the Defra steer to deliver only 25% of schemes in 2025-2030. We therefore applied a 75% adjustment on Need and made no further challenge. 
In its representation the company agreed with our draft determination approach to apply a 75% challenge to its full programme. However, Defra made a late amendment to its steer and asked companies to deliver 50% of the MCERTs programme by 2030. We are satisfied that the company’s revised proposed investment (the “revised” investment) is in line with the latest steer to phase 50% of schemes in the 2025-2030 investment period. The company provides sufficient and convincing evidence to demonstrate that the revised investment meets the need for enhancement criteria. Therefore, for the final determination, we do not apply an adjustment.</t>
  </si>
  <si>
    <t>NES80 Draft Determination - Representations.pdf</t>
  </si>
  <si>
    <t xml:space="preserve">Partial pass: The proposed investment partly meets the criteria for enhancement investment. There are inconsistencies with the company’s water industry national environment programme (WINEP) and strategic phasing steers. 
The company states that it is awaiting regulator confirmation on the sites it is allowed to deliver in 2025-30, therefore the efficiency applied has been scaled based on the inconsistency (i.e. strategic steer to deliver 75% of MCERT schemes in 2030-35). </t>
  </si>
  <si>
    <t xml:space="preserve">OFW-PR24 - Information Letter EA_19_2023 WINEP guidance release and U_MON6 phasing.pdf - All Documents (sharepoint.com) 
OFW-PR24 - NES to OFW - Letter for BPT tables resubmission - 25 January 2024.pdf - All Documents (sharepoint.com) 
NES30, pg. 20 </t>
  </si>
  <si>
    <t>In the draft determination we did not apply an adjustment because the company provided sufficient and convincing evidence to demonstrate that the proposed investment was the best option for customers. 
In its representation the company accepts the draft determination assessment and has provided a revised programme that aligns with the Defra 50% steer. Therefore, we retain our draft determination approach for the final determination.</t>
  </si>
  <si>
    <t xml:space="preserve">Pass: The company provides sufficient and convincing evidence that the investment is the best option for customers.
The company has provided evidence that it has considered an appropriate number of intervention types. The WINEP development guidance does not require optioneering for monitoring compliance due to the driver guidance being specific about the type and frequency of monitoring required.
The company has confirmed technical option feasibility meets the statutory requirements. In addition, the company has completed cost benefit analysis on the preferred option.
</t>
  </si>
  <si>
    <t>In the draft determination we had some concerns that the investment was efficient, although we did not apply an adjustment due to the scale of the 75% adjustment based on assessment for enhancement need. 
In its representation the company provides additional evidence, however we still have some concerns that the revised investment is efficient.  Therefore, for the final determination we apply an adjustment.
The company's proposed revised investment of £39.1m is half of its original (100%) programme cost but now includes additional telemetry requirements. It has undertaken sampling / investigations at some sites to determine what telemetry is needed, and it explains how its telemetry requirements are likely to be the reason for its outlier unit costs, compared with other companies. 
While the company has halved the proposed unit cost for EDM and civils, this remains above the industry median. The company also reduced the cost of EDMs and PFF and civils by 30%, but this remains double the industry median. 
We still have some concerns that the investment is efficient. Therefore, for final determination we apply an adjustment.</t>
  </si>
  <si>
    <t>Some concerns: We have some concerns whether the investment is efficient. The company does not provide sufficient and convincing evidence that the proposed costs are efficient. 
The company has provided a high-level explanation of its costing approach but does not provide detail about MCERTs at sewage pumping stations (SPS) specifically. Detailed cost benchmarking evidence has only been provided for other monitoring WINEP drivers.
The company states that their costs have been benchmarked and independently assured by their costing partners but do not provide evidence of this.
Due to uncertainty surrounding costs, we are proposing at the Draft Determination to apply no further efficiency challenge in addition to the 75%. However, the company must address our concerns surrounding cost efficiency, along with updated costs, for Final Determinations.</t>
  </si>
  <si>
    <t>To be addressed for FD</t>
  </si>
  <si>
    <t xml:space="preserve">NES30 - A3-16 Enhancement Case WWN - WINEP monitoring.pdf </t>
  </si>
  <si>
    <t>For the final determination, the company's proposed investment does not meet the materiality threshold for a price control deliverable (PCD). The company does not propose a PCD. However, to provide customer protection we consider a PCD is required. Therefore, for the final determination we apply a PCD. We discuss the PCD and our consideration of any consultation responses received in the Price Control Deliverables Appendix.</t>
  </si>
  <si>
    <t>Some concerns – We have some concerns whether the company's proposal fully protects customers from non-or under delivery.
The company proposes a price control deliverable (PCD) at WINEP programme level, rather than specifically for this driver, explaining that customer protection will be provided by permit compliance and annual reporting, while improved monitoring will help detect pollutions and monitor spills to protect customers. 
We do not consider that this proposal would provide sufficient customer protection. The use of a programme-level PCD would leave room for a lot of uncertainty in using this to track delivery of the investment that customers have funded.
The expenditure in this area is material and so we consider a PCD is required. We set a PCD for draft determination based on the number of MCERTs monitoring schemes at emergency sewage pumping station overflows delivered. For more information on PCD decisions see the PR24 draft determinations: Expenditure allowances - Price control deliverable appendix.</t>
  </si>
  <si>
    <t>In the draft determination the proposed investment met the criteria for enhancement investment and additional customer funding. In its query response the company increases the proposed investment (the “revised” investment). The company provides sufficient and convincing evidence to demonstrate that the revised investment meets the need for enhancement criteria. Therefore, for the final determination, we do not apply an adjustment.
In the draft determination the company's investment met the criteria for enhancement investment and additional customer funding and was consistent with WINEP and Defra's original 25% phasing steer.
In its representation, the company does not account for the Defra steer to increase its plan to deliver 50% of the total programme by 2030. Instead, it requested that we either account for this in our Storm Overflow Uncertainty Mechanism or make an allowance for its 2025-2030 activity in this area. 
We queried the company and obtained a breakdown of costs for 50% of the programme, which includes 17 higher priority sites that were substituted out under the 25% steer but that should now be completed by 2030. As the company has now revised its proposed investment in line with Defra's 50% steer, including the 17 higher priority sites, we do not make an adjustment for the final determination.</t>
  </si>
  <si>
    <t>SRN-DDR-045 - WINEP - Monitoring Enhancement Cost Evidence Case_Redacted.pdf
OFW-REP-SRN-029 - Response.pdf</t>
  </si>
  <si>
    <t>Pass: The investment meets the criteria for enhancement investment and additional customer funding. 
The proposed investment is consistent with the company’s water industry national environment programme (WINEP) and the strategic steer to phase 75% of MCERTs schemes to 2030-35.</t>
  </si>
  <si>
    <t xml:space="preserve">OFW-PR24 - Information Letter EA_19_2023 WINEP guidance release and U_MON6 phasing.pdf - All Documents (sharepoint.com) </t>
  </si>
  <si>
    <t xml:space="preserve">In the draft determination we did not apply an adjustment because the company provided sufficient and convincing evidence to demonstrate that the proposed investment was the best option for customers. In its query response the company increases the proposed investment (“the revised investment”) to meet the 50% Defra steer. The company provides sufficient and convincing evidence to demonstrate that the revised investment is the best option for customers. Therefore, for the final determination, we do not apply an adjustment. 
The company provides sufficient and convincing evidence for best option, and it has revised its investment to address the 50% Defra steer. Therefore, for the final determination we do not apply an adjustment. 
</t>
  </si>
  <si>
    <t>Pass: The company provides sufficient and convincing evidence that the investment is the best option for customers.
The company has provided evidence that they have considered an appropriate number of intervention types. The WINEP development guidance does not require optioneering for monitoring compliance due to the driver guidance being specific about the type and frequency of monitoring required.
The company has confirmed technical option feasibility meets the statutory requirements following 2020-25 investigations.</t>
  </si>
  <si>
    <t xml:space="preserve">OFW-OBQ-SRN-096 </t>
  </si>
  <si>
    <t xml:space="preserve">In the draft determination we had significant concerns that the proposed investment was efficient and applied an adjustment. In its representation, the company provides additional evidence. However, we still have significant concerns that the investment is efficient, therefore, we retain our draft determination approach for our final determination. 
In the draft determination we had concerns that the proposed investment was efficient because the company did not provide evidence of third-party cost assurance or benchmarking for its monitoring schemes. When completing our cost assessment, the company was consistently above the industry benchmark for all intervention types.
In its representation the company expresses concern about the affordability and deliverability of 50% of its programme with the inclusion of 17 sites that had been substituted out of the 25% phasing programme.
The company’s revised costs are at or below industry median for its event duration monitoring (EDM) sites but are almost 5 times higher than the industry median for the most complex sites requiring EDM &amp; flow monitoring with civils. This highest complexity category makes up 98.5% of its programme. 
The company states that it needs to deliver a higher proportion of medium and large sites in 2025-2030 period and suggests that other companies’ sites could be weighted towards their smaller, less costly sites. It provides evidence of further benchmarking by a third party. However, our benchmarking assessment of efficiency is on a unit cost basis per complexity category rather than an aggregated view, and it is unclear how the company’s benchmark costs relate to its overall programme costs. 
While the company has provided some additional information, we still have significant concerns that the proposed investment is efficient. Therefore, we retain our draft determination approach for our final determination and apply an adjustment.
</t>
  </si>
  <si>
    <t>Significant concerns</t>
  </si>
  <si>
    <t xml:space="preserve">Significant concerns:  We have significant concerns whether the investment proposed is efficient. 
The company has provided a high-level explanation of their costing approach, which utilises historical data to predict costs of anticipated scope. The company has conducted internal benchmarking that predicts costs much higher for 2025-30 than costs incurred in 2020-25. The company states they have applied a 10% efficiency to all costs but have not provided evidence of this or a breakdown.
The company has highlighted the relatively late addition of the MCERTs requirement to the WINEP, stating their assumptions that sites will require medium levels of upgrade. The company states that they have validated their assumptions through desk-based studies and operator knowledge, however, they have not provided evidence to support this.
While the company states how costs have been developed, it has not provided supporting evidence of this. The company has not obtained third-party cost assurance or benchmarking for its monitoring schemes. When completing our cost assessment, the company is consistently above the industry benchmark for all intervention types. </t>
  </si>
  <si>
    <t xml:space="preserve">SRN41 WINEP - Monitoring.pdf 
SRN15 Cost and Option Methodology.pdf </t>
  </si>
  <si>
    <t>For the final determination, the company's proposed investment meets the materiality threshold for a price control deliverable (PCD). The company proposes a PCD, however we consider one that provides further customer protection is required. Therefore, for the final determination we apply a PCD. We discuss the PCD and our consideration of any consultation responses received in the Price Control Deliverables Appendix.</t>
  </si>
  <si>
    <t xml:space="preserve">Some concerns. We have some concerns whether the company's proposal fully protects customers from non-or under delivery.
Southern Water proposes an overarching WINEP price control deliverable (PCD) to protect customers from non-delivery of all actions listed that are not covered by a PC, with delivery progress reported annually following external assurance. It does not propose a PCD specifically for this enhancement driver. </t>
  </si>
  <si>
    <t xml:space="preserve">SRN38 Water Industry National Environment Programme.pdf </t>
  </si>
  <si>
    <t>Pass – We consider that the proposed investment meets the criteria for enhancement investment and additional customer funding. 
For draft determination we assessed the programme using a shallow dive approach. The company has made a general representation regarding the extent of the shallow dive efficiency challenge, however as this is now a deep dive we do not address the representation on the shallow dives efficiency challenge here.</t>
  </si>
  <si>
    <t>Pass – Following a query response from the Environment Agency (EA), we understand that Thames Water had requested that the EA re-assigned its MCERTS flow and EDM sites (U_MON6c) to MCERTS flow and EDM with civils (U_MON6d) in the WINEP, as many sites would require civil works and this had not been factored into the complexity and costs of the programme. 
As there has been no change in the complexity categorisation of schemes since its draft determination, we do not challenge the best option for customers for final determination.</t>
  </si>
  <si>
    <t xml:space="preserve">Some concerns - In its representation the company has increased its requested expenditure by £3.2m and increased its programme by 13 schemes, while confirming in a query response that this meets the 50% steer from Defra.
With the increase in its costs and programme to align with the Defra 50% phasing steer, the company has triggered a deep dive due to materiality and inefficiency. 
When comparing against the industry median unit costs benchmarks for EDM-only and EDM, PFF and civils schemes, the company is an outlier. Therefore, for the final determination, we apply an efficiency challenge.  </t>
  </si>
  <si>
    <t>In the draft determination the proposed investment met the criteria for enhancement investment and additional customer funding.  In its query response the company increases the proposed investment (the “revised” investment, The company provides sufficient and convincing evidence to demonstrate that the revised investment meets the need for enhancement criteria. Therefore, for the final determination, we do not apply an adjustment.
In its representation the company accepts the draft determination allowance across all of the monitoring enhancement lines and has revised its MCERTs request down to £27.29m. However, this does not include for the revised Defra steer to deliver 50% of the programme by 2030, which the company stated arrived too late for the company to include in its representation.
We queried the company to establish costs and scheme categorisations under a 50% programme. While the company has not yet been able to confirm a specific site list with the Environment Agency, the company has increased the programme in line with the Defra steer. Therefore, for the final determination, we do not apply an adjustment.</t>
  </si>
  <si>
    <t>OFW-REP-UUW-022 - response.docx
UUWR_20_Cost and PCDs.pdf</t>
  </si>
  <si>
    <t>Pass: The investment meets the criteria for enhancement investment and additional customer funding. The proposed investment is consistent with the company’s water industry national environment programme (WINEP) and the strategic steer to phase 75% of MCERTs schemes to 2030-35.</t>
  </si>
  <si>
    <t xml:space="preserve">OFW-PR24 - Information Letter EA_19_2023 WINEP guidance release and U_MON6 phasing.pdf - All Documents (sharepoint.com) 
OFW-OBQ-UUW-057-UUW response.pdf </t>
  </si>
  <si>
    <t xml:space="preserve">In the draft determination we did not apply an adjustment because the company provided sufficient and convincing evidence to demonstrate that the proposed investment was the best option for customers. In its query response the company increases the proposed investment (“the revised investment”) to meet the 50% Defra steer. The company provides sufficient and convincing evidence to demonstrate that the revised investment is the best option for customers. Therefore, for the final determination, we do not apply an adjustment. </t>
  </si>
  <si>
    <t xml:space="preserve">Pass: The company provides sufficient and convincing evidence that the investment is the best option for customers.
The company has provided evidence that thit has considered an appropriate number of intervention types. The WINEP development guidance does not require optioneering for monitoring compliance due to the driver guidance being specific about the type and frequency of monitoring required.
The company had confirmed technical option feasibility meets the statutory requirements. </t>
  </si>
  <si>
    <t xml:space="preserve">OFW-OBQ-UUW-057-UUW response.pdf 
UUW46.pdf 
UUW64.pdf </t>
  </si>
  <si>
    <t xml:space="preserve">In the draft determination we had significant concerns that the proposed investment was efficient and applied a 30% adjustment. In its representation the company accepts our draft determination assessment for the 25% of the programme originally required by 2030.
In its query response, the company explains that it has not yet identified the specific site list for the additional 25% of schemes required by 2030, therefore it has taken the average cost for delivery of the programme, resulting in an additional £42m (£39m capex, £3m opex) to account for the extra sites and a change in profiling required to meet the 2030 regulatory output. 
The company also states that although it accepted our challenge on the 25% phasing, it cannot accept the same efficiency challenge for the additional scope. It has therefore applied its October 2023 submissions costs to the costs for the additional 25% of schemes, resulting in a revised requested totex of £69.93m.  
Our benchmarking of industry unit rates for delivery of 50% of schemes puts United Utilities as a significant outlier for both its monitoring categories where civils elements are required. The company provides some evidence that civils modifications are required across a large number of sites to improve access for inspection and calibration, new pipelines or manholes for flow meter maintenance and calibration, and new kiosks / panels for the data collection (all MCERTs requirements). However, the company has not yet identified the specific site list and has taken the average cost for delivery of the programme.
On balance, the company's additional evidence partially explains why the benchmark suggests it is inefficient and therefore we reduce our adjustment to 20% . </t>
  </si>
  <si>
    <t xml:space="preserve">Significant concerns: We have significant concerns whether the investment is efficient. The company has not provided sufficient and convincing evidence that the cost estimation approach and activity cost breakdown are efficient. 
The company has stated that third-party assurance has been completed but we could not locate evidence of reports. The company has not provided evidence of industry benchmarking being completed. When completing our cost assessment, the company is consistently above the industry benchmark cost for all intervention types. </t>
  </si>
  <si>
    <t xml:space="preserve">UUW46.pdf 
UUW64.pdf </t>
  </si>
  <si>
    <t>Some concerns: We have some concerns whether the company's proposal fully protects customers from non-or under delivery.
United Utilities proposes a price control deliverable (PCD) for non-delivery or late delivery of some WINEP monitoring schemes, although it is unclear whether any of the MCERTs monitoring at emergency pumping stations are covered partially or fully by its own PCD. We do not consider that sufficient customer protection is provided.
The expenditure in this area is not material and so we do not consider a PCD is required. For more information on PCD decisions see the PR24 draft determinations: Expenditure allowances - Price control deliverable appendix.</t>
  </si>
  <si>
    <t xml:space="preserve">UUW08.pdf </t>
  </si>
  <si>
    <t>In the draft determination the proposed investment met the criteria for enhancement investment and additional customer funding. In its representation the company increases the proposed investment (the “revised” investment). The company provides sufficient and convincing evidence to demonstrate that the revised investment meets the need for enhancement criteria. Therefore, for the final determination, we do not apply an adjustment.
In the draft determination, the proposed investment met the criteria for enhancement need as the number of schemes provided in the business plan tables was consistent with the company’s water industry national environment programme (WINEP) and the strategic steer to deliver 25% of MCERTs schemes in 2025-30. The company has provided its revised costs in its representation query response in line with Defra's 50% steer for 2025-2030. 
The company provides sufficient and convincing evidence to demonstrate that the revised investment meets the need for enhancement criteria. Therefore, for the final determination, we do not apply an adjustment.</t>
  </si>
  <si>
    <t xml:space="preserve">OFW-PR24 - Information Letter EA_19_2023 WINEP guidance release and U_MON6 phasing.pdf - All Documents (sharepoint.com) 
OFW-OBQ-WSX-010 - WSX response.docx (sharepoint.com) 
WSX16 - Waste water networks plus strategy and investment.pdf </t>
  </si>
  <si>
    <t>In the draft determination we did not apply an adjustment because the company provided sufficient and convincing evidence to demonstrate that the proposed investment was the best option for customers. In its representation the company increases the proposed investment (the “revised” investment) to meet new regulatory steer. 
The company provides sufficient and convincing evidence to demonstrate that the revised investment is the best option for customers and acknowledging the uncertainty on which additional schemes will need to be delivered in 2025-2030 to meet the new 50% regulatory steer. Therefore, for the final determination, we do not apply an adjustment.</t>
  </si>
  <si>
    <t xml:space="preserve">Pass: The company provides sufficient and convincing evidence that the investment is the best option for customers.
The company has provided evidence they have considered an appropriate number of intervention types. The WINEP development guidance does not require optioneering for monitoring compliance due to the driver guidance being specific about the type and frequency of monitoring required.
The company had confirmed technical option feasibility meets the statutory requirements. </t>
  </si>
  <si>
    <t xml:space="preserve">OFW-OBQ-WSX-211 - WSX response.docx (sharepoint.com) 
OFW-OBQ-WSX-072-WSX response.docx (sharepoint.com) </t>
  </si>
  <si>
    <t>In the draft determination we had some concerns that the investment was efficient and applied an adjustment. In its representation the company increases the proposed investment (the “revised” investment). The company provides sufficient and convincing evidence to demonstrate that the revised investment addresses our concerns and that is efficient. Therefore, for the final determination, we do not apply an adjustment.
In the draft determination, the company did not provide a description of its cost estimation approach and activity cost breakdown. The company did not provide evidence of third-party assurance or benchmarking reports. Our draft determination cost assessment analysis showed that the company was marginally above the industry benchmark for event duration monitor installations but was considered a cost outlier for schemes that also required pass forward flow monitoring. 
The company in its representation states it slightly reduces the unit cost per monitor, but it does not provide further evidence. 
For final determination, we are assessing the revised investment against our updated indicative cost benchmark. Following the submission of revised investment by the companies for final determination, the unit costs submitted by the company are slightly below that submitted at draft determination, and while some elements are above the median benchmark, it is now efficient in the round. 
While we would have liked to have received additional evidence on cost efficiency to address our concerns from the draft determination, our revised assessment indicates that the company is efficient when assessed against the indicative cost benchmark. Therefore, for final determination, we do not apply an adjustment.</t>
  </si>
  <si>
    <t>Some concerns: We have some concerns whether the investment is efficient. The company does not provide sufficient and convincing evidence that the proposed costs are efficient.
The company has not provided a description of its cost estimation approach and activity cost breakdown. The company has not provided evidence of third-party assurance or benchmarking reports. When completing our cost assessment, the company is marginally above the industry benchmark for event duration monitor installations but is considered a cost outlier for schemes that also required pass forward flow monitoring.</t>
  </si>
  <si>
    <t xml:space="preserve">WSX16 - Waste water networks plus strategy and investment.pdf 
OFW-OBQ-WSX-010 - WSX response.docx (sharepoint.com) </t>
  </si>
  <si>
    <t>Some concerns. We have some concerns whether the company's proposal fully protects customers from non-or under delivery
For other monitoring drivers, the company states that customer protection from non-delivery or change in scope is addressed by "WINEP outputs identified in EA's environmental performance assessment", but it is not clear if other customer protection measures are in place for this enhancement line. We do not consider that sufficient customer protection is provided.
The expenditure in this area is not material and so we do not consider a PCD is required. For more information on PCD decisions see the PR24 draft determinations: Expenditure allowances - Price control deliverable appendix.</t>
  </si>
  <si>
    <t xml:space="preserve">WSX26 - Price control deliverables (PCDs).pdf 
WSX17 - Annexes - Wastewater networks plus strategy and investment.pdf </t>
  </si>
  <si>
    <t>In the draft determination the proposed investment met the criteria for enhancement investment and additional customer funding. The company in its representation increases the proposed investment (the “revised” investment). The company provides sufficient and convincing evidence to demonstrate that the revised investment meets the need for enhancement criteria. Therefore, for the final determination, we do not apply an adjustment.
In the draft determination, the proposed investment met the criteria for enhancement need as the number of schemes provided in the business plan tables were consistent with the company’s water industry national environment programme (WINEP) and the strategic steer to phase 25% of MCERTs schemes to 2025-30. The company has provided its revised costs in its response to a query in response to the latest regulatory steer from Defra requesting a revised 50% phasing of MCERTs schemes to 2025-30. The company confirms it will now deliver 50% of its schemes in 2025-30.
The company provides sufficient and convincing evidence to demonstrate that the revised investment meets the need for enhancement criteria. Therefore, for the final determination, we do not apply an adjustment.</t>
  </si>
  <si>
    <t xml:space="preserve">
Pass:  The investment meets the criteria for enhancement investment and additional customer funding. The proposed investment is consistent with the company’s water industry national environment programme (WINEP) and the strategic steer to phase 75% of MCERTs schemes to 2030-35.
</t>
  </si>
  <si>
    <t xml:space="preserve">OFW-OBQ-YKY-114 - response.docx (sharepoint.com) </t>
  </si>
  <si>
    <t>In the draft determination we did not apply an adjustment because the company provided sufficient and convincing evidence to demonstrate that the proposed investment was the best option for customers. The company in its representation increases the proposed investment (the “revised” investment) to meet new regulatory steer. The company provides sufficient and convincing evidence to demonstrate that the revised investment  is the best option for customers. Therefore, for the final determination, we do not apply an adjustment.</t>
  </si>
  <si>
    <t xml:space="preserve">Pass: The company provides sufficient and convincing evidence that the investment is the best option for customers.
The company has provided evidence they have considered an appropriate number of intervention types. The WINEP development guidance does not require optioneering for monitoring compliance due to the driver guidance being specific about the type and frequency of monitoring required.
The company had confirmed technical option feasibility meets the statutory requirements.
</t>
  </si>
  <si>
    <t xml:space="preserve">YKY43_WINEP Enhancement Case (1).pdf 
YKY25_Introduction to Enhancement Cases (public).pdf </t>
  </si>
  <si>
    <t>In the draft determination we had significant concerns that the investment was efficient and applied an adjustment. The company in its representation increases the proposed investment (the “revised” investment) to meet new regulatory steer. The company in its representation does not provide sufficient and convincing evidence to demonstrate that the revised investment addresses our concerns. However our revised cost model shows that the revised investment is no longer an outlier. Therefore, for the final determination, we do not apply an adjustment.
In the draft determination we had concerns that the proposed investment was efficient because the company did not provide sufficient and convincing evidence on third-party assurance and external benchmarking. While the company stated that third-party assurance had been completed, this was carried out only on select cost data tables. The company did not provide evidence of industry benchmarking being completed. Our draft determination cost assessment showed that the company was significantly above the industry benchmark for MCERTS EDM and Pass Forward Flow and Civils, which made up the majority of its cost request. 
For the final determination, we are assessing the revised investment through our updated cost model. Following the submission of revised investment by the companies for final determination, the costs submitted by the company are still above the industry benchmark for EDM and Pass Forward Flow Monitor and Civils but the proposed investment is no longer a cost outlier in the round.
Therefore, for the final determination, we do not apply an adjustment.</t>
  </si>
  <si>
    <t xml:space="preserve">Significant Concerns: We have significant concerns as to whether the investment is efficient. The company has not provided sufficient and convincing evidence that the cost estimation approach and activity cost breakdown are efficient. 
The company has stated that third-party assurance has been completed, but only on select cost data tables. The company has not provided evidence of industry benchmarking being completed. When completing our cost assessment, the company is significantly above the industry benchmark for MCERTS EDM and Pass Forward Flow and Civils, which makes up the majority of its cost request. 
 </t>
  </si>
  <si>
    <t xml:space="preserve">OFW-PR24 - YKY61_PR24 assurance.pdf - All Documents (sharepoint.com) 
 YKY63_Annex to the WINEP Enhancement Case.pdf </t>
  </si>
  <si>
    <t>Some concerns. We have some concerns whether the company's proposal fully protects customers from non-or under delivery.
The company does not appear to have an overarching PCD for the full WINEP programme, or other specific customer protection. We do not consider that sufficient customer protection is provided.
The expenditure in this area is not material and so we do not consider a PCD is required. For more information on PCD decisions see the PR24 draft determinations: Expenditure allowances - Price control deliverable appendix</t>
  </si>
  <si>
    <t xml:space="preserve">YKY25_Introduction to Enhancement Cases (public).pdf </t>
  </si>
  <si>
    <t xml:space="preserve">Summary of allowed costs </t>
  </si>
  <si>
    <t>BoN code(s)</t>
  </si>
  <si>
    <t>Enhancement line</t>
  </si>
  <si>
    <t>Cost allowance for 2025-2030 (£m in 2022-2023 prices)</t>
  </si>
  <si>
    <t>Totex requested in business plan (£m) - as submitted under latest Defra steer</t>
  </si>
  <si>
    <t>Net totex reallocated in/out</t>
  </si>
  <si>
    <t xml:space="preserve">Shallow dive allowance </t>
  </si>
  <si>
    <t xml:space="preserve">Deep dive allowance </t>
  </si>
  <si>
    <t>Totex allowed - wholesale wastewater</t>
  </si>
  <si>
    <t>Summary of submitted and assessed costs</t>
  </si>
  <si>
    <t>As submitted</t>
  </si>
  <si>
    <t>As assessed</t>
  </si>
  <si>
    <t>2023/2024 - transition exp</t>
  </si>
  <si>
    <t>2023/2024 - accelerated prog</t>
  </si>
  <si>
    <t>2024/2025 - transition exp</t>
  </si>
  <si>
    <t>2024/2025 - accelerated prog</t>
  </si>
  <si>
    <t>2025/2026</t>
  </si>
  <si>
    <t>2026/2027</t>
  </si>
  <si>
    <t>2027/2028</t>
  </si>
  <si>
    <t>2028/2029</t>
  </si>
  <si>
    <t>2029/2030</t>
  </si>
  <si>
    <t>Totex in business plan - wholesale wastewater</t>
  </si>
  <si>
    <t>Check</t>
  </si>
  <si>
    <t>Summary of allowances based on temporal profiling of submitted costs - for company level allowances</t>
  </si>
  <si>
    <t>Temporal profiling</t>
  </si>
  <si>
    <t>Allowances</t>
  </si>
  <si>
    <t>Total allowances</t>
  </si>
  <si>
    <t>check</t>
  </si>
  <si>
    <t>Summary of allowances based on ad-hoc profiling - for scheme based allowances</t>
  </si>
  <si>
    <t>Input costs (in £m per year) for scheme(s) that are to be excluded from allowances</t>
  </si>
  <si>
    <t>Allowances based on ad-hoc profiling</t>
  </si>
  <si>
    <t>Total enhancement allowance - Wastewater - MCERTS PS EO - Totex</t>
  </si>
  <si>
    <t>Total enhancement allowance - Wastewater - MCERTS PS EO - Accelerated programme</t>
  </si>
  <si>
    <t>Total enhancement allowance - Wastewater - MCERTS PS EO - Transition allowance</t>
  </si>
  <si>
    <t>Text</t>
  </si>
  <si>
    <t>PCD for MCERTs</t>
  </si>
  <si>
    <t>PCD needed?</t>
  </si>
  <si>
    <t>Nr schemes (PCD output for 2029/30)</t>
  </si>
  <si>
    <t xml:space="preserve">Disaggregated costs used for PCD unit rate </t>
  </si>
  <si>
    <t>Proportion of total cost</t>
  </si>
  <si>
    <t>Disaggregated post-adj / FS costs £m</t>
  </si>
  <si>
    <t>PCD output (2029/30) unit rate (£m/ scheme)</t>
  </si>
  <si>
    <t>Requested totex £m</t>
  </si>
  <si>
    <t>Allowed totex £m</t>
  </si>
  <si>
    <t>Relevant totex for materiality test</t>
  </si>
  <si>
    <t>Allowed totex as a % of total totex</t>
  </si>
  <si>
    <t>Materiality PCD test passed?</t>
  </si>
  <si>
    <t>Allowed totex covered by PCD (post adjustment &amp; frontier shift)</t>
  </si>
  <si>
    <t>Allowed totex covered by PCD as % of Allowed totex</t>
  </si>
  <si>
    <t>Non-delivery PCD needed?</t>
  </si>
  <si>
    <t>Late delivery PCD needed?</t>
  </si>
  <si>
    <t>PCD decision summary</t>
  </si>
  <si>
    <t>MCERTS EDM + civils</t>
  </si>
  <si>
    <t xml:space="preserve">EDM &amp; PFF monitors only </t>
  </si>
  <si>
    <t xml:space="preserve">MCERTS + pass forward flow monitors + civils </t>
  </si>
  <si>
    <t>(permits only)</t>
  </si>
  <si>
    <t>total</t>
  </si>
  <si>
    <t>n</t>
  </si>
  <si>
    <t>Y</t>
  </si>
  <si>
    <t>N</t>
  </si>
  <si>
    <t xml:space="preserve">Given uncertainties around the categorisation of schemes for this enhancement programme, particularly the additional 25% required by 2030, we propose PCDs for all companies based on the disaggregated unit rates. We will allow swaps once scheme lists have been confirmed. </t>
  </si>
  <si>
    <t>y</t>
  </si>
  <si>
    <t>Companies</t>
  </si>
  <si>
    <t>Assessment type</t>
  </si>
  <si>
    <t>WASC</t>
  </si>
  <si>
    <t>Modelled benchmarking</t>
  </si>
  <si>
    <t>Mixed</t>
  </si>
  <si>
    <t>WOC</t>
  </si>
  <si>
    <t>Deep dive analysis decisions</t>
  </si>
  <si>
    <t>Fail</t>
  </si>
  <si>
    <t>Minor concerns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</si>
</sst>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0.00;[Red]\-&quot;£&quot;#,##0.00"/>
    <numFmt numFmtId="44" formatCode="_-&quot;£&quot;* #,##0.00_-;\-&quot;£&quot;* #,##0.00_-;_-&quot;£&quot;* &quot;-&quot;??_-;_-@_-"/>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0.000"/>
    <numFmt numFmtId="171" formatCode="#,##0.000"/>
    <numFmt numFmtId="172" formatCode="0.0"/>
    <numFmt numFmtId="173" formatCode="0.0%"/>
    <numFmt numFmtId="174" formatCode="_-&quot;£&quot;* #,##0.000_-;\-&quot;£&quot;* #,##0.000_-;_-&quot;£&quot;* &quot;-&quot;??_-;_-@_-"/>
    <numFmt numFmtId="175" formatCode="0.0000"/>
    <numFmt numFmtId="176" formatCode="&quot;£&quot;#,##0.000;[Red]\-&quot;£&quot;#,##0.000"/>
    <numFmt numFmtId="177" formatCode="_(* #,##0.00_);_(* \(#,##0.00\);_(* &quot;-&quot;??_);_(@_)"/>
    <numFmt numFmtId="178" formatCode="#,##0.0_);\(#,##0.0\);&quot;-  &quot;;&quot; &quot;@&quot; &quot;"/>
    <numFmt numFmtId="179" formatCode="###0_);\(###0\);&quot;-  &quot;;&quot; &quot;@&quot; &quot;"/>
    <numFmt numFmtId="180" formatCode="mmmm\ yyyy;@"/>
    <numFmt numFmtId="181" formatCode="_-&quot;£&quot;* #,##0.0000_-;\-&quot;£&quot;* #,##0.0000_-;_-&quot;£&quot;* &quot;-&quot;??_-;_-@_-"/>
  </numFmts>
  <fonts count="82">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24"/>
      <color theme="0"/>
      <name val="Calibri"/>
      <family val="2"/>
    </font>
    <font>
      <sz val="10"/>
      <color theme="1"/>
      <name val="Calibri"/>
      <family val="2"/>
    </font>
    <font>
      <sz val="10"/>
      <name val="Calibri"/>
      <family val="2"/>
    </font>
    <font>
      <sz val="10"/>
      <color rgb="FF000000"/>
      <name val="Arial"/>
      <family val="2"/>
    </font>
    <font>
      <sz val="10"/>
      <color rgb="FFFF0000"/>
      <name val="Arial"/>
      <family val="2"/>
    </font>
    <font>
      <b/>
      <sz val="10"/>
      <color rgb="FF000000"/>
      <name val="Calibri"/>
      <family val="2"/>
    </font>
    <font>
      <sz val="10"/>
      <color rgb="FF000000"/>
      <name val="Calibri"/>
      <family val="2"/>
    </font>
    <font>
      <sz val="11"/>
      <color rgb="FF000000"/>
      <name val="Calibri"/>
      <family val="2"/>
    </font>
    <font>
      <i/>
      <sz val="10"/>
      <color rgb="FF7F7F7F"/>
      <name val="Calibri"/>
      <family val="2"/>
    </font>
    <font>
      <b/>
      <sz val="10"/>
      <name val="Calibri"/>
      <family val="2"/>
    </font>
    <font>
      <b/>
      <sz val="14"/>
      <color theme="0"/>
      <name val="Calibri"/>
      <family val="2"/>
    </font>
    <font>
      <b/>
      <i/>
      <sz val="10"/>
      <color rgb="FF000000"/>
      <name val="Calibri"/>
      <family val="2"/>
    </font>
    <font>
      <i/>
      <sz val="10"/>
      <color rgb="FFFF0000"/>
      <name val="Calibri"/>
      <family val="2"/>
    </font>
    <font>
      <b/>
      <sz val="11"/>
      <name val="Calibri"/>
      <family val="2"/>
    </font>
    <font>
      <sz val="11"/>
      <color indexed="8"/>
      <name val="Krub"/>
      <family val="2"/>
      <scheme val="minor"/>
    </font>
    <font>
      <u/>
      <sz val="11"/>
      <color theme="10"/>
      <name val="Arial"/>
      <family val="2"/>
    </font>
    <font>
      <sz val="8"/>
      <name val="Arial"/>
      <family val="2"/>
    </font>
    <font>
      <b/>
      <u/>
      <sz val="10"/>
      <color theme="1"/>
      <name val="Arial"/>
      <family val="2"/>
    </font>
    <font>
      <sz val="11"/>
      <color theme="1"/>
      <name val="Krub"/>
      <family val="2"/>
      <scheme val="minor"/>
    </font>
    <font>
      <b/>
      <sz val="10"/>
      <color rgb="FFFFFFFF"/>
      <name val="Arial"/>
      <family val="2"/>
    </font>
    <font>
      <sz val="8"/>
      <color theme="1"/>
      <name val="Tahoma"/>
      <family val="2"/>
    </font>
    <font>
      <sz val="24"/>
      <color theme="0"/>
      <name val="Krub"/>
      <family val="2"/>
      <scheme val="minor"/>
    </font>
    <font>
      <sz val="10"/>
      <color theme="1"/>
      <name val="Krub"/>
      <family val="2"/>
      <scheme val="minor"/>
    </font>
    <font>
      <b/>
      <sz val="10"/>
      <name val="Krub"/>
      <family val="2"/>
      <scheme val="minor"/>
    </font>
    <font>
      <sz val="10"/>
      <name val="Krub"/>
      <family val="2"/>
      <scheme val="minor"/>
    </font>
    <font>
      <b/>
      <sz val="10"/>
      <color rgb="FF0071CE"/>
      <name val="Calibri"/>
      <family val="2"/>
    </font>
    <font>
      <b/>
      <sz val="10"/>
      <color indexed="8"/>
      <name val="Krub"/>
      <family val="2"/>
      <scheme val="minor"/>
    </font>
    <font>
      <sz val="10"/>
      <color indexed="8"/>
      <name val="Krub"/>
      <family val="2"/>
      <scheme val="minor"/>
    </font>
    <font>
      <sz val="10"/>
      <color indexed="9"/>
      <name val="Krub"/>
      <family val="2"/>
      <scheme val="minor"/>
    </font>
    <font>
      <b/>
      <sz val="10"/>
      <color theme="1"/>
      <name val="Krub"/>
      <family val="2"/>
      <scheme val="minor"/>
    </font>
    <font>
      <sz val="18"/>
      <name val="Krub"/>
      <family val="2"/>
      <scheme val="minor"/>
    </font>
    <font>
      <b/>
      <sz val="18"/>
      <name val="Krub SemiBold"/>
    </font>
    <font>
      <u/>
      <sz val="8"/>
      <color theme="10"/>
      <name val="Tahoma"/>
      <family val="2"/>
    </font>
    <font>
      <sz val="11"/>
      <name val="Krub SemiBold"/>
    </font>
    <font>
      <sz val="10"/>
      <color theme="0"/>
      <name val="Krub"/>
      <family val="2"/>
      <scheme val="minor"/>
    </font>
    <font>
      <b/>
      <sz val="10"/>
      <color theme="1"/>
      <name val="Calibri"/>
      <family val="2"/>
    </font>
    <font>
      <b/>
      <sz val="11"/>
      <color theme="1"/>
      <name val="Calibri"/>
      <family val="2"/>
    </font>
    <font>
      <b/>
      <u/>
      <sz val="10"/>
      <color rgb="FFFF0000"/>
      <name val="Calibri"/>
      <family val="2"/>
    </font>
    <font>
      <b/>
      <u/>
      <sz val="10"/>
      <color theme="1"/>
      <name val="Calibri"/>
      <family val="2"/>
    </font>
    <font>
      <sz val="11"/>
      <color indexed="8"/>
      <name val="Calibri"/>
      <family val="2"/>
    </font>
    <font>
      <sz val="11"/>
      <color theme="1"/>
      <name val="Calibri"/>
      <family val="2"/>
    </font>
    <font>
      <sz val="10"/>
      <name val="Krub"/>
    </font>
    <font>
      <sz val="10"/>
      <color theme="9"/>
      <name val="Calibri"/>
      <family val="2"/>
    </font>
    <font>
      <sz val="11"/>
      <color theme="9"/>
      <name val="Calibri"/>
      <family val="2"/>
    </font>
    <font>
      <b/>
      <sz val="10"/>
      <color theme="9"/>
      <name val="Arial"/>
      <family val="2"/>
    </font>
    <font>
      <sz val="11"/>
      <color rgb="FF000000"/>
      <name val="Aptos Narrow"/>
      <family val="2"/>
    </font>
    <font>
      <b/>
      <u/>
      <sz val="11"/>
      <name val="Calibri"/>
      <family val="2"/>
    </font>
    <font>
      <b/>
      <u/>
      <sz val="10"/>
      <name val="Calibri"/>
      <family val="2"/>
    </font>
    <font>
      <sz val="10"/>
      <color indexed="8"/>
      <name val="Calibri"/>
      <family val="2"/>
    </font>
    <font>
      <b/>
      <sz val="11"/>
      <color rgb="FF000000"/>
      <name val="Calibri"/>
      <family val="2"/>
    </font>
  </fonts>
  <fills count="6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theme="3"/>
        <bgColor indexed="64"/>
      </patternFill>
    </fill>
    <fill>
      <patternFill patternType="solid">
        <fgColor rgb="FFDCECF5"/>
        <bgColor indexed="64"/>
      </patternFill>
    </fill>
    <fill>
      <patternFill patternType="solid">
        <fgColor rgb="FFFFFFFF"/>
        <bgColor rgb="FF000000"/>
      </patternFill>
    </fill>
    <fill>
      <patternFill patternType="solid">
        <fgColor rgb="FFE7E6E6"/>
        <bgColor rgb="FF000000"/>
      </patternFill>
    </fill>
    <fill>
      <patternFill patternType="solid">
        <fgColor rgb="FFD9D9D9"/>
        <bgColor rgb="FF000000"/>
      </patternFill>
    </fill>
    <fill>
      <patternFill patternType="solid">
        <fgColor theme="4" tint="0.79998168889431442"/>
        <bgColor indexed="64"/>
      </patternFill>
    </fill>
    <fill>
      <patternFill patternType="solid">
        <fgColor rgb="FFFFFF00"/>
        <bgColor rgb="FF000000"/>
      </patternFill>
    </fill>
    <fill>
      <patternFill patternType="solid">
        <fgColor theme="0" tint="-0.14999847407452621"/>
        <bgColor indexed="64"/>
      </patternFill>
    </fill>
    <fill>
      <patternFill patternType="solid">
        <fgColor rgb="FFFFFF00"/>
      </patternFill>
    </fill>
    <fill>
      <patternFill patternType="solid">
        <fgColor rgb="FFFFFFE0"/>
      </patternFill>
    </fill>
    <fill>
      <patternFill patternType="solid">
        <fgColor theme="3" tint="0.79998168889431442"/>
        <bgColor indexed="64"/>
      </patternFill>
    </fill>
    <fill>
      <patternFill patternType="solid">
        <fgColor rgb="FF63656A"/>
        <bgColor rgb="FF000000"/>
      </patternFill>
    </fill>
    <fill>
      <patternFill patternType="solid">
        <fgColor theme="0"/>
        <bgColor indexed="64"/>
      </patternFill>
    </fill>
    <fill>
      <patternFill patternType="solid">
        <fgColor rgb="FFFFFFE0"/>
        <bgColor rgb="FF000000"/>
      </patternFill>
    </fill>
    <fill>
      <patternFill patternType="solid">
        <fgColor rgb="FF003595"/>
        <bgColor indexed="64"/>
      </patternFill>
    </fill>
    <fill>
      <patternFill patternType="solid">
        <fgColor rgb="FFD9D9D9"/>
        <bgColor indexed="64"/>
      </patternFill>
    </fill>
    <fill>
      <patternFill patternType="solid">
        <fgColor theme="0" tint="-0.14999847407452621"/>
        <bgColor rgb="FF000000"/>
      </patternFill>
    </fill>
    <fill>
      <patternFill patternType="solid">
        <fgColor rgb="FFC1E3FF"/>
        <bgColor rgb="FFC1E3FF"/>
      </patternFill>
    </fill>
    <fill>
      <patternFill patternType="solid">
        <fgColor rgb="FF84C8FF"/>
        <bgColor rgb="FF84C8FF"/>
      </patternFill>
    </fill>
    <fill>
      <patternFill patternType="solid">
        <fgColor theme="5" tint="0.59999389629810485"/>
        <bgColor indexed="64"/>
      </patternFill>
    </fill>
    <fill>
      <patternFill patternType="solid">
        <fgColor theme="0" tint="-4.9989318521683403E-2"/>
        <bgColor indexed="64"/>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theme="5"/>
      </top>
      <bottom/>
      <diagonal/>
    </border>
    <border>
      <left style="thin">
        <color indexed="64"/>
      </left>
      <right/>
      <top style="thin">
        <color theme="5"/>
      </top>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medium">
        <color rgb="FF000000"/>
      </top>
      <bottom style="thin">
        <color indexed="64"/>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right style="medium">
        <color indexed="64"/>
      </right>
      <top style="thin">
        <color rgb="FF000000"/>
      </top>
      <bottom/>
      <diagonal/>
    </border>
  </borders>
  <cellStyleXfs count="88">
    <xf numFmtId="0" fontId="0" fillId="0" borderId="0"/>
    <xf numFmtId="43" fontId="6" fillId="0" borderId="0" applyFont="0" applyFill="0" applyBorder="0" applyAlignment="0" applyProtection="0"/>
    <xf numFmtId="10"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8" fillId="45" borderId="0" applyNumberFormat="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165" fontId="6" fillId="42" borderId="0" applyNumberFormat="0" applyFont="0" applyBorder="0" applyAlignment="0" applyProtection="0"/>
    <xf numFmtId="0" fontId="6" fillId="43" borderId="0" applyNumberFormat="0" applyFont="0" applyBorder="0" applyAlignment="0" applyProtection="0"/>
    <xf numFmtId="166" fontId="28" fillId="0" borderId="0" applyNumberFormat="0" applyProtection="0">
      <alignment vertical="top"/>
    </xf>
    <xf numFmtId="166" fontId="29" fillId="0" borderId="0" applyNumberFormat="0" applyProtection="0">
      <alignment vertical="top"/>
    </xf>
    <xf numFmtId="166" fontId="22" fillId="44" borderId="0" applyNumberFormat="0" applyProtection="0">
      <alignment vertical="top"/>
    </xf>
    <xf numFmtId="9" fontId="6" fillId="0" borderId="0" applyFont="0" applyFill="0" applyBorder="0" applyAlignment="0" applyProtection="0"/>
    <xf numFmtId="0" fontId="30" fillId="0" borderId="0" applyNumberFormat="0" applyFill="0" applyBorder="0" applyProtection="0">
      <alignment vertical="top"/>
    </xf>
    <xf numFmtId="167" fontId="22" fillId="0" borderId="0" applyFont="0" applyFill="0" applyBorder="0" applyProtection="0">
      <alignment vertical="top"/>
    </xf>
    <xf numFmtId="168" fontId="22" fillId="0" borderId="0" applyFont="0" applyFill="0" applyBorder="0" applyProtection="0">
      <alignment vertical="top"/>
    </xf>
    <xf numFmtId="169" fontId="22" fillId="0" borderId="0" applyFont="0" applyFill="0" applyBorder="0" applyProtection="0">
      <alignment vertical="top"/>
    </xf>
    <xf numFmtId="0" fontId="23" fillId="0" borderId="0"/>
    <xf numFmtId="0" fontId="24" fillId="0" borderId="0"/>
    <xf numFmtId="0" fontId="25" fillId="0" borderId="0"/>
    <xf numFmtId="168" fontId="26" fillId="0" borderId="0" applyNumberFormat="0" applyFill="0" applyBorder="0" applyProtection="0">
      <alignment vertical="top"/>
    </xf>
    <xf numFmtId="0" fontId="27" fillId="0" borderId="0" applyNumberFormat="0" applyFill="0" applyBorder="0" applyProtection="0">
      <alignment vertical="top"/>
    </xf>
    <xf numFmtId="0" fontId="22" fillId="0" borderId="0" applyNumberFormat="0" applyFill="0" applyBorder="0" applyProtection="0">
      <alignment horizontal="right" vertical="top"/>
    </xf>
    <xf numFmtId="0" fontId="22" fillId="0" borderId="0"/>
    <xf numFmtId="0" fontId="31" fillId="0" borderId="0"/>
    <xf numFmtId="0" fontId="5" fillId="0" borderId="0"/>
    <xf numFmtId="0" fontId="5" fillId="0" borderId="0"/>
    <xf numFmtId="0" fontId="46" fillId="0" borderId="0"/>
    <xf numFmtId="0" fontId="4" fillId="0" borderId="0"/>
    <xf numFmtId="0" fontId="47" fillId="0" borderId="0" applyNumberFormat="0" applyFill="0" applyBorder="0" applyAlignment="0" applyProtection="0"/>
    <xf numFmtId="44" fontId="6" fillId="0" borderId="0" applyFont="0" applyFill="0" applyBorder="0" applyAlignment="0" applyProtection="0"/>
    <xf numFmtId="0" fontId="50" fillId="0" borderId="0"/>
    <xf numFmtId="0" fontId="3" fillId="0" borderId="0"/>
    <xf numFmtId="177" fontId="6" fillId="0" borderId="0" applyFont="0" applyFill="0" applyBorder="0" applyAlignment="0" applyProtection="0"/>
    <xf numFmtId="10" fontId="6" fillId="0" borderId="0" applyFont="0" applyFill="0" applyBorder="0" applyAlignment="0" applyProtection="0"/>
    <xf numFmtId="164" fontId="52" fillId="0" borderId="0" applyFont="0" applyFill="0" applyBorder="0" applyProtection="0">
      <alignment vertical="top"/>
    </xf>
    <xf numFmtId="0" fontId="2" fillId="0" borderId="0"/>
    <xf numFmtId="0" fontId="33" fillId="0" borderId="0"/>
    <xf numFmtId="164" fontId="34" fillId="0" borderId="0" applyFill="0" applyBorder="0" applyProtection="0">
      <alignment vertical="top"/>
    </xf>
    <xf numFmtId="179" fontId="34" fillId="0" borderId="0" applyFont="0" applyFill="0" applyBorder="0" applyProtection="0">
      <alignment vertical="top"/>
    </xf>
    <xf numFmtId="0" fontId="64" fillId="0" borderId="0" applyNumberFormat="0" applyFill="0" applyBorder="0" applyAlignment="0" applyProtection="0"/>
    <xf numFmtId="0" fontId="1" fillId="0" borderId="0"/>
  </cellStyleXfs>
  <cellXfs count="423">
    <xf numFmtId="0" fontId="0" fillId="0" borderId="0" xfId="0"/>
    <xf numFmtId="164" fontId="32" fillId="46" borderId="0" xfId="0" applyNumberFormat="1" applyFont="1" applyFill="1" applyAlignment="1">
      <alignment vertical="top"/>
    </xf>
    <xf numFmtId="0" fontId="33" fillId="0" borderId="0" xfId="0" applyFont="1"/>
    <xf numFmtId="0" fontId="38" fillId="0" borderId="0" xfId="0" applyFont="1"/>
    <xf numFmtId="0" fontId="38" fillId="48" borderId="10" xfId="0" applyFont="1" applyFill="1" applyBorder="1"/>
    <xf numFmtId="0" fontId="39" fillId="0" borderId="0" xfId="0" applyFont="1"/>
    <xf numFmtId="0" fontId="40" fillId="0" borderId="0" xfId="0" applyFont="1"/>
    <xf numFmtId="0" fontId="37" fillId="0" borderId="0" xfId="0" applyFont="1"/>
    <xf numFmtId="0" fontId="38" fillId="0" borderId="10" xfId="0" applyFont="1" applyBorder="1"/>
    <xf numFmtId="0" fontId="38" fillId="0" borderId="15" xfId="0" applyFont="1" applyBorder="1"/>
    <xf numFmtId="0" fontId="38" fillId="0" borderId="14" xfId="0" applyFont="1" applyBorder="1"/>
    <xf numFmtId="0" fontId="37" fillId="49" borderId="10" xfId="0" applyFont="1" applyFill="1" applyBorder="1" applyAlignment="1">
      <alignment wrapText="1"/>
    </xf>
    <xf numFmtId="0" fontId="37" fillId="49" borderId="13" xfId="0" applyFont="1" applyFill="1" applyBorder="1" applyAlignment="1">
      <alignment wrapText="1"/>
    </xf>
    <xf numFmtId="0" fontId="38" fillId="0" borderId="11" xfId="0" applyFont="1" applyBorder="1"/>
    <xf numFmtId="0" fontId="37" fillId="0" borderId="11" xfId="0" applyFont="1" applyBorder="1"/>
    <xf numFmtId="0" fontId="38" fillId="48" borderId="0" xfId="0" applyFont="1" applyFill="1" applyAlignment="1">
      <alignment wrapText="1"/>
    </xf>
    <xf numFmtId="0" fontId="0" fillId="0" borderId="10" xfId="0" applyBorder="1"/>
    <xf numFmtId="0" fontId="38" fillId="0" borderId="21" xfId="0" applyFont="1" applyBorder="1"/>
    <xf numFmtId="0" fontId="38" fillId="0" borderId="18" xfId="0" applyFont="1" applyBorder="1"/>
    <xf numFmtId="0" fontId="37" fillId="49" borderId="17" xfId="0" applyFont="1" applyFill="1" applyBorder="1" applyAlignment="1">
      <alignment wrapText="1"/>
    </xf>
    <xf numFmtId="0" fontId="0" fillId="0" borderId="0" xfId="0" applyAlignment="1">
      <alignment horizontal="center"/>
    </xf>
    <xf numFmtId="0" fontId="0" fillId="0" borderId="10" xfId="0" applyBorder="1" applyAlignment="1">
      <alignment horizontal="left" vertical="center"/>
    </xf>
    <xf numFmtId="0" fontId="0" fillId="0" borderId="10" xfId="0" applyBorder="1" applyAlignment="1">
      <alignment horizontal="left"/>
    </xf>
    <xf numFmtId="0" fontId="0" fillId="0" borderId="0" xfId="0" applyAlignment="1">
      <alignment vertical="center"/>
    </xf>
    <xf numFmtId="0" fontId="20" fillId="0" borderId="0" xfId="0" applyFont="1"/>
    <xf numFmtId="0" fontId="0" fillId="0" borderId="10" xfId="0" applyBorder="1" applyAlignment="1">
      <alignment vertical="center"/>
    </xf>
    <xf numFmtId="0" fontId="44" fillId="0" borderId="0" xfId="0" applyFont="1"/>
    <xf numFmtId="0" fontId="36" fillId="0" borderId="0" xfId="0" applyFont="1"/>
    <xf numFmtId="0" fontId="37" fillId="49" borderId="27" xfId="0" applyFont="1" applyFill="1" applyBorder="1" applyAlignment="1">
      <alignment wrapText="1"/>
    </xf>
    <xf numFmtId="0" fontId="47" fillId="0" borderId="0" xfId="75"/>
    <xf numFmtId="0" fontId="37" fillId="49" borderId="11" xfId="0" applyFont="1" applyFill="1" applyBorder="1" applyAlignment="1">
      <alignment wrapText="1"/>
    </xf>
    <xf numFmtId="0" fontId="49" fillId="0" borderId="0" xfId="0" applyFont="1"/>
    <xf numFmtId="172" fontId="0" fillId="0" borderId="0" xfId="0" applyNumberFormat="1"/>
    <xf numFmtId="0" fontId="41" fillId="0" borderId="0" xfId="0" applyFont="1"/>
    <xf numFmtId="0" fontId="37" fillId="0" borderId="0" xfId="0" applyFont="1" applyAlignment="1">
      <alignment wrapText="1"/>
    </xf>
    <xf numFmtId="44" fontId="37" fillId="49" borderId="10" xfId="76" applyFont="1" applyFill="1" applyBorder="1" applyAlignment="1">
      <alignment wrapText="1"/>
    </xf>
    <xf numFmtId="44" fontId="37" fillId="49" borderId="13" xfId="76" applyFont="1" applyFill="1" applyBorder="1" applyAlignment="1">
      <alignment wrapText="1"/>
    </xf>
    <xf numFmtId="0" fontId="35" fillId="0" borderId="0" xfId="0" applyFont="1"/>
    <xf numFmtId="0" fontId="38" fillId="0" borderId="43" xfId="0" applyFont="1" applyBorder="1"/>
    <xf numFmtId="0" fontId="37" fillId="0" borderId="10" xfId="0" applyFont="1" applyBorder="1"/>
    <xf numFmtId="172" fontId="38" fillId="0" borderId="19" xfId="76" applyNumberFormat="1" applyFont="1" applyBorder="1" applyAlignment="1">
      <alignment horizontal="center"/>
    </xf>
    <xf numFmtId="172" fontId="41" fillId="0" borderId="10" xfId="76" applyNumberFormat="1" applyFont="1" applyBorder="1" applyAlignment="1">
      <alignment horizontal="center"/>
    </xf>
    <xf numFmtId="172" fontId="38" fillId="0" borderId="0" xfId="0" applyNumberFormat="1" applyFont="1"/>
    <xf numFmtId="0" fontId="51" fillId="57" borderId="0" xfId="0" applyFont="1" applyFill="1"/>
    <xf numFmtId="0" fontId="51" fillId="0" borderId="0" xfId="0" applyFont="1"/>
    <xf numFmtId="0" fontId="37" fillId="0" borderId="10" xfId="0" applyFont="1" applyBorder="1" applyAlignment="1">
      <alignment horizontal="left"/>
    </xf>
    <xf numFmtId="0" fontId="35" fillId="48" borderId="0" xfId="0" applyFont="1" applyFill="1"/>
    <xf numFmtId="0" fontId="38" fillId="0" borderId="0" xfId="0" applyFont="1" applyAlignment="1">
      <alignment vertical="center" wrapText="1"/>
    </xf>
    <xf numFmtId="0" fontId="35" fillId="0" borderId="0" xfId="0" applyFont="1" applyAlignment="1">
      <alignment vertical="center"/>
    </xf>
    <xf numFmtId="0" fontId="38" fillId="57" borderId="0" xfId="0" applyFont="1" applyFill="1" applyAlignment="1">
      <alignment wrapText="1"/>
    </xf>
    <xf numFmtId="0" fontId="35" fillId="57" borderId="0" xfId="0" applyFont="1" applyFill="1"/>
    <xf numFmtId="170" fontId="38" fillId="0" borderId="10" xfId="76" applyNumberFormat="1" applyFont="1" applyBorder="1" applyAlignment="1">
      <alignment horizontal="center"/>
    </xf>
    <xf numFmtId="170" fontId="41" fillId="0" borderId="10" xfId="76" applyNumberFormat="1" applyFont="1" applyBorder="1" applyAlignment="1">
      <alignment horizontal="center"/>
    </xf>
    <xf numFmtId="170" fontId="38" fillId="0" borderId="0" xfId="0" applyNumberFormat="1" applyFont="1"/>
    <xf numFmtId="170" fontId="38" fillId="0" borderId="19" xfId="76" applyNumberFormat="1" applyFont="1" applyBorder="1" applyAlignment="1">
      <alignment horizontal="center"/>
    </xf>
    <xf numFmtId="170" fontId="38" fillId="0" borderId="12" xfId="76" applyNumberFormat="1" applyFont="1" applyBorder="1" applyAlignment="1">
      <alignment horizontal="center"/>
    </xf>
    <xf numFmtId="170" fontId="38" fillId="0" borderId="11" xfId="76" applyNumberFormat="1" applyFont="1" applyBorder="1" applyAlignment="1">
      <alignment horizontal="center"/>
    </xf>
    <xf numFmtId="0" fontId="0" fillId="58" borderId="0" xfId="0" applyFill="1"/>
    <xf numFmtId="0" fontId="38" fillId="0" borderId="0" xfId="0" applyFont="1" applyAlignment="1">
      <alignment wrapText="1"/>
    </xf>
    <xf numFmtId="0" fontId="37" fillId="49" borderId="21" xfId="0" applyFont="1" applyFill="1" applyBorder="1" applyAlignment="1">
      <alignment wrapText="1"/>
    </xf>
    <xf numFmtId="10" fontId="0" fillId="0" borderId="0" xfId="0" applyNumberFormat="1"/>
    <xf numFmtId="0" fontId="0" fillId="0" borderId="0" xfId="0" applyAlignment="1">
      <alignment textRotation="90"/>
    </xf>
    <xf numFmtId="0" fontId="37" fillId="49" borderId="45" xfId="0" applyFont="1" applyFill="1" applyBorder="1" applyAlignment="1">
      <alignment horizontal="center" vertical="center" wrapText="1"/>
    </xf>
    <xf numFmtId="0" fontId="37" fillId="49" borderId="46" xfId="0" applyFont="1" applyFill="1" applyBorder="1" applyAlignment="1">
      <alignment horizontal="center" vertical="center" wrapText="1"/>
    </xf>
    <xf numFmtId="0" fontId="38" fillId="0" borderId="47" xfId="0" applyFont="1" applyBorder="1"/>
    <xf numFmtId="0" fontId="38" fillId="0" borderId="49" xfId="0" applyFont="1" applyBorder="1"/>
    <xf numFmtId="0" fontId="38" fillId="0" borderId="11" xfId="0" applyFont="1" applyBorder="1" applyAlignment="1">
      <alignment horizontal="center"/>
    </xf>
    <xf numFmtId="170" fontId="38" fillId="0" borderId="11" xfId="0" applyNumberFormat="1" applyFont="1" applyBorder="1" applyAlignment="1">
      <alignment horizontal="center"/>
    </xf>
    <xf numFmtId="0" fontId="0" fillId="0" borderId="44" xfId="0" applyBorder="1" applyAlignment="1">
      <alignment horizontal="center"/>
    </xf>
    <xf numFmtId="164" fontId="53" fillId="60" borderId="0" xfId="81" applyFont="1" applyFill="1">
      <alignment vertical="top"/>
    </xf>
    <xf numFmtId="0" fontId="54" fillId="0" borderId="0" xfId="82" applyFont="1"/>
    <xf numFmtId="0" fontId="55" fillId="0" borderId="0" xfId="82" applyFont="1" applyAlignment="1">
      <alignment vertical="top"/>
    </xf>
    <xf numFmtId="0" fontId="56" fillId="0" borderId="0" xfId="82" applyFont="1" applyAlignment="1">
      <alignment vertical="top"/>
    </xf>
    <xf numFmtId="0" fontId="56" fillId="0" borderId="0" xfId="82" applyFont="1" applyAlignment="1">
      <alignment horizontal="center" vertical="top"/>
    </xf>
    <xf numFmtId="0" fontId="57" fillId="47" borderId="0" xfId="83" applyFont="1" applyFill="1" applyAlignment="1">
      <alignment vertical="center"/>
    </xf>
    <xf numFmtId="0" fontId="58" fillId="0" borderId="0" xfId="82" applyFont="1" applyAlignment="1">
      <alignment vertical="top"/>
    </xf>
    <xf numFmtId="0" fontId="59" fillId="0" borderId="0" xfId="82" applyFont="1" applyAlignment="1">
      <alignment vertical="top"/>
    </xf>
    <xf numFmtId="0" fontId="55" fillId="0" borderId="0" xfId="82" applyFont="1" applyAlignment="1">
      <alignment horizontal="centerContinuous" vertical="top"/>
    </xf>
    <xf numFmtId="0" fontId="60" fillId="0" borderId="0" xfId="82" applyFont="1" applyAlignment="1">
      <alignment horizontal="centerContinuous" vertical="top"/>
    </xf>
    <xf numFmtId="0" fontId="56" fillId="0" borderId="0" xfId="82" applyFont="1" applyAlignment="1">
      <alignment horizontal="centerContinuous" vertical="top"/>
    </xf>
    <xf numFmtId="0" fontId="55" fillId="0" borderId="0" xfId="82" applyFont="1" applyAlignment="1">
      <alignment horizontal="center" vertical="top"/>
    </xf>
    <xf numFmtId="0" fontId="54" fillId="0" borderId="0" xfId="82" applyFont="1" applyAlignment="1">
      <alignment vertical="top"/>
    </xf>
    <xf numFmtId="0" fontId="58" fillId="0" borderId="0" xfId="82" applyFont="1" applyAlignment="1">
      <alignment horizontal="centerContinuous" vertical="top"/>
    </xf>
    <xf numFmtId="0" fontId="59" fillId="0" borderId="0" xfId="82" applyFont="1" applyAlignment="1">
      <alignment horizontal="centerContinuous" vertical="top"/>
    </xf>
    <xf numFmtId="0" fontId="61" fillId="61" borderId="0" xfId="82" applyFont="1" applyFill="1" applyAlignment="1">
      <alignment vertical="top"/>
    </xf>
    <xf numFmtId="0" fontId="61" fillId="61" borderId="0" xfId="82" applyFont="1" applyFill="1" applyAlignment="1">
      <alignment wrapText="1"/>
    </xf>
    <xf numFmtId="0" fontId="61" fillId="61" borderId="0" xfId="82" applyFont="1" applyFill="1" applyAlignment="1">
      <alignment horizontal="left" vertical="center" wrapText="1"/>
    </xf>
    <xf numFmtId="0" fontId="61" fillId="61" borderId="0" xfId="82" applyFont="1" applyFill="1" applyAlignment="1">
      <alignment vertical="top" wrapText="1"/>
    </xf>
    <xf numFmtId="164" fontId="56" fillId="60" borderId="0" xfId="84" applyFont="1" applyFill="1">
      <alignment vertical="top"/>
    </xf>
    <xf numFmtId="164" fontId="56" fillId="0" borderId="0" xfId="84" applyFont="1" applyFill="1">
      <alignment vertical="top"/>
    </xf>
    <xf numFmtId="164" fontId="62" fillId="0" borderId="0" xfId="84" applyFont="1" applyFill="1">
      <alignment vertical="top"/>
    </xf>
    <xf numFmtId="164" fontId="63" fillId="0" borderId="0" xfId="84" applyFont="1" applyFill="1">
      <alignment vertical="top"/>
    </xf>
    <xf numFmtId="178" fontId="56" fillId="0" borderId="0" xfId="84" applyNumberFormat="1" applyFont="1" applyFill="1" applyAlignment="1">
      <alignment horizontal="left" vertical="top"/>
    </xf>
    <xf numFmtId="164" fontId="56" fillId="0" borderId="0" xfId="84" applyFont="1" applyFill="1" applyAlignment="1">
      <alignment horizontal="left" vertical="center"/>
    </xf>
    <xf numFmtId="180" fontId="56" fillId="0" borderId="0" xfId="85" applyNumberFormat="1" applyFont="1" applyFill="1" applyAlignment="1">
      <alignment horizontal="left" vertical="top"/>
    </xf>
    <xf numFmtId="164" fontId="64" fillId="0" borderId="0" xfId="86" applyNumberFormat="1" applyFill="1" applyAlignment="1">
      <alignment vertical="top"/>
    </xf>
    <xf numFmtId="164" fontId="54" fillId="0" borderId="0" xfId="81" applyFont="1" applyAlignment="1"/>
    <xf numFmtId="164" fontId="65" fillId="0" borderId="0" xfId="84" applyFont="1" applyFill="1">
      <alignment vertical="top"/>
    </xf>
    <xf numFmtId="164" fontId="66" fillId="0" borderId="0" xfId="84" applyFont="1" applyFill="1">
      <alignment vertical="top"/>
    </xf>
    <xf numFmtId="0" fontId="38" fillId="0" borderId="11" xfId="0" applyFont="1" applyBorder="1" applyAlignment="1">
      <alignment wrapText="1"/>
    </xf>
    <xf numFmtId="0" fontId="38" fillId="0" borderId="10" xfId="0" applyFont="1" applyBorder="1" applyAlignment="1">
      <alignment horizontal="left" vertical="center"/>
    </xf>
    <xf numFmtId="8" fontId="38" fillId="0" borderId="10" xfId="0" applyNumberFormat="1" applyFont="1" applyBorder="1" applyAlignment="1">
      <alignment horizontal="left" vertical="center"/>
    </xf>
    <xf numFmtId="9" fontId="38" fillId="0" borderId="10" xfId="0" applyNumberFormat="1" applyFont="1" applyBorder="1" applyAlignment="1">
      <alignment horizontal="left" vertical="center" wrapText="1"/>
    </xf>
    <xf numFmtId="8" fontId="38" fillId="0" borderId="10" xfId="0" applyNumberFormat="1" applyFont="1" applyBorder="1" applyAlignment="1">
      <alignment horizontal="left" vertical="center" wrapText="1"/>
    </xf>
    <xf numFmtId="0" fontId="38" fillId="0" borderId="0" xfId="0" applyFont="1" applyAlignment="1">
      <alignment horizontal="left" vertical="center" wrapText="1"/>
    </xf>
    <xf numFmtId="0" fontId="38" fillId="0" borderId="0" xfId="0" applyFont="1" applyAlignment="1">
      <alignment horizontal="left" vertical="center"/>
    </xf>
    <xf numFmtId="0" fontId="37" fillId="0" borderId="11" xfId="0" applyFont="1" applyBorder="1" applyAlignment="1">
      <alignment horizontal="left"/>
    </xf>
    <xf numFmtId="0" fontId="38" fillId="0" borderId="11" xfId="0" applyFont="1" applyBorder="1" applyAlignment="1">
      <alignment horizontal="left" vertical="center"/>
    </xf>
    <xf numFmtId="8" fontId="38" fillId="0" borderId="11" xfId="0" applyNumberFormat="1" applyFont="1" applyBorder="1" applyAlignment="1">
      <alignment horizontal="left" vertical="center"/>
    </xf>
    <xf numFmtId="9" fontId="38" fillId="0" borderId="11" xfId="0" applyNumberFormat="1" applyFont="1" applyBorder="1" applyAlignment="1">
      <alignment horizontal="left" vertical="center" wrapText="1"/>
    </xf>
    <xf numFmtId="8" fontId="38" fillId="0" borderId="11" xfId="0" applyNumberFormat="1" applyFont="1" applyBorder="1" applyAlignment="1">
      <alignment horizontal="left" vertical="center" wrapText="1"/>
    </xf>
    <xf numFmtId="0" fontId="43" fillId="53" borderId="11" xfId="0" applyFont="1" applyFill="1" applyBorder="1" applyAlignment="1">
      <alignment wrapText="1"/>
    </xf>
    <xf numFmtId="0" fontId="37" fillId="49" borderId="20" xfId="0" applyFont="1" applyFill="1" applyBorder="1" applyAlignment="1">
      <alignment wrapText="1"/>
    </xf>
    <xf numFmtId="9" fontId="38" fillId="0" borderId="22" xfId="0" applyNumberFormat="1" applyFont="1" applyBorder="1" applyAlignment="1">
      <alignment horizontal="left" vertical="center" wrapText="1"/>
    </xf>
    <xf numFmtId="176" fontId="38" fillId="0" borderId="10" xfId="0" applyNumberFormat="1" applyFont="1" applyBorder="1" applyAlignment="1">
      <alignment horizontal="left" vertical="center"/>
    </xf>
    <xf numFmtId="176" fontId="38" fillId="0" borderId="10" xfId="0" applyNumberFormat="1" applyFont="1" applyBorder="1" applyAlignment="1">
      <alignment horizontal="left" vertical="center" wrapText="1"/>
    </xf>
    <xf numFmtId="0" fontId="33" fillId="0" borderId="11" xfId="0" applyFont="1" applyBorder="1" applyAlignment="1">
      <alignment horizontal="center"/>
    </xf>
    <xf numFmtId="164" fontId="32" fillId="46" borderId="0" xfId="0" applyNumberFormat="1" applyFont="1" applyFill="1" applyAlignment="1">
      <alignment horizontal="left" vertical="top"/>
    </xf>
    <xf numFmtId="2" fontId="20" fillId="0" borderId="0" xfId="0" applyNumberFormat="1" applyFont="1"/>
    <xf numFmtId="0" fontId="38" fillId="0" borderId="34" xfId="0" applyFont="1" applyBorder="1"/>
    <xf numFmtId="2" fontId="33" fillId="0" borderId="10" xfId="0" applyNumberFormat="1" applyFont="1" applyBorder="1" applyAlignment="1">
      <alignment horizontal="center"/>
    </xf>
    <xf numFmtId="10" fontId="33" fillId="0" borderId="10" xfId="0" applyNumberFormat="1" applyFont="1" applyBorder="1" applyAlignment="1">
      <alignment horizontal="center"/>
    </xf>
    <xf numFmtId="1" fontId="33" fillId="0" borderId="15" xfId="0" applyNumberFormat="1" applyFont="1" applyBorder="1" applyAlignment="1">
      <alignment horizontal="center"/>
    </xf>
    <xf numFmtId="170" fontId="33" fillId="0" borderId="18" xfId="76" applyNumberFormat="1" applyFont="1" applyFill="1" applyBorder="1" applyAlignment="1">
      <alignment horizontal="center"/>
    </xf>
    <xf numFmtId="170" fontId="33" fillId="0" borderId="21" xfId="76" applyNumberFormat="1" applyFont="1" applyFill="1" applyBorder="1" applyAlignment="1">
      <alignment horizontal="center"/>
    </xf>
    <xf numFmtId="0" fontId="38" fillId="0" borderId="57" xfId="0" applyFont="1" applyBorder="1"/>
    <xf numFmtId="10" fontId="33" fillId="0" borderId="17" xfId="0" applyNumberFormat="1" applyFont="1" applyBorder="1" applyAlignment="1">
      <alignment horizontal="center"/>
    </xf>
    <xf numFmtId="170" fontId="33" fillId="0" borderId="27" xfId="76" applyNumberFormat="1" applyFont="1" applyFill="1" applyBorder="1" applyAlignment="1">
      <alignment horizontal="center"/>
    </xf>
    <xf numFmtId="2" fontId="67" fillId="0" borderId="52" xfId="0" applyNumberFormat="1" applyFont="1" applyBorder="1"/>
    <xf numFmtId="2" fontId="67" fillId="0" borderId="53" xfId="0" applyNumberFormat="1" applyFont="1" applyBorder="1" applyAlignment="1">
      <alignment horizontal="center"/>
    </xf>
    <xf numFmtId="175" fontId="67" fillId="0" borderId="53" xfId="0" applyNumberFormat="1" applyFont="1" applyBorder="1" applyAlignment="1">
      <alignment horizontal="center"/>
    </xf>
    <xf numFmtId="0" fontId="33" fillId="0" borderId="0" xfId="0" applyFont="1" applyAlignment="1">
      <alignment wrapText="1"/>
    </xf>
    <xf numFmtId="0" fontId="38" fillId="0" borderId="10" xfId="0" applyFont="1" applyBorder="1" applyAlignment="1">
      <alignment wrapText="1"/>
    </xf>
    <xf numFmtId="0" fontId="38" fillId="0" borderId="10" xfId="0" applyFont="1" applyBorder="1" applyAlignment="1">
      <alignment horizontal="left" wrapText="1"/>
    </xf>
    <xf numFmtId="0" fontId="41" fillId="0" borderId="10" xfId="0" applyFont="1" applyBorder="1"/>
    <xf numFmtId="173" fontId="38" fillId="0" borderId="20" xfId="2" applyNumberFormat="1" applyFont="1" applyBorder="1" applyAlignment="1">
      <alignment horizontal="center"/>
    </xf>
    <xf numFmtId="0" fontId="41" fillId="0" borderId="20" xfId="0" applyFont="1" applyBorder="1" applyAlignment="1">
      <alignment horizontal="center"/>
    </xf>
    <xf numFmtId="170" fontId="33" fillId="0" borderId="11" xfId="0" applyNumberFormat="1" applyFont="1" applyBorder="1" applyAlignment="1">
      <alignment horizontal="center" wrapText="1"/>
    </xf>
    <xf numFmtId="10" fontId="33" fillId="0" borderId="20" xfId="0" applyNumberFormat="1" applyFont="1" applyBorder="1" applyAlignment="1">
      <alignment horizontal="center"/>
    </xf>
    <xf numFmtId="0" fontId="33" fillId="0" borderId="10" xfId="0" applyFont="1" applyBorder="1" applyAlignment="1">
      <alignment horizontal="center"/>
    </xf>
    <xf numFmtId="170" fontId="33" fillId="0" borderId="10" xfId="0" applyNumberFormat="1" applyFont="1" applyBorder="1" applyAlignment="1">
      <alignment horizontal="center"/>
    </xf>
    <xf numFmtId="172" fontId="33" fillId="0" borderId="11" xfId="0" applyNumberFormat="1" applyFont="1" applyBorder="1" applyAlignment="1">
      <alignment horizontal="center"/>
    </xf>
    <xf numFmtId="170" fontId="33" fillId="0" borderId="11" xfId="0" applyNumberFormat="1" applyFont="1" applyBorder="1" applyAlignment="1">
      <alignment horizontal="center"/>
    </xf>
    <xf numFmtId="0" fontId="0" fillId="0" borderId="10" xfId="0" applyBorder="1" applyAlignment="1">
      <alignment vertical="top"/>
    </xf>
    <xf numFmtId="170" fontId="67" fillId="0" borderId="53" xfId="0" applyNumberFormat="1" applyFont="1" applyBorder="1" applyAlignment="1">
      <alignment horizontal="center"/>
    </xf>
    <xf numFmtId="170" fontId="33" fillId="0" borderId="15" xfId="0" applyNumberFormat="1" applyFont="1" applyBorder="1" applyAlignment="1">
      <alignment horizontal="center"/>
    </xf>
    <xf numFmtId="170" fontId="36" fillId="0" borderId="0" xfId="0" applyNumberFormat="1" applyFont="1"/>
    <xf numFmtId="174" fontId="36" fillId="0" borderId="0" xfId="0" applyNumberFormat="1" applyFont="1"/>
    <xf numFmtId="1" fontId="33" fillId="0" borderId="59" xfId="0" applyNumberFormat="1" applyFont="1" applyBorder="1" applyAlignment="1">
      <alignment horizontal="center"/>
    </xf>
    <xf numFmtId="170" fontId="33" fillId="0" borderId="60" xfId="76" applyNumberFormat="1" applyFont="1" applyFill="1" applyBorder="1" applyAlignment="1">
      <alignment horizontal="center"/>
    </xf>
    <xf numFmtId="170" fontId="33" fillId="0" borderId="35" xfId="76" applyNumberFormat="1" applyFont="1" applyFill="1" applyBorder="1" applyAlignment="1">
      <alignment horizontal="center"/>
    </xf>
    <xf numFmtId="1" fontId="33" fillId="0" borderId="61" xfId="0" applyNumberFormat="1" applyFont="1" applyBorder="1" applyAlignment="1">
      <alignment horizontal="center"/>
    </xf>
    <xf numFmtId="170" fontId="33" fillId="0" borderId="62" xfId="0" applyNumberFormat="1" applyFont="1" applyBorder="1" applyAlignment="1">
      <alignment horizontal="center"/>
    </xf>
    <xf numFmtId="170" fontId="33" fillId="0" borderId="37" xfId="76" applyNumberFormat="1" applyFont="1" applyFill="1" applyBorder="1" applyAlignment="1">
      <alignment horizontal="center"/>
    </xf>
    <xf numFmtId="170" fontId="33" fillId="0" borderId="63" xfId="0" applyNumberFormat="1" applyFont="1" applyBorder="1" applyAlignment="1">
      <alignment horizontal="center"/>
    </xf>
    <xf numFmtId="0" fontId="38" fillId="0" borderId="0" xfId="0" applyFont="1" applyAlignment="1">
      <alignment horizontal="center"/>
    </xf>
    <xf numFmtId="170" fontId="41" fillId="0" borderId="13" xfId="76" applyNumberFormat="1" applyFont="1" applyBorder="1" applyAlignment="1">
      <alignment horizontal="center"/>
    </xf>
    <xf numFmtId="172" fontId="38" fillId="0" borderId="10" xfId="76" applyNumberFormat="1" applyFont="1" applyBorder="1" applyAlignment="1">
      <alignment horizontal="center"/>
    </xf>
    <xf numFmtId="0" fontId="38" fillId="48" borderId="10" xfId="0" applyFont="1" applyFill="1" applyBorder="1" applyAlignment="1">
      <alignment vertical="center"/>
    </xf>
    <xf numFmtId="0" fontId="33" fillId="0" borderId="10" xfId="0" applyFont="1" applyBorder="1"/>
    <xf numFmtId="172" fontId="33" fillId="56" borderId="10" xfId="76" applyNumberFormat="1" applyFont="1" applyFill="1" applyBorder="1"/>
    <xf numFmtId="173" fontId="33" fillId="56" borderId="10" xfId="2" applyNumberFormat="1" applyFont="1" applyFill="1" applyBorder="1"/>
    <xf numFmtId="173" fontId="33" fillId="51" borderId="10" xfId="2" applyNumberFormat="1" applyFont="1" applyFill="1" applyBorder="1"/>
    <xf numFmtId="10" fontId="33" fillId="0" borderId="10" xfId="0" applyNumberFormat="1" applyFont="1" applyBorder="1"/>
    <xf numFmtId="170" fontId="33" fillId="0" borderId="10" xfId="76" applyNumberFormat="1" applyFont="1" applyBorder="1"/>
    <xf numFmtId="0" fontId="69" fillId="0" borderId="0" xfId="0" applyFont="1"/>
    <xf numFmtId="0" fontId="70" fillId="0" borderId="0" xfId="0" applyFont="1"/>
    <xf numFmtId="0" fontId="33" fillId="56" borderId="10" xfId="0" applyFont="1" applyFill="1" applyBorder="1"/>
    <xf numFmtId="170" fontId="33" fillId="0" borderId="10" xfId="0" applyNumberFormat="1" applyFont="1" applyBorder="1"/>
    <xf numFmtId="170" fontId="33" fillId="51" borderId="10" xfId="0" applyNumberFormat="1" applyFont="1" applyFill="1" applyBorder="1"/>
    <xf numFmtId="170" fontId="33" fillId="51" borderId="10" xfId="76" applyNumberFormat="1" applyFont="1" applyFill="1" applyBorder="1"/>
    <xf numFmtId="0" fontId="33" fillId="0" borderId="48" xfId="0" applyFont="1" applyBorder="1" applyAlignment="1">
      <alignment horizontal="center"/>
    </xf>
    <xf numFmtId="170" fontId="38" fillId="0" borderId="44" xfId="0" applyNumberFormat="1" applyFont="1" applyBorder="1" applyAlignment="1">
      <alignment horizontal="center"/>
    </xf>
    <xf numFmtId="1" fontId="38" fillId="0" borderId="11" xfId="0" applyNumberFormat="1" applyFont="1" applyBorder="1" applyAlignment="1">
      <alignment horizontal="center"/>
    </xf>
    <xf numFmtId="10" fontId="33" fillId="0" borderId="11" xfId="0" applyNumberFormat="1" applyFont="1" applyBorder="1" applyAlignment="1">
      <alignment horizontal="center"/>
    </xf>
    <xf numFmtId="10" fontId="38" fillId="0" borderId="11" xfId="0" applyNumberFormat="1" applyFont="1" applyBorder="1" applyAlignment="1">
      <alignment horizontal="center"/>
    </xf>
    <xf numFmtId="10" fontId="38" fillId="0" borderId="44" xfId="0" applyNumberFormat="1" applyFont="1" applyBorder="1" applyAlignment="1">
      <alignment horizontal="center"/>
    </xf>
    <xf numFmtId="0" fontId="41" fillId="53" borderId="0" xfId="0" applyFont="1" applyFill="1"/>
    <xf numFmtId="0" fontId="41" fillId="53" borderId="41" xfId="0" applyFont="1" applyFill="1" applyBorder="1"/>
    <xf numFmtId="0" fontId="41" fillId="50" borderId="41" xfId="0" applyFont="1" applyFill="1" applyBorder="1"/>
    <xf numFmtId="0" fontId="41" fillId="50" borderId="26" xfId="0" applyFont="1" applyFill="1" applyBorder="1"/>
    <xf numFmtId="0" fontId="33" fillId="0" borderId="42" xfId="0" applyFont="1" applyBorder="1"/>
    <xf numFmtId="2" fontId="33" fillId="0" borderId="27" xfId="0" applyNumberFormat="1" applyFont="1" applyBorder="1"/>
    <xf numFmtId="0" fontId="41" fillId="53" borderId="15" xfId="0" applyFont="1" applyFill="1" applyBorder="1"/>
    <xf numFmtId="0" fontId="41" fillId="53" borderId="14" xfId="0" applyFont="1" applyFill="1" applyBorder="1"/>
    <xf numFmtId="0" fontId="33" fillId="0" borderId="27" xfId="0" applyFont="1" applyBorder="1"/>
    <xf numFmtId="0" fontId="33" fillId="0" borderId="28" xfId="0" applyFont="1" applyBorder="1"/>
    <xf numFmtId="170" fontId="33" fillId="0" borderId="29" xfId="0" applyNumberFormat="1" applyFont="1" applyBorder="1"/>
    <xf numFmtId="0" fontId="33" fillId="0" borderId="29" xfId="0" applyFont="1" applyBorder="1"/>
    <xf numFmtId="2" fontId="33" fillId="0" borderId="29" xfId="0" applyNumberFormat="1" applyFont="1" applyBorder="1"/>
    <xf numFmtId="170" fontId="33" fillId="0" borderId="28" xfId="0" applyNumberFormat="1" applyFont="1" applyBorder="1"/>
    <xf numFmtId="0" fontId="41" fillId="50" borderId="0" xfId="0" applyFont="1" applyFill="1"/>
    <xf numFmtId="2" fontId="33" fillId="0" borderId="28" xfId="0" applyNumberFormat="1" applyFont="1" applyBorder="1"/>
    <xf numFmtId="2" fontId="33" fillId="0" borderId="26" xfId="0" applyNumberFormat="1" applyFont="1" applyBorder="1"/>
    <xf numFmtId="0" fontId="37" fillId="62" borderId="10" xfId="0" applyFont="1" applyFill="1" applyBorder="1" applyAlignment="1">
      <alignment horizontal="center" wrapText="1"/>
    </xf>
    <xf numFmtId="0" fontId="38" fillId="0" borderId="21" xfId="0" applyFont="1" applyBorder="1" applyAlignment="1">
      <alignment horizontal="center"/>
    </xf>
    <xf numFmtId="170" fontId="38" fillId="0" borderId="10" xfId="0" applyNumberFormat="1" applyFont="1" applyBorder="1" applyAlignment="1">
      <alignment horizontal="center"/>
    </xf>
    <xf numFmtId="0" fontId="38" fillId="0" borderId="10" xfId="0" applyFont="1" applyBorder="1" applyAlignment="1">
      <alignment horizontal="center"/>
    </xf>
    <xf numFmtId="170" fontId="38" fillId="0" borderId="17" xfId="0" applyNumberFormat="1" applyFont="1" applyBorder="1" applyAlignment="1">
      <alignment horizontal="center"/>
    </xf>
    <xf numFmtId="0" fontId="33" fillId="0" borderId="0" xfId="0" applyFont="1" applyAlignment="1">
      <alignment horizontal="center"/>
    </xf>
    <xf numFmtId="2" fontId="38" fillId="0" borderId="10" xfId="0" applyNumberFormat="1" applyFont="1" applyBorder="1" applyAlignment="1">
      <alignment horizontal="center"/>
    </xf>
    <xf numFmtId="0" fontId="37" fillId="62" borderId="20" xfId="0" applyFont="1" applyFill="1" applyBorder="1" applyAlignment="1">
      <alignment horizontal="center" wrapText="1"/>
    </xf>
    <xf numFmtId="170" fontId="38" fillId="0" borderId="18" xfId="0" applyNumberFormat="1" applyFont="1" applyBorder="1" applyAlignment="1">
      <alignment horizontal="center"/>
    </xf>
    <xf numFmtId="0" fontId="38" fillId="0" borderId="23" xfId="0" applyFont="1" applyBorder="1" applyAlignment="1">
      <alignment horizontal="center"/>
    </xf>
    <xf numFmtId="170" fontId="38" fillId="0" borderId="23" xfId="0" applyNumberFormat="1" applyFont="1" applyBorder="1" applyAlignment="1">
      <alignment horizontal="center"/>
    </xf>
    <xf numFmtId="170" fontId="38" fillId="0" borderId="14" xfId="0" applyNumberFormat="1" applyFont="1" applyBorder="1" applyAlignment="1">
      <alignment horizontal="center"/>
    </xf>
    <xf numFmtId="0" fontId="41" fillId="62" borderId="10" xfId="0" applyFont="1" applyFill="1" applyBorder="1" applyAlignment="1">
      <alignment horizontal="center"/>
    </xf>
    <xf numFmtId="0" fontId="38" fillId="0" borderId="18" xfId="0" applyFont="1" applyBorder="1" applyAlignment="1">
      <alignment horizontal="center"/>
    </xf>
    <xf numFmtId="0" fontId="0" fillId="0" borderId="0" xfId="0" applyAlignment="1">
      <alignment horizontal="left"/>
    </xf>
    <xf numFmtId="0" fontId="33" fillId="0" borderId="10" xfId="0" applyFont="1" applyBorder="1" applyAlignment="1">
      <alignment horizontal="center" vertical="top"/>
    </xf>
    <xf numFmtId="0" fontId="33" fillId="0" borderId="10" xfId="0" applyFont="1" applyBorder="1" applyAlignment="1">
      <alignment horizontal="left" vertical="top"/>
    </xf>
    <xf numFmtId="1" fontId="67" fillId="0" borderId="36" xfId="0" applyNumberFormat="1" applyFont="1" applyBorder="1" applyAlignment="1">
      <alignment horizontal="center"/>
    </xf>
    <xf numFmtId="0" fontId="71" fillId="0" borderId="0" xfId="73" applyFont="1"/>
    <xf numFmtId="0" fontId="72" fillId="0" borderId="0" xfId="77" applyFont="1"/>
    <xf numFmtId="171" fontId="72" fillId="55" borderId="0" xfId="77" applyNumberFormat="1" applyFont="1" applyFill="1"/>
    <xf numFmtId="0" fontId="43" fillId="53" borderId="10" xfId="0" applyFont="1" applyFill="1" applyBorder="1" applyAlignment="1">
      <alignment wrapText="1"/>
    </xf>
    <xf numFmtId="0" fontId="73" fillId="63" borderId="65" xfId="0" applyFont="1" applyFill="1" applyBorder="1"/>
    <xf numFmtId="0" fontId="73" fillId="64" borderId="65" xfId="0" applyFont="1" applyFill="1" applyBorder="1"/>
    <xf numFmtId="0" fontId="73" fillId="63" borderId="66" xfId="0" applyFont="1" applyFill="1" applyBorder="1" applyAlignment="1">
      <alignment wrapText="1"/>
    </xf>
    <xf numFmtId="0" fontId="73" fillId="64" borderId="66" xfId="0" applyFont="1" applyFill="1" applyBorder="1" applyAlignment="1">
      <alignment wrapText="1"/>
    </xf>
    <xf numFmtId="0" fontId="38" fillId="53" borderId="11" xfId="0" applyFont="1" applyFill="1" applyBorder="1" applyAlignment="1">
      <alignment horizontal="left" vertical="center" wrapText="1"/>
    </xf>
    <xf numFmtId="0" fontId="38" fillId="0" borderId="11" xfId="0" applyFont="1" applyBorder="1" applyAlignment="1">
      <alignment horizontal="center" vertical="center" wrapText="1"/>
    </xf>
    <xf numFmtId="9" fontId="38" fillId="0" borderId="11" xfId="0" applyNumberFormat="1" applyFont="1" applyBorder="1" applyAlignment="1">
      <alignment horizontal="center" vertical="center" wrapText="1"/>
    </xf>
    <xf numFmtId="0" fontId="38" fillId="0" borderId="11" xfId="0" applyFont="1" applyBorder="1" applyAlignment="1">
      <alignment vertical="center" wrapText="1"/>
    </xf>
    <xf numFmtId="0" fontId="38" fillId="53" borderId="21" xfId="0" applyFont="1" applyFill="1" applyBorder="1" applyAlignment="1">
      <alignment horizontal="left" vertical="center" wrapText="1"/>
    </xf>
    <xf numFmtId="0" fontId="38" fillId="0" borderId="14" xfId="0" applyFont="1" applyBorder="1" applyAlignment="1">
      <alignment horizontal="center" vertical="center" wrapText="1"/>
    </xf>
    <xf numFmtId="0" fontId="38" fillId="0" borderId="10" xfId="0" applyFont="1" applyBorder="1" applyAlignment="1">
      <alignment horizontal="center" vertical="center" wrapText="1"/>
    </xf>
    <xf numFmtId="9"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38" fillId="53" borderId="10" xfId="0" applyFont="1" applyFill="1" applyBorder="1" applyAlignment="1">
      <alignment horizontal="left" vertical="center" wrapText="1"/>
    </xf>
    <xf numFmtId="0" fontId="45" fillId="54" borderId="0" xfId="0" applyFont="1" applyFill="1"/>
    <xf numFmtId="0" fontId="74" fillId="0" borderId="10" xfId="0" applyFont="1" applyBorder="1" applyAlignment="1">
      <alignment horizontal="center" vertical="top"/>
    </xf>
    <xf numFmtId="0" fontId="75" fillId="0" borderId="10" xfId="73" applyFont="1" applyBorder="1" applyAlignment="1">
      <alignment horizontal="center" vertical="top"/>
    </xf>
    <xf numFmtId="0" fontId="34" fillId="0" borderId="10" xfId="0" applyFont="1" applyBorder="1" applyAlignment="1">
      <alignment horizontal="center" vertical="top"/>
    </xf>
    <xf numFmtId="0" fontId="34" fillId="0" borderId="11" xfId="0" applyFont="1" applyBorder="1" applyAlignment="1">
      <alignment vertical="center" wrapText="1"/>
    </xf>
    <xf numFmtId="10" fontId="0" fillId="0" borderId="0" xfId="2" applyFont="1"/>
    <xf numFmtId="170" fontId="34" fillId="0" borderId="11" xfId="0" applyNumberFormat="1" applyFont="1" applyBorder="1" applyAlignment="1">
      <alignment horizontal="center" wrapText="1"/>
    </xf>
    <xf numFmtId="170" fontId="34" fillId="0" borderId="11" xfId="0" applyNumberFormat="1" applyFont="1" applyBorder="1" applyAlignment="1">
      <alignment horizontal="center"/>
    </xf>
    <xf numFmtId="1" fontId="33" fillId="0" borderId="62" xfId="0" applyNumberFormat="1" applyFont="1" applyBorder="1" applyAlignment="1">
      <alignment horizontal="center"/>
    </xf>
    <xf numFmtId="170" fontId="33" fillId="0" borderId="16" xfId="0" applyNumberFormat="1" applyFont="1" applyBorder="1" applyAlignment="1">
      <alignment horizontal="center"/>
    </xf>
    <xf numFmtId="0" fontId="38" fillId="0" borderId="10" xfId="0" applyFont="1" applyBorder="1" applyAlignment="1">
      <alignment horizontal="center" vertical="top"/>
    </xf>
    <xf numFmtId="0" fontId="38" fillId="0" borderId="10" xfId="0" applyFont="1" applyBorder="1" applyAlignment="1">
      <alignment horizontal="left" vertical="top"/>
    </xf>
    <xf numFmtId="0" fontId="39" fillId="0" borderId="10" xfId="0" applyFont="1" applyBorder="1" applyAlignment="1">
      <alignment horizontal="center" vertical="top"/>
    </xf>
    <xf numFmtId="0" fontId="35" fillId="0" borderId="10" xfId="0" applyFont="1" applyBorder="1" applyAlignment="1">
      <alignment vertical="top"/>
    </xf>
    <xf numFmtId="0" fontId="37" fillId="0" borderId="26" xfId="0" applyFont="1" applyBorder="1" applyAlignment="1">
      <alignment horizontal="center"/>
    </xf>
    <xf numFmtId="170" fontId="33" fillId="0" borderId="72" xfId="0" applyNumberFormat="1" applyFont="1" applyBorder="1" applyAlignment="1">
      <alignment horizontal="center"/>
    </xf>
    <xf numFmtId="0" fontId="22" fillId="0" borderId="0" xfId="0" applyFont="1"/>
    <xf numFmtId="0" fontId="34" fillId="0" borderId="26" xfId="0" applyFont="1" applyBorder="1" applyAlignment="1">
      <alignment horizontal="left" vertical="top"/>
    </xf>
    <xf numFmtId="44" fontId="0" fillId="0" borderId="0" xfId="0" applyNumberFormat="1"/>
    <xf numFmtId="10" fontId="36" fillId="0" borderId="0" xfId="2" applyFont="1" applyFill="1" applyBorder="1"/>
    <xf numFmtId="10" fontId="36" fillId="0" borderId="0" xfId="2" applyFont="1"/>
    <xf numFmtId="10" fontId="36" fillId="0" borderId="0" xfId="0" applyNumberFormat="1" applyFont="1"/>
    <xf numFmtId="170" fontId="0" fillId="0" borderId="0" xfId="0" applyNumberFormat="1"/>
    <xf numFmtId="1" fontId="33" fillId="0" borderId="76" xfId="0" applyNumberFormat="1" applyFont="1" applyBorder="1" applyAlignment="1">
      <alignment horizontal="center"/>
    </xf>
    <xf numFmtId="0" fontId="38" fillId="0" borderId="77" xfId="0" applyFont="1" applyBorder="1" applyAlignment="1">
      <alignment wrapText="1"/>
    </xf>
    <xf numFmtId="0" fontId="38" fillId="0" borderId="78" xfId="0" applyFont="1" applyBorder="1" applyAlignment="1">
      <alignment wrapText="1"/>
    </xf>
    <xf numFmtId="0" fontId="38" fillId="0" borderId="79" xfId="0" applyFont="1" applyBorder="1" applyAlignment="1">
      <alignment wrapText="1"/>
    </xf>
    <xf numFmtId="2" fontId="0" fillId="0" borderId="73" xfId="0" applyNumberFormat="1" applyBorder="1"/>
    <xf numFmtId="2" fontId="0" fillId="0" borderId="74" xfId="0" applyNumberFormat="1" applyBorder="1"/>
    <xf numFmtId="2" fontId="0" fillId="0" borderId="75" xfId="0" applyNumberFormat="1" applyBorder="1"/>
    <xf numFmtId="2" fontId="0" fillId="0" borderId="0" xfId="0" applyNumberFormat="1"/>
    <xf numFmtId="0" fontId="76" fillId="0" borderId="0" xfId="0" applyFont="1"/>
    <xf numFmtId="170" fontId="38" fillId="0" borderId="19" xfId="76" applyNumberFormat="1" applyFont="1" applyFill="1" applyBorder="1" applyAlignment="1">
      <alignment horizontal="center"/>
    </xf>
    <xf numFmtId="181" fontId="36" fillId="0" borderId="0" xfId="76" applyNumberFormat="1" applyFont="1" applyFill="1" applyBorder="1"/>
    <xf numFmtId="170" fontId="34" fillId="0" borderId="28" xfId="0" applyNumberFormat="1" applyFont="1" applyBorder="1"/>
    <xf numFmtId="170" fontId="34" fillId="0" borderId="29" xfId="0" applyNumberFormat="1" applyFont="1" applyBorder="1"/>
    <xf numFmtId="0" fontId="34" fillId="0" borderId="0" xfId="0" applyFont="1"/>
    <xf numFmtId="0" fontId="77" fillId="0" borderId="0" xfId="0" applyFont="1"/>
    <xf numFmtId="176" fontId="38" fillId="0" borderId="11" xfId="0" applyNumberFormat="1" applyFont="1" applyBorder="1" applyAlignment="1">
      <alignment horizontal="left" vertical="center" wrapText="1"/>
    </xf>
    <xf numFmtId="2" fontId="33" fillId="56" borderId="10" xfId="76" applyNumberFormat="1" applyFont="1" applyFill="1" applyBorder="1"/>
    <xf numFmtId="0" fontId="78" fillId="0" borderId="0" xfId="0" applyFont="1"/>
    <xf numFmtId="0" fontId="37" fillId="49" borderId="83" xfId="0" applyFont="1" applyFill="1" applyBorder="1" applyAlignment="1">
      <alignment horizontal="center" wrapText="1"/>
    </xf>
    <xf numFmtId="175" fontId="38" fillId="0" borderId="0" xfId="0" applyNumberFormat="1" applyFont="1" applyAlignment="1">
      <alignment horizontal="center"/>
    </xf>
    <xf numFmtId="170" fontId="38" fillId="0" borderId="16" xfId="76" applyNumberFormat="1" applyFont="1" applyBorder="1" applyAlignment="1">
      <alignment horizontal="center"/>
    </xf>
    <xf numFmtId="0" fontId="37" fillId="0" borderId="0" xfId="0" applyFont="1" applyAlignment="1">
      <alignment horizontal="center" wrapText="1"/>
    </xf>
    <xf numFmtId="0" fontId="37" fillId="0" borderId="0" xfId="0" applyFont="1" applyAlignment="1">
      <alignment horizontal="center" vertical="center" wrapText="1"/>
    </xf>
    <xf numFmtId="0" fontId="37" fillId="66" borderId="11" xfId="0" applyFont="1" applyFill="1" applyBorder="1" applyAlignment="1">
      <alignment horizontal="center" vertical="center" wrapText="1"/>
    </xf>
    <xf numFmtId="170" fontId="38" fillId="0" borderId="14" xfId="0" applyNumberFormat="1" applyFont="1" applyBorder="1"/>
    <xf numFmtId="0" fontId="37" fillId="49" borderId="84" xfId="0" applyFont="1" applyFill="1" applyBorder="1" applyAlignment="1">
      <alignment wrapText="1"/>
    </xf>
    <xf numFmtId="0" fontId="37" fillId="49" borderId="85" xfId="0" applyFont="1" applyFill="1" applyBorder="1" applyAlignment="1">
      <alignment horizontal="center" vertical="center" wrapText="1"/>
    </xf>
    <xf numFmtId="1" fontId="38" fillId="0" borderId="44" xfId="0" applyNumberFormat="1" applyFont="1" applyBorder="1" applyAlignment="1">
      <alignment horizontal="center"/>
    </xf>
    <xf numFmtId="10" fontId="33" fillId="0" borderId="44" xfId="0" applyNumberFormat="1" applyFont="1" applyBorder="1" applyAlignment="1">
      <alignment horizontal="center"/>
    </xf>
    <xf numFmtId="0" fontId="33" fillId="0" borderId="44" xfId="0" applyFont="1" applyBorder="1" applyAlignment="1">
      <alignment horizontal="center"/>
    </xf>
    <xf numFmtId="0" fontId="33" fillId="0" borderId="86" xfId="0" applyFont="1" applyBorder="1" applyAlignment="1">
      <alignment horizontal="center"/>
    </xf>
    <xf numFmtId="0" fontId="37" fillId="49" borderId="82" xfId="0" applyFont="1" applyFill="1" applyBorder="1" applyAlignment="1">
      <alignment horizontal="center" vertical="center" wrapText="1"/>
    </xf>
    <xf numFmtId="170" fontId="0" fillId="0" borderId="11" xfId="0" applyNumberFormat="1" applyBorder="1"/>
    <xf numFmtId="170" fontId="38" fillId="0" borderId="18" xfId="0" applyNumberFormat="1" applyFont="1" applyBorder="1"/>
    <xf numFmtId="0" fontId="37" fillId="66" borderId="20" xfId="0" applyFont="1" applyFill="1" applyBorder="1" applyAlignment="1">
      <alignment horizontal="center" vertical="center" wrapText="1"/>
    </xf>
    <xf numFmtId="170" fontId="0" fillId="0" borderId="23" xfId="0" applyNumberFormat="1" applyBorder="1"/>
    <xf numFmtId="10" fontId="0" fillId="0" borderId="11" xfId="0" applyNumberFormat="1" applyBorder="1"/>
    <xf numFmtId="164" fontId="32" fillId="60" borderId="0" xfId="81" applyFont="1" applyFill="1">
      <alignment vertical="top"/>
    </xf>
    <xf numFmtId="171" fontId="33" fillId="55" borderId="0" xfId="0" applyNumberFormat="1" applyFont="1" applyFill="1"/>
    <xf numFmtId="0" fontId="33" fillId="55" borderId="0" xfId="0" applyFont="1" applyFill="1"/>
    <xf numFmtId="3" fontId="33" fillId="55" borderId="0" xfId="0" applyNumberFormat="1" applyFont="1" applyFill="1"/>
    <xf numFmtId="0" fontId="79" fillId="0" borderId="0" xfId="0" applyFont="1"/>
    <xf numFmtId="0" fontId="41" fillId="54" borderId="0" xfId="0" applyFont="1" applyFill="1"/>
    <xf numFmtId="0" fontId="80" fillId="0" borderId="0" xfId="73" applyFont="1"/>
    <xf numFmtId="0" fontId="79" fillId="0" borderId="0" xfId="77" applyFont="1"/>
    <xf numFmtId="0" fontId="33" fillId="0" borderId="0" xfId="77" applyFont="1"/>
    <xf numFmtId="0" fontId="41" fillId="54" borderId="0" xfId="73" applyFont="1" applyFill="1"/>
    <xf numFmtId="0" fontId="41" fillId="54" borderId="0" xfId="77" applyFont="1" applyFill="1"/>
    <xf numFmtId="171" fontId="33" fillId="55" borderId="0" xfId="77" applyNumberFormat="1" applyFont="1" applyFill="1"/>
    <xf numFmtId="4" fontId="38" fillId="59" borderId="0" xfId="0" applyNumberFormat="1" applyFont="1" applyFill="1"/>
    <xf numFmtId="0" fontId="38" fillId="59" borderId="0" xfId="0" applyFont="1" applyFill="1"/>
    <xf numFmtId="0" fontId="41" fillId="52" borderId="0" xfId="0" applyFont="1" applyFill="1"/>
    <xf numFmtId="10" fontId="38" fillId="59" borderId="0" xfId="0" applyNumberFormat="1" applyFont="1" applyFill="1"/>
    <xf numFmtId="0" fontId="37" fillId="62" borderId="14" xfId="0" applyFont="1" applyFill="1" applyBorder="1" applyAlignment="1">
      <alignment horizontal="center" wrapText="1"/>
    </xf>
    <xf numFmtId="4" fontId="38" fillId="0" borderId="0" xfId="0" applyNumberFormat="1" applyFont="1"/>
    <xf numFmtId="43" fontId="38" fillId="0" borderId="0" xfId="0" applyNumberFormat="1" applyFont="1"/>
    <xf numFmtId="171" fontId="38" fillId="0" borderId="0" xfId="0" applyNumberFormat="1" applyFont="1"/>
    <xf numFmtId="0" fontId="67" fillId="65" borderId="0" xfId="0" applyFont="1" applyFill="1"/>
    <xf numFmtId="173" fontId="38" fillId="0" borderId="20" xfId="2" applyNumberFormat="1" applyFont="1" applyFill="1" applyBorder="1" applyAlignment="1">
      <alignment horizontal="center"/>
    </xf>
    <xf numFmtId="0" fontId="68" fillId="0" borderId="0" xfId="0" applyFont="1" applyAlignment="1">
      <alignment horizontal="center"/>
    </xf>
    <xf numFmtId="170" fontId="67" fillId="0" borderId="36" xfId="0" applyNumberFormat="1" applyFont="1" applyBorder="1" applyAlignment="1">
      <alignment horizontal="center"/>
    </xf>
    <xf numFmtId="1" fontId="67" fillId="0" borderId="50" xfId="0" applyNumberFormat="1" applyFont="1" applyBorder="1" applyAlignment="1">
      <alignment horizontal="center"/>
    </xf>
    <xf numFmtId="1" fontId="67" fillId="0" borderId="38" xfId="0" applyNumberFormat="1" applyFont="1" applyBorder="1" applyAlignment="1">
      <alignment horizontal="center"/>
    </xf>
    <xf numFmtId="170" fontId="67" fillId="0" borderId="39" xfId="0" applyNumberFormat="1" applyFont="1" applyBorder="1" applyAlignment="1">
      <alignment horizontal="center"/>
    </xf>
    <xf numFmtId="170" fontId="41" fillId="0" borderId="36" xfId="0" applyNumberFormat="1" applyFont="1" applyBorder="1" applyAlignment="1">
      <alignment horizontal="center"/>
    </xf>
    <xf numFmtId="2" fontId="20" fillId="0" borderId="64" xfId="0" applyNumberFormat="1" applyFont="1" applyBorder="1"/>
    <xf numFmtId="0" fontId="0" fillId="58" borderId="10" xfId="0" applyFill="1" applyBorder="1"/>
    <xf numFmtId="0" fontId="37" fillId="53" borderId="52" xfId="0" applyFont="1" applyFill="1" applyBorder="1" applyAlignment="1">
      <alignment horizontal="center" vertical="center" wrapText="1"/>
    </xf>
    <xf numFmtId="0" fontId="37" fillId="53" borderId="53" xfId="0" applyFont="1" applyFill="1" applyBorder="1" applyAlignment="1">
      <alignment horizontal="center" vertical="center" wrapText="1"/>
    </xf>
    <xf numFmtId="0" fontId="37" fillId="53" borderId="55" xfId="0" applyFont="1" applyFill="1" applyBorder="1" applyAlignment="1">
      <alignment horizontal="center" vertical="center" wrapText="1"/>
    </xf>
    <xf numFmtId="0" fontId="37" fillId="53" borderId="54" xfId="0" applyFont="1" applyFill="1" applyBorder="1" applyAlignment="1">
      <alignment horizontal="center" vertical="center" wrapText="1"/>
    </xf>
    <xf numFmtId="0" fontId="37" fillId="53" borderId="58" xfId="0" applyFont="1" applyFill="1" applyBorder="1" applyAlignment="1">
      <alignment horizontal="center" vertical="center" wrapText="1"/>
    </xf>
    <xf numFmtId="0" fontId="37" fillId="62" borderId="32" xfId="0" applyFont="1" applyFill="1" applyBorder="1" applyAlignment="1">
      <alignment wrapText="1"/>
    </xf>
    <xf numFmtId="0" fontId="37" fillId="62" borderId="33" xfId="0" applyFont="1" applyFill="1" applyBorder="1" applyAlignment="1">
      <alignment horizontal="center" wrapText="1"/>
    </xf>
    <xf numFmtId="0" fontId="37" fillId="53" borderId="31" xfId="0" applyFont="1" applyFill="1" applyBorder="1" applyAlignment="1">
      <alignment horizontal="center" vertical="center" wrapText="1"/>
    </xf>
    <xf numFmtId="0" fontId="37" fillId="53" borderId="56" xfId="0" applyFont="1" applyFill="1" applyBorder="1" applyAlignment="1">
      <alignment horizontal="center" vertical="center" wrapText="1"/>
    </xf>
    <xf numFmtId="0" fontId="33" fillId="53" borderId="10" xfId="0" applyFont="1" applyFill="1" applyBorder="1" applyAlignment="1">
      <alignment horizontal="center"/>
    </xf>
    <xf numFmtId="0" fontId="67" fillId="53" borderId="10" xfId="0" applyFont="1" applyFill="1" applyBorder="1" applyAlignment="1">
      <alignment horizontal="left"/>
    </xf>
    <xf numFmtId="0" fontId="67" fillId="53" borderId="10" xfId="0" applyFont="1" applyFill="1" applyBorder="1" applyAlignment="1">
      <alignment horizontal="center"/>
    </xf>
    <xf numFmtId="0" fontId="38" fillId="53" borderId="10" xfId="0" applyFont="1" applyFill="1" applyBorder="1" applyAlignment="1">
      <alignment horizontal="center"/>
    </xf>
    <xf numFmtId="0" fontId="37" fillId="53" borderId="10" xfId="0" applyFont="1" applyFill="1" applyBorder="1" applyAlignment="1">
      <alignment horizontal="left"/>
    </xf>
    <xf numFmtId="0" fontId="37" fillId="53" borderId="10" xfId="0" applyFont="1" applyFill="1" applyBorder="1" applyAlignment="1">
      <alignment horizontal="center"/>
    </xf>
    <xf numFmtId="0" fontId="81" fillId="0" borderId="10" xfId="0" applyFont="1" applyBorder="1" applyAlignment="1">
      <alignment horizontal="center" vertical="center" wrapText="1"/>
    </xf>
    <xf numFmtId="0" fontId="0" fillId="0" borderId="11" xfId="0" applyBorder="1" applyAlignment="1">
      <alignment horizontal="center"/>
    </xf>
    <xf numFmtId="0" fontId="35" fillId="0" borderId="17" xfId="0" applyFont="1" applyBorder="1" applyAlignment="1">
      <alignment horizontal="left" vertical="top"/>
    </xf>
    <xf numFmtId="14" fontId="35" fillId="0" borderId="17" xfId="0" applyNumberFormat="1" applyFont="1" applyBorder="1" applyAlignment="1">
      <alignment horizontal="left" vertical="top"/>
    </xf>
    <xf numFmtId="0" fontId="35" fillId="0" borderId="17" xfId="0" applyFont="1" applyBorder="1" applyAlignment="1">
      <alignment horizontal="left" vertical="top" wrapText="1"/>
    </xf>
    <xf numFmtId="0" fontId="0" fillId="0" borderId="11" xfId="0" applyBorder="1" applyAlignment="1">
      <alignment horizontal="left" vertical="center"/>
    </xf>
    <xf numFmtId="14" fontId="0" fillId="0" borderId="11" xfId="0" applyNumberFormat="1" applyBorder="1" applyAlignment="1">
      <alignment horizontal="left" vertical="center"/>
    </xf>
    <xf numFmtId="0" fontId="0" fillId="0" borderId="11" xfId="0" applyBorder="1" applyAlignment="1">
      <alignment horizontal="left" vertical="center" wrapText="1"/>
    </xf>
    <xf numFmtId="0" fontId="0" fillId="0" borderId="0" xfId="0" applyAlignment="1">
      <alignment horizontal="center"/>
    </xf>
    <xf numFmtId="0" fontId="38" fillId="0" borderId="0" xfId="0" applyFont="1" applyAlignment="1">
      <alignment horizontal="left" vertical="center" wrapText="1"/>
    </xf>
    <xf numFmtId="0" fontId="33" fillId="0" borderId="0" xfId="0" applyFont="1" applyAlignment="1">
      <alignment horizontal="left" wrapText="1"/>
    </xf>
    <xf numFmtId="164" fontId="32" fillId="46" borderId="0" xfId="0" applyNumberFormat="1" applyFont="1" applyFill="1" applyAlignment="1">
      <alignment horizontal="left" vertical="top"/>
    </xf>
    <xf numFmtId="0" fontId="0" fillId="0" borderId="26" xfId="0" applyBorder="1" applyAlignment="1">
      <alignment horizontal="left" wrapText="1"/>
    </xf>
    <xf numFmtId="0" fontId="33" fillId="48" borderId="0" xfId="0" applyFont="1" applyFill="1" applyAlignment="1">
      <alignment horizontal="left" vertical="top" wrapText="1"/>
    </xf>
    <xf numFmtId="0" fontId="68" fillId="53" borderId="10" xfId="0" applyFont="1" applyFill="1" applyBorder="1" applyAlignment="1">
      <alignment horizontal="center"/>
    </xf>
    <xf numFmtId="0" fontId="68" fillId="53" borderId="17" xfId="0" applyFont="1" applyFill="1" applyBorder="1" applyAlignment="1">
      <alignment horizontal="center"/>
    </xf>
    <xf numFmtId="0" fontId="37" fillId="62" borderId="40" xfId="0" applyFont="1" applyFill="1" applyBorder="1" applyAlignment="1">
      <alignment horizontal="center" wrapText="1"/>
    </xf>
    <xf numFmtId="0" fontId="37" fillId="62" borderId="30" xfId="0" applyFont="1" applyFill="1" applyBorder="1" applyAlignment="1">
      <alignment horizontal="center" wrapText="1"/>
    </xf>
    <xf numFmtId="0" fontId="37" fillId="53" borderId="38" xfId="0" applyFont="1" applyFill="1" applyBorder="1" applyAlignment="1">
      <alignment horizontal="center" wrapText="1"/>
    </xf>
    <xf numFmtId="0" fontId="37" fillId="53" borderId="36" xfId="0" applyFont="1" applyFill="1" applyBorder="1" applyAlignment="1">
      <alignment horizontal="center" wrapText="1"/>
    </xf>
    <xf numFmtId="0" fontId="37" fillId="53" borderId="50" xfId="0" applyFont="1" applyFill="1" applyBorder="1" applyAlignment="1">
      <alignment horizontal="center" wrapText="1"/>
    </xf>
    <xf numFmtId="0" fontId="37" fillId="53" borderId="38" xfId="0" applyFont="1" applyFill="1" applyBorder="1" applyAlignment="1">
      <alignment horizontal="center" vertical="center" wrapText="1"/>
    </xf>
    <xf numFmtId="0" fontId="37" fillId="53" borderId="39" xfId="0" applyFont="1" applyFill="1" applyBorder="1" applyAlignment="1">
      <alignment horizontal="center" vertical="center" wrapText="1"/>
    </xf>
    <xf numFmtId="0" fontId="38" fillId="53" borderId="11" xfId="0" applyFont="1" applyFill="1" applyBorder="1" applyAlignment="1">
      <alignment horizontal="left" vertical="center" wrapText="1"/>
    </xf>
    <xf numFmtId="0" fontId="38" fillId="0" borderId="11" xfId="0" applyFont="1" applyBorder="1" applyAlignment="1">
      <alignment horizontal="left" vertical="center" wrapText="1"/>
    </xf>
    <xf numFmtId="0" fontId="38" fillId="0" borderId="11" xfId="0" applyFont="1" applyBorder="1" applyAlignment="1">
      <alignment horizontal="center" vertical="center" wrapText="1"/>
    </xf>
    <xf numFmtId="9" fontId="38" fillId="0" borderId="11" xfId="0" applyNumberFormat="1" applyFont="1" applyBorder="1" applyAlignment="1">
      <alignment horizontal="center" vertical="center" wrapText="1"/>
    </xf>
    <xf numFmtId="0" fontId="37" fillId="49" borderId="27" xfId="0" applyFont="1" applyFill="1" applyBorder="1" applyAlignment="1">
      <alignment wrapText="1"/>
    </xf>
    <xf numFmtId="0" fontId="37" fillId="49" borderId="18" xfId="0" applyFont="1" applyFill="1" applyBorder="1" applyAlignment="1">
      <alignment wrapText="1"/>
    </xf>
    <xf numFmtId="8" fontId="38" fillId="0" borderId="11" xfId="0" applyNumberFormat="1" applyFont="1" applyBorder="1" applyAlignment="1">
      <alignment horizontal="left"/>
    </xf>
    <xf numFmtId="8" fontId="38" fillId="0" borderId="22" xfId="0" applyNumberFormat="1" applyFont="1" applyBorder="1" applyAlignment="1">
      <alignment horizontal="left"/>
    </xf>
    <xf numFmtId="8" fontId="38" fillId="0" borderId="23" xfId="0" applyNumberFormat="1" applyFont="1" applyBorder="1" applyAlignment="1">
      <alignment horizontal="left"/>
    </xf>
    <xf numFmtId="0" fontId="38" fillId="0" borderId="0" xfId="0" applyFont="1" applyAlignment="1">
      <alignment vertical="center" wrapText="1"/>
    </xf>
    <xf numFmtId="0" fontId="38" fillId="53" borderId="27" xfId="0" applyFont="1" applyFill="1" applyBorder="1" applyAlignment="1">
      <alignment horizontal="left" vertical="center" wrapText="1"/>
    </xf>
    <xf numFmtId="0" fontId="38" fillId="53" borderId="41" xfId="0" applyFont="1" applyFill="1" applyBorder="1" applyAlignment="1">
      <alignment horizontal="left" vertical="center" wrapText="1"/>
    </xf>
    <xf numFmtId="0" fontId="38" fillId="53" borderId="18" xfId="0" applyFont="1" applyFill="1" applyBorder="1" applyAlignment="1">
      <alignment horizontal="left" vertical="center" wrapText="1"/>
    </xf>
    <xf numFmtId="0" fontId="38" fillId="0" borderId="23" xfId="0" applyFont="1" applyBorder="1" applyAlignment="1">
      <alignment horizontal="left" vertical="center" wrapText="1"/>
    </xf>
    <xf numFmtId="0" fontId="38" fillId="0" borderId="23" xfId="0" applyFont="1" applyBorder="1" applyAlignment="1">
      <alignment horizontal="center" vertical="center" wrapText="1"/>
    </xf>
    <xf numFmtId="9" fontId="38" fillId="0" borderId="23" xfId="0" applyNumberFormat="1" applyFont="1" applyBorder="1" applyAlignment="1">
      <alignment horizontal="center" vertical="center" wrapText="1"/>
    </xf>
    <xf numFmtId="0" fontId="38" fillId="0" borderId="22"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11" xfId="0" applyFont="1" applyBorder="1" applyAlignment="1">
      <alignment horizontal="left" vertical="top" wrapText="1"/>
    </xf>
    <xf numFmtId="0" fontId="38" fillId="53" borderId="23" xfId="0" applyFont="1" applyFill="1" applyBorder="1" applyAlignment="1">
      <alignment horizontal="left" vertical="center" wrapText="1"/>
    </xf>
    <xf numFmtId="0" fontId="37" fillId="49" borderId="17" xfId="0" applyFont="1" applyFill="1" applyBorder="1" applyAlignment="1">
      <alignment wrapText="1"/>
    </xf>
    <xf numFmtId="0" fontId="37" fillId="49" borderId="14" xfId="0" applyFont="1" applyFill="1" applyBorder="1" applyAlignment="1">
      <alignment wrapText="1"/>
    </xf>
    <xf numFmtId="8" fontId="38" fillId="0" borderId="17" xfId="0" applyNumberFormat="1" applyFont="1" applyBorder="1" applyAlignment="1">
      <alignment horizontal="left"/>
    </xf>
    <xf numFmtId="8" fontId="38" fillId="0" borderId="14" xfId="0" applyNumberFormat="1" applyFont="1" applyBorder="1" applyAlignment="1">
      <alignment horizontal="left"/>
    </xf>
    <xf numFmtId="0" fontId="38" fillId="0" borderId="10" xfId="0" applyFont="1" applyBorder="1" applyAlignment="1">
      <alignment horizontal="left" vertical="center" wrapText="1"/>
    </xf>
    <xf numFmtId="0" fontId="38" fillId="0" borderId="17" xfId="0" applyFont="1" applyBorder="1" applyAlignment="1">
      <alignment horizontal="left" vertical="center" wrapText="1"/>
    </xf>
    <xf numFmtId="0" fontId="38" fillId="0" borderId="17" xfId="0" applyFont="1" applyBorder="1" applyAlignment="1">
      <alignment horizontal="center" vertical="center" wrapText="1"/>
    </xf>
    <xf numFmtId="0" fontId="38" fillId="0" borderId="26" xfId="0" applyFont="1" applyBorder="1" applyAlignment="1">
      <alignment horizontal="center" vertical="center" wrapText="1"/>
    </xf>
    <xf numFmtId="9" fontId="38" fillId="0" borderId="17" xfId="0" applyNumberFormat="1" applyFont="1" applyBorder="1" applyAlignment="1">
      <alignment horizontal="center" vertical="center" wrapText="1"/>
    </xf>
    <xf numFmtId="9" fontId="38" fillId="0" borderId="26" xfId="0" applyNumberFormat="1" applyFont="1" applyBorder="1" applyAlignment="1">
      <alignment horizontal="center" vertical="center" wrapText="1"/>
    </xf>
    <xf numFmtId="0" fontId="38" fillId="53" borderId="20" xfId="0" applyFont="1" applyFill="1" applyBorder="1" applyAlignment="1">
      <alignment horizontal="left" vertical="center" wrapText="1"/>
    </xf>
    <xf numFmtId="0" fontId="38" fillId="0" borderId="13" xfId="0" applyFont="1" applyBorder="1" applyAlignment="1">
      <alignment horizontal="left" vertical="center" wrapText="1"/>
    </xf>
    <xf numFmtId="0" fontId="38" fillId="0" borderId="26" xfId="0" applyFont="1" applyBorder="1" applyAlignment="1">
      <alignment horizontal="left" vertical="center" wrapText="1"/>
    </xf>
    <xf numFmtId="0" fontId="38" fillId="0" borderId="14" xfId="0" applyFont="1" applyBorder="1" applyAlignment="1">
      <alignment horizontal="left" vertical="center" wrapText="1"/>
    </xf>
    <xf numFmtId="0" fontId="38" fillId="0" borderId="14" xfId="0" applyFont="1" applyBorder="1" applyAlignment="1">
      <alignment horizontal="center" vertical="center" wrapText="1"/>
    </xf>
    <xf numFmtId="9" fontId="38" fillId="0" borderId="14" xfId="0" applyNumberFormat="1" applyFont="1" applyBorder="1" applyAlignment="1">
      <alignment horizontal="center" vertical="center" wrapText="1"/>
    </xf>
    <xf numFmtId="0" fontId="38" fillId="53" borderId="22" xfId="0" applyFont="1" applyFill="1" applyBorder="1" applyAlignment="1">
      <alignment horizontal="left" vertical="center" wrapText="1"/>
    </xf>
    <xf numFmtId="0" fontId="38" fillId="53" borderId="24" xfId="0" applyFont="1" applyFill="1" applyBorder="1" applyAlignment="1">
      <alignment horizontal="left" vertical="center" wrapText="1"/>
    </xf>
    <xf numFmtId="0" fontId="38" fillId="0" borderId="22" xfId="0" applyFont="1" applyBorder="1" applyAlignment="1">
      <alignment horizontal="left" vertical="center" wrapText="1"/>
    </xf>
    <xf numFmtId="0" fontId="38" fillId="0" borderId="24" xfId="0" applyFont="1" applyBorder="1" applyAlignment="1">
      <alignment horizontal="left" vertical="center" wrapText="1"/>
    </xf>
    <xf numFmtId="9" fontId="38" fillId="0" borderId="22" xfId="0" applyNumberFormat="1" applyFont="1" applyBorder="1" applyAlignment="1">
      <alignment horizontal="center" vertical="center" wrapText="1"/>
    </xf>
    <xf numFmtId="9" fontId="38" fillId="0" borderId="24" xfId="0" applyNumberFormat="1" applyFont="1" applyBorder="1" applyAlignment="1">
      <alignment horizontal="center" vertical="center" wrapText="1"/>
    </xf>
    <xf numFmtId="0" fontId="38" fillId="0" borderId="70" xfId="0" applyFont="1" applyBorder="1" applyAlignment="1">
      <alignment horizontal="left" vertical="center" wrapText="1"/>
    </xf>
    <xf numFmtId="0" fontId="38" fillId="0" borderId="68" xfId="0" applyFont="1" applyBorder="1" applyAlignment="1">
      <alignment horizontal="left" vertical="center" wrapText="1"/>
    </xf>
    <xf numFmtId="0" fontId="38" fillId="0" borderId="69" xfId="0" applyFont="1" applyBorder="1" applyAlignment="1">
      <alignment horizontal="left" vertical="center" wrapText="1"/>
    </xf>
    <xf numFmtId="0" fontId="38" fillId="0" borderId="67" xfId="0" applyFont="1" applyBorder="1" applyAlignment="1">
      <alignment horizontal="left" vertical="center" wrapText="1"/>
    </xf>
    <xf numFmtId="0" fontId="38" fillId="0" borderId="71" xfId="0" applyFont="1" applyBorder="1" applyAlignment="1">
      <alignment horizontal="left" vertical="center" wrapText="1"/>
    </xf>
    <xf numFmtId="9" fontId="38" fillId="0" borderId="71" xfId="0" applyNumberFormat="1" applyFont="1" applyBorder="1" applyAlignment="1">
      <alignment horizontal="center" vertical="center" wrapText="1"/>
    </xf>
    <xf numFmtId="176" fontId="38" fillId="0" borderId="17" xfId="0" applyNumberFormat="1" applyFont="1" applyBorder="1" applyAlignment="1">
      <alignment horizontal="left"/>
    </xf>
    <xf numFmtId="176" fontId="38" fillId="0" borderId="14" xfId="0" applyNumberFormat="1" applyFont="1" applyBorder="1" applyAlignment="1">
      <alignment horizontal="left"/>
    </xf>
    <xf numFmtId="0" fontId="38" fillId="53" borderId="26" xfId="0" applyFont="1" applyFill="1" applyBorder="1" applyAlignment="1">
      <alignment horizontal="left" vertical="center" wrapText="1"/>
    </xf>
    <xf numFmtId="0" fontId="38" fillId="53" borderId="14" xfId="0" applyFont="1" applyFill="1" applyBorder="1" applyAlignment="1">
      <alignment horizontal="left" vertical="center" wrapText="1"/>
    </xf>
    <xf numFmtId="0" fontId="38" fillId="53" borderId="17" xfId="0" applyFont="1" applyFill="1" applyBorder="1" applyAlignment="1">
      <alignment horizontal="left" vertical="center" wrapText="1"/>
    </xf>
    <xf numFmtId="0" fontId="42" fillId="46" borderId="0" xfId="0" applyFont="1" applyFill="1" applyAlignment="1">
      <alignment horizontal="left"/>
    </xf>
    <xf numFmtId="0" fontId="38" fillId="0" borderId="10" xfId="0" applyFont="1" applyBorder="1" applyAlignment="1">
      <alignment horizontal="center" wrapText="1"/>
    </xf>
    <xf numFmtId="0" fontId="38" fillId="0" borderId="10" xfId="0" applyFont="1" applyBorder="1" applyAlignment="1">
      <alignment horizontal="left" wrapText="1"/>
    </xf>
    <xf numFmtId="0" fontId="37" fillId="66" borderId="20" xfId="0" applyFont="1" applyFill="1" applyBorder="1" applyAlignment="1">
      <alignment horizontal="center" vertical="center" wrapText="1"/>
    </xf>
    <xf numFmtId="0" fontId="37" fillId="66" borderId="25" xfId="0" applyFont="1" applyFill="1" applyBorder="1" applyAlignment="1">
      <alignment horizontal="center" vertical="center" wrapText="1"/>
    </xf>
    <xf numFmtId="0" fontId="37" fillId="66" borderId="19" xfId="0" applyFont="1" applyFill="1" applyBorder="1" applyAlignment="1">
      <alignment horizontal="center" vertical="center" wrapText="1"/>
    </xf>
    <xf numFmtId="0" fontId="37" fillId="49" borderId="80" xfId="0" applyFont="1" applyFill="1" applyBorder="1" applyAlignment="1">
      <alignment horizontal="center" wrapText="1"/>
    </xf>
    <xf numFmtId="0" fontId="37" fillId="49" borderId="81" xfId="0" applyFont="1" applyFill="1" applyBorder="1" applyAlignment="1">
      <alignment horizontal="center" wrapText="1"/>
    </xf>
    <xf numFmtId="0" fontId="33" fillId="0" borderId="87" xfId="0" applyFont="1" applyBorder="1" applyAlignment="1">
      <alignment horizontal="center" vertical="center" wrapText="1"/>
    </xf>
    <xf numFmtId="0" fontId="33" fillId="0" borderId="82" xfId="0" applyFont="1" applyBorder="1" applyAlignment="1">
      <alignment horizontal="center" vertical="center" wrapText="1"/>
    </xf>
    <xf numFmtId="0" fontId="33" fillId="0" borderId="51" xfId="0" applyFont="1" applyBorder="1" applyAlignment="1">
      <alignment horizontal="center" vertical="center" wrapText="1"/>
    </xf>
    <xf numFmtId="0" fontId="37" fillId="66" borderId="11" xfId="0" applyFont="1" applyFill="1" applyBorder="1" applyAlignment="1">
      <alignment horizontal="center" vertical="center" wrapText="1"/>
    </xf>
  </cellXfs>
  <cellStyles count="88">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mma 4" xfId="79" xr:uid="{A5BB5C55-B71A-42A9-9051-1A17C6688C33}"/>
    <cellStyle name="Counterflow" xfId="54" xr:uid="{00000000-0005-0000-0000-00001F000000}"/>
    <cellStyle name="Currency" xfId="76" builtinId="4"/>
    <cellStyle name="DateLong" xfId="60" xr:uid="{00000000-0005-0000-0000-000020000000}"/>
    <cellStyle name="DateShort" xfId="61" xr:uid="{00000000-0005-0000-0000-000021000000}"/>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xfId="75" builtinId="8"/>
    <cellStyle name="Hyperlink 2" xfId="86" xr:uid="{DEAB8196-8789-4146-A4F2-7465BCDA52DA}"/>
    <cellStyle name="Import" xfId="55" xr:uid="{00000000-0005-0000-0000-00002C000000}"/>
    <cellStyle name="Input" xfId="11" builtinId="20" hidden="1"/>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2" xfId="84" xr:uid="{FA6A29F8-34CE-40D1-98D6-36DB307EE34E}"/>
    <cellStyle name="Normal 3" xfId="70" xr:uid="{00000000-0005-0000-0000-000035000000}"/>
    <cellStyle name="Normal 3 2" xfId="87" xr:uid="{C239CC22-901F-40AF-AB9A-2A67F1773EBA}"/>
    <cellStyle name="Normal 4" xfId="71" xr:uid="{0E31574C-2B6E-4B16-92B4-4D93F47E66ED}"/>
    <cellStyle name="Normal 5" xfId="72" xr:uid="{E7D17344-230F-4D03-8DE3-BF3BBFFD4FD3}"/>
    <cellStyle name="Normal 6" xfId="73" xr:uid="{93D9604A-AC6F-4407-A115-8B5088369F82}"/>
    <cellStyle name="Normal 7" xfId="74" xr:uid="{E3E059E0-B5B9-461F-B00D-4450DFB70724}"/>
    <cellStyle name="Normal 7 2" xfId="81" xr:uid="{227B3EC2-A058-4CDD-B715-2475F1C1B971}"/>
    <cellStyle name="Normal 7 2 2" xfId="83" xr:uid="{1E5B6C54-F0EE-40B8-BEFA-75D6AC99B798}"/>
    <cellStyle name="Normal 8" xfId="77" xr:uid="{2404F79D-8057-4A62-857F-005499FC0643}"/>
    <cellStyle name="Normal 8 2" xfId="82" xr:uid="{E6597F79-7049-4E00-B700-D7F762AAF614}"/>
    <cellStyle name="Normal 9" xfId="78" xr:uid="{E4CA561E-4E5A-4520-A06E-0B1CD9300EEB}"/>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 cent" xfId="2" builtinId="5" customBuiltin="1"/>
    <cellStyle name="Percent [0]" xfId="58" xr:uid="{00000000-0005-0000-0000-000042000000}"/>
    <cellStyle name="Percent 2" xfId="80" xr:uid="{0ACE88D9-033C-460E-BC89-A0DA09A81909}"/>
    <cellStyle name="Title" xfId="3" builtinId="15" hidden="1"/>
    <cellStyle name="Total" xfId="19" builtinId="25" hidden="1"/>
    <cellStyle name="Warning Text" xfId="16" builtinId="11" customBuiltin="1"/>
    <cellStyle name="WIP" xfId="53" xr:uid="{00000000-0005-0000-0000-000046000000}"/>
    <cellStyle name="Year" xfId="85" xr:uid="{70D5EBDF-241E-49F6-B6C8-34734BF5DD27}"/>
  </cellStyles>
  <dxfs count="46">
    <dxf>
      <font>
        <strike val="0"/>
        <outline val="0"/>
        <shadow val="0"/>
        <u val="none"/>
        <vertAlign val="baseline"/>
        <name val="Calibri"/>
        <family val="2"/>
        <scheme val="none"/>
      </font>
      <numFmt numFmtId="2" formatCode="0.00"/>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numFmt numFmtId="2" formatCode="0.00"/>
      <border diagonalUp="0" diagonalDown="0" outline="0">
        <left style="thin">
          <color indexed="64"/>
        </left>
        <right/>
        <top style="thin">
          <color theme="5"/>
        </top>
        <bottom/>
      </border>
    </dxf>
    <dxf>
      <font>
        <strike val="0"/>
        <outline val="0"/>
        <shadow val="0"/>
        <u val="none"/>
        <vertAlign val="baseline"/>
        <name val="Calibri"/>
        <family val="2"/>
        <scheme val="none"/>
      </font>
      <numFmt numFmtId="2" formatCode="0.00"/>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numFmt numFmtId="2" formatCode="0.00"/>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numFmt numFmtId="2" formatCode="0.00"/>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numFmt numFmtId="2" formatCode="0.00"/>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numFmt numFmtId="2" formatCode="0.00"/>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numFmt numFmtId="2" formatCode="0.00"/>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border diagonalUp="0" diagonalDown="0" outline="0">
        <left style="thin">
          <color indexed="64"/>
        </left>
        <right/>
        <top style="thin">
          <color theme="5"/>
        </top>
        <bottom/>
      </border>
    </dxf>
    <dxf>
      <font>
        <strike val="0"/>
        <outline val="0"/>
        <shadow val="0"/>
        <u val="none"/>
        <vertAlign val="baseline"/>
        <name val="Calibri"/>
        <family val="2"/>
        <scheme val="none"/>
      </font>
      <border diagonalUp="0" diagonalDown="0" outline="0">
        <left style="thin">
          <color indexed="64"/>
        </left>
        <right/>
        <top style="thin">
          <color theme="5"/>
        </top>
        <bottom/>
      </border>
    </dxf>
    <dxf>
      <font>
        <strike val="0"/>
        <outline val="0"/>
        <shadow val="0"/>
        <u val="none"/>
        <vertAlign val="baseline"/>
        <name val="Calibri"/>
        <family val="2"/>
        <scheme val="none"/>
      </font>
      <border diagonalUp="0" diagonalDown="0" outline="0">
        <left style="thin">
          <color indexed="64"/>
        </left>
        <right/>
        <top style="thin">
          <color theme="5"/>
        </top>
        <bottom/>
      </border>
    </dxf>
    <dxf>
      <font>
        <strike val="0"/>
        <outline val="0"/>
        <shadow val="0"/>
        <u val="none"/>
        <vertAlign val="baseline"/>
        <name val="Calibri"/>
        <family val="2"/>
        <scheme val="none"/>
      </font>
      <border diagonalUp="0" diagonalDown="0" outline="0">
        <left/>
        <right/>
        <top style="thin">
          <color theme="5"/>
        </top>
        <bottom/>
      </border>
    </dxf>
    <dxf>
      <border outline="0">
        <left style="thin">
          <color indexed="64"/>
        </left>
        <right style="thin">
          <color indexed="64"/>
        </right>
        <top style="thin">
          <color indexed="64"/>
        </top>
      </border>
    </dxf>
    <dxf>
      <font>
        <strike val="0"/>
        <outline val="0"/>
        <shadow val="0"/>
        <u val="none"/>
        <vertAlign val="baseline"/>
        <name val="Calibri"/>
        <family val="2"/>
        <scheme val="none"/>
      </font>
    </dxf>
    <dxf>
      <font>
        <b/>
        <i val="0"/>
        <strike val="0"/>
        <condense val="0"/>
        <extend val="0"/>
        <outline val="0"/>
        <shadow val="0"/>
        <u val="none"/>
        <vertAlign val="baseline"/>
        <sz val="10"/>
        <color auto="1"/>
        <name val="Calibri"/>
        <family val="2"/>
        <scheme val="none"/>
      </font>
      <fill>
        <patternFill patternType="solid">
          <fgColor rgb="FF000000"/>
          <bgColor rgb="FFD9D9D9"/>
        </patternFill>
      </fill>
    </dxf>
    <dxf>
      <font>
        <strike val="0"/>
        <outline val="0"/>
        <shadow val="0"/>
        <u val="none"/>
        <vertAlign val="baseline"/>
        <name val="Calibri"/>
        <family val="2"/>
        <scheme val="none"/>
      </font>
      <numFmt numFmtId="170" formatCode="0.000"/>
      <border diagonalUp="0" diagonalDown="0" outline="0">
        <left style="thin">
          <color indexed="64"/>
        </left>
        <right/>
        <top style="thin">
          <color theme="5"/>
        </top>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theme="5"/>
        </top>
        <bottom/>
      </border>
    </dxf>
    <dxf>
      <font>
        <strike val="0"/>
        <outline val="0"/>
        <shadow val="0"/>
        <u val="none"/>
        <vertAlign val="baseline"/>
        <name val="Calibri"/>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border diagonalUp="0" diagonalDown="0" outline="0">
        <left style="thin">
          <color indexed="64"/>
        </left>
        <right/>
        <top style="thin">
          <color theme="5"/>
        </top>
        <bottom/>
      </border>
    </dxf>
    <dxf>
      <font>
        <strike val="0"/>
        <outline val="0"/>
        <shadow val="0"/>
        <u val="none"/>
        <vertAlign val="baseline"/>
        <name val="Calibri"/>
        <family val="2"/>
        <scheme val="none"/>
      </font>
      <border diagonalUp="0" diagonalDown="0" outline="0">
        <left style="thin">
          <color indexed="64"/>
        </left>
        <right/>
        <top style="thin">
          <color theme="5"/>
        </top>
        <bottom/>
      </border>
    </dxf>
    <dxf>
      <font>
        <strike val="0"/>
        <outline val="0"/>
        <shadow val="0"/>
        <u val="none"/>
        <vertAlign val="baseline"/>
        <name val="Calibri"/>
        <family val="2"/>
        <scheme val="none"/>
      </font>
      <border diagonalUp="0" diagonalDown="0" outline="0">
        <left/>
        <right/>
        <top style="thin">
          <color theme="5"/>
        </top>
        <bottom/>
      </border>
    </dxf>
    <dxf>
      <border outline="0">
        <left style="thin">
          <color indexed="64"/>
        </left>
        <right style="thin">
          <color indexed="64"/>
        </right>
        <top style="thin">
          <color indexed="64"/>
        </top>
      </border>
    </dxf>
    <dxf>
      <font>
        <strike val="0"/>
        <outline val="0"/>
        <shadow val="0"/>
        <u val="none"/>
        <vertAlign val="baseline"/>
        <name val="Calibri"/>
        <family val="2"/>
        <scheme val="none"/>
      </font>
    </dxf>
    <dxf>
      <font>
        <b/>
        <i val="0"/>
        <strike val="0"/>
        <condense val="0"/>
        <extend val="0"/>
        <outline val="0"/>
        <shadow val="0"/>
        <u val="none"/>
        <vertAlign val="baseline"/>
        <sz val="10"/>
        <color auto="1"/>
        <name val="Calibri"/>
        <family val="2"/>
        <scheme val="none"/>
      </font>
      <fill>
        <patternFill patternType="solid">
          <fgColor rgb="FF000000"/>
          <bgColor rgb="FFD9D9D9"/>
        </patternFill>
      </fill>
    </dxf>
    <dxf>
      <font>
        <strike val="0"/>
        <outline val="0"/>
        <shadow val="0"/>
        <u val="none"/>
        <vertAlign val="baseline"/>
        <sz val="10"/>
        <name val="Calibri"/>
        <family val="2"/>
        <scheme val="none"/>
      </font>
      <numFmt numFmtId="2" formatCode="0.00"/>
      <border diagonalUp="0" diagonalDown="0" outline="0">
        <left style="thin">
          <color indexed="64"/>
        </left>
        <right/>
        <top style="thin">
          <color indexed="64"/>
        </top>
        <bottom/>
      </border>
    </dxf>
    <dxf>
      <font>
        <strike val="0"/>
        <outline val="0"/>
        <shadow val="0"/>
        <u val="none"/>
        <vertAlign val="baseline"/>
        <sz val="10"/>
        <name val="Calibri"/>
        <family val="2"/>
        <scheme val="none"/>
      </font>
      <numFmt numFmtId="2" formatCode="0.00"/>
      <border diagonalUp="0" diagonalDown="0" outline="0">
        <left style="thin">
          <color indexed="64"/>
        </left>
        <right/>
        <top style="thin">
          <color indexed="64"/>
        </top>
        <bottom/>
      </border>
    </dxf>
    <dxf>
      <font>
        <strike val="0"/>
        <outline val="0"/>
        <shadow val="0"/>
        <u val="none"/>
        <vertAlign val="baseline"/>
        <sz val="10"/>
        <name val="Calibri"/>
        <family val="2"/>
        <scheme val="none"/>
      </font>
      <numFmt numFmtId="2" formatCode="0.00"/>
      <border diagonalUp="0" diagonalDown="0" outline="0">
        <left style="thin">
          <color indexed="64"/>
        </left>
        <right/>
        <top style="thin">
          <color indexed="64"/>
        </top>
        <bottom/>
      </border>
    </dxf>
    <dxf>
      <font>
        <strike val="0"/>
        <outline val="0"/>
        <shadow val="0"/>
        <u val="none"/>
        <vertAlign val="baseline"/>
        <sz val="10"/>
        <name val="Calibri"/>
        <family val="2"/>
        <scheme val="none"/>
      </font>
      <numFmt numFmtId="2" formatCode="0.00"/>
      <border diagonalUp="0" diagonalDown="0" outline="0">
        <left style="thin">
          <color indexed="64"/>
        </left>
        <right/>
        <top style="thin">
          <color indexed="64"/>
        </top>
        <bottom/>
      </border>
    </dxf>
    <dxf>
      <font>
        <strike val="0"/>
        <outline val="0"/>
        <shadow val="0"/>
        <u val="none"/>
        <vertAlign val="baseline"/>
        <sz val="10"/>
        <name val="Calibri"/>
        <family val="2"/>
        <scheme val="none"/>
      </font>
      <numFmt numFmtId="2" formatCode="0.00"/>
      <border diagonalUp="0" diagonalDown="0" outline="0">
        <left style="thin">
          <color indexed="64"/>
        </left>
        <right/>
        <top style="thin">
          <color indexed="64"/>
        </top>
        <bottom/>
      </border>
    </dxf>
    <dxf>
      <font>
        <strike val="0"/>
        <outline val="0"/>
        <shadow val="0"/>
        <u val="none"/>
        <vertAlign val="baseline"/>
        <sz val="10"/>
        <name val="Calibri"/>
        <family val="2"/>
        <scheme val="none"/>
      </font>
      <numFmt numFmtId="2" formatCode="0.00"/>
      <border diagonalUp="0" diagonalDown="0" outline="0">
        <left style="thin">
          <color indexed="64"/>
        </left>
        <right/>
        <top style="thin">
          <color indexed="64"/>
        </top>
        <bottom/>
      </border>
    </dxf>
    <dxf>
      <font>
        <strike val="0"/>
        <outline val="0"/>
        <shadow val="0"/>
        <u val="none"/>
        <vertAlign val="baseline"/>
        <sz val="10"/>
        <name val="Calibri"/>
        <family val="2"/>
        <scheme val="none"/>
      </font>
      <numFmt numFmtId="2" formatCode="0.00"/>
      <border diagonalUp="0" diagonalDown="0">
        <left style="thin">
          <color indexed="64"/>
        </left>
        <right/>
        <top style="thin">
          <color indexed="64"/>
        </top>
        <bottom/>
      </border>
    </dxf>
    <dxf>
      <font>
        <strike val="0"/>
        <outline val="0"/>
        <shadow val="0"/>
        <u val="none"/>
        <vertAlign val="baseline"/>
        <sz val="10"/>
        <name val="Calibri"/>
        <family val="2"/>
        <scheme val="none"/>
      </font>
      <border diagonalUp="0" diagonalDown="0" outline="0">
        <left style="thin">
          <color indexed="64"/>
        </left>
        <right/>
        <top style="thin">
          <color theme="5"/>
        </top>
        <bottom/>
      </border>
    </dxf>
    <dxf>
      <font>
        <strike val="0"/>
        <outline val="0"/>
        <shadow val="0"/>
        <u val="none"/>
        <vertAlign val="baseline"/>
        <sz val="10"/>
        <name val="Calibri"/>
        <family val="2"/>
        <scheme val="none"/>
      </font>
      <border diagonalUp="0" diagonalDown="0" outline="0">
        <left style="thin">
          <color indexed="64"/>
        </left>
        <right/>
        <top style="thin">
          <color theme="5"/>
        </top>
        <bottom/>
      </border>
    </dxf>
    <dxf>
      <font>
        <strike val="0"/>
        <outline val="0"/>
        <shadow val="0"/>
        <u val="none"/>
        <vertAlign val="baseline"/>
        <sz val="10"/>
        <name val="Calibri"/>
        <family val="2"/>
        <scheme val="none"/>
      </font>
      <numFmt numFmtId="0" formatCode="General"/>
      <border diagonalUp="0" diagonalDown="0">
        <left style="thin">
          <color indexed="64"/>
        </left>
        <right/>
        <top style="thin">
          <color theme="5"/>
        </top>
        <bottom/>
      </border>
    </dxf>
    <dxf>
      <font>
        <strike val="0"/>
        <outline val="0"/>
        <shadow val="0"/>
        <u val="none"/>
        <vertAlign val="baseline"/>
        <sz val="10"/>
        <name val="Calibri"/>
        <family val="2"/>
        <scheme val="none"/>
      </font>
      <border diagonalUp="0" diagonalDown="0" outline="0">
        <left/>
        <right/>
        <top style="thin">
          <color theme="5"/>
        </top>
        <bottom/>
      </border>
    </dxf>
    <dxf>
      <border outline="0">
        <left style="thin">
          <color indexed="64"/>
        </left>
        <top style="thin">
          <color indexed="64"/>
        </top>
      </border>
    </dxf>
    <dxf>
      <font>
        <strike val="0"/>
        <outline val="0"/>
        <shadow val="0"/>
        <u val="none"/>
        <vertAlign val="baseline"/>
        <sz val="10"/>
        <name val="Calibri"/>
        <family val="2"/>
        <scheme val="none"/>
      </font>
    </dxf>
    <dxf>
      <font>
        <b/>
        <i val="0"/>
        <strike val="0"/>
        <condense val="0"/>
        <extend val="0"/>
        <outline val="0"/>
        <shadow val="0"/>
        <u val="none"/>
        <vertAlign val="baseline"/>
        <sz val="10"/>
        <color auto="1"/>
        <name val="Calibri"/>
        <family val="2"/>
        <scheme val="none"/>
      </font>
      <fill>
        <patternFill patternType="solid">
          <fgColor rgb="FF000000"/>
          <bgColor rgb="FFD9D9D9"/>
        </patternFill>
      </fill>
    </dxf>
    <dxf>
      <alignment horizontal="general" vertical="bottom" textRotation="0" wrapText="1" indent="0" justifyLastLine="0" shrinkToFit="0" readingOrder="0"/>
    </dxf>
    <dxf>
      <border outline="0">
        <right style="thin">
          <color rgb="FFFFFFFF"/>
        </right>
      </border>
    </dxf>
    <dxf>
      <font>
        <b val="0"/>
        <i val="0"/>
        <strike val="0"/>
        <condense val="0"/>
        <extend val="0"/>
        <outline val="0"/>
        <shadow val="0"/>
        <u val="none"/>
        <vertAlign val="baseline"/>
        <sz val="10"/>
        <color theme="0"/>
        <name val="Krub"/>
        <family val="2"/>
        <scheme val="minor"/>
      </font>
      <fill>
        <patternFill patternType="none">
          <fgColor indexed="64"/>
          <bgColor indexed="65"/>
        </patternFill>
      </fill>
    </dxf>
  </dxfs>
  <tableStyles count="0" defaultTableStyle="TableStyleMedium2" defaultPivotStyle="PivotStyleLight16"/>
  <colors>
    <mruColors>
      <color rgb="FFCCCCCE"/>
      <color rgb="FFFFDB8E"/>
      <color rgb="FF98C561"/>
      <color rgb="FF0071CE"/>
      <color rgb="FF84CEFF"/>
      <color rgb="FF84CEFD"/>
      <color rgb="FFB97BB4"/>
      <color rgb="FF57A1DF"/>
      <color rgb="FFF0F3B3"/>
      <color rgb="FFE2E7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GB" sz="1100"/>
              <a:t>MCERTs totex</a:t>
            </a:r>
            <a:r>
              <a:rPr lang="en-GB" sz="1100" baseline="0"/>
              <a:t> (£m)</a:t>
            </a:r>
            <a:endParaRPr lang="en-GB"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'Materiality &amp; shallow dive'!$B$7:$B$17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'Materiality &amp; shallow dive'!$E$7:$E$17</c:f>
              <c:numCache>
                <c:formatCode>0.000</c:formatCode>
                <c:ptCount val="11"/>
                <c:pt idx="0">
                  <c:v>48.026999999999994</c:v>
                </c:pt>
                <c:pt idx="1">
                  <c:v>21.192</c:v>
                </c:pt>
                <c:pt idx="2">
                  <c:v>0.56600000000000006</c:v>
                </c:pt>
                <c:pt idx="3">
                  <c:v>39.082000000000008</c:v>
                </c:pt>
                <c:pt idx="4">
                  <c:v>26.253561906402226</c:v>
                </c:pt>
                <c:pt idx="5">
                  <c:v>10.199999999999999</c:v>
                </c:pt>
                <c:pt idx="6">
                  <c:v>92.847000000000008</c:v>
                </c:pt>
                <c:pt idx="7">
                  <c:v>11.788000000000002</c:v>
                </c:pt>
                <c:pt idx="8">
                  <c:v>69.930999999999997</c:v>
                </c:pt>
                <c:pt idx="9">
                  <c:v>19.975000000000001</c:v>
                </c:pt>
                <c:pt idx="10">
                  <c:v>38.256211</c:v>
                </c:pt>
              </c:numCache>
            </c:numRef>
          </c:val>
          <c:extLst>
            <c:ext xmlns:c16="http://schemas.microsoft.com/office/drawing/2014/chart" uri="{C3380CC4-5D6E-409C-BE32-E72D297353CC}">
              <c16:uniqueId val="{00000000-AE31-484F-B49B-67836C723644}"/>
            </c:ext>
          </c:extLst>
        </c:ser>
        <c:dLbls>
          <c:showLegendKey val="0"/>
          <c:showVal val="0"/>
          <c:showCatName val="0"/>
          <c:showSerName val="0"/>
          <c:showPercent val="0"/>
          <c:showBubbleSize val="0"/>
        </c:dLbls>
        <c:gapWidth val="219"/>
        <c:overlap val="-27"/>
        <c:axId val="268250111"/>
        <c:axId val="268248671"/>
      </c:barChart>
      <c:catAx>
        <c:axId val="268250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248671"/>
        <c:crosses val="autoZero"/>
        <c:auto val="1"/>
        <c:lblAlgn val="ctr"/>
        <c:lblOffset val="100"/>
        <c:noMultiLvlLbl val="0"/>
      </c:catAx>
      <c:valAx>
        <c:axId val="2682486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825011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'Modelled costs_FD'!$E$5:$G$5</c:f>
              <c:strCache>
                <c:ptCount val="3"/>
                <c:pt idx="0">
                  <c:v>MCERTS EDM only</c:v>
                </c:pt>
              </c:strCache>
            </c:strRef>
          </c:tx>
          <c:spPr>
            <a:solidFill>
              <a:schemeClr val="accent1"/>
            </a:solidFill>
            <a:ln>
              <a:noFill/>
            </a:ln>
            <a:effectLst/>
          </c:spPr>
          <c:invertIfNegative val="0"/>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costs_FD'!$F$7:$F$17</c:f>
              <c:numCache>
                <c:formatCode>0.000</c:formatCode>
                <c:ptCount val="11"/>
                <c:pt idx="0">
                  <c:v>14.634</c:v>
                </c:pt>
                <c:pt idx="1">
                  <c:v>20.562000000000001</c:v>
                </c:pt>
                <c:pt idx="2">
                  <c:v>4.8000000000000001E-2</c:v>
                </c:pt>
                <c:pt idx="3">
                  <c:v>0</c:v>
                </c:pt>
                <c:pt idx="4">
                  <c:v>4.3949999999999996</c:v>
                </c:pt>
                <c:pt idx="5">
                  <c:v>0.20899999999999999</c:v>
                </c:pt>
                <c:pt idx="6">
                  <c:v>0.67700000000000005</c:v>
                </c:pt>
                <c:pt idx="7">
                  <c:v>4.7160000000000002</c:v>
                </c:pt>
                <c:pt idx="8">
                  <c:v>0</c:v>
                </c:pt>
                <c:pt idx="9">
                  <c:v>1.3759999999999999</c:v>
                </c:pt>
                <c:pt idx="10">
                  <c:v>3.78</c:v>
                </c:pt>
              </c:numCache>
            </c:numRef>
          </c:val>
          <c:extLst>
            <c:ext xmlns:c16="http://schemas.microsoft.com/office/drawing/2014/chart" uri="{C3380CC4-5D6E-409C-BE32-E72D297353CC}">
              <c16:uniqueId val="{00000000-B4AB-48E8-94F0-181C0E4EC739}"/>
            </c:ext>
          </c:extLst>
        </c:ser>
        <c:ser>
          <c:idx val="1"/>
          <c:order val="1"/>
          <c:tx>
            <c:strRef>
              <c:f>'Modelled costs_FD'!$H$5:$J$5</c:f>
              <c:strCache>
                <c:ptCount val="3"/>
                <c:pt idx="0">
                  <c:v>MCERTS EDM and civils</c:v>
                </c:pt>
              </c:strCache>
            </c:strRef>
          </c:tx>
          <c:spPr>
            <a:solidFill>
              <a:schemeClr val="accent2"/>
            </a:solidFill>
            <a:ln>
              <a:noFill/>
            </a:ln>
            <a:effectLst/>
          </c:spPr>
          <c:invertIfNegative val="0"/>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costs_FD'!$I$7:$I$17</c:f>
              <c:numCache>
                <c:formatCode>0.000</c:formatCode>
                <c:ptCount val="11"/>
                <c:pt idx="0">
                  <c:v>0</c:v>
                </c:pt>
                <c:pt idx="1">
                  <c:v>0</c:v>
                </c:pt>
                <c:pt idx="2">
                  <c:v>0</c:v>
                </c:pt>
                <c:pt idx="3">
                  <c:v>12.795</c:v>
                </c:pt>
                <c:pt idx="4">
                  <c:v>0.79800000000000004</c:v>
                </c:pt>
                <c:pt idx="5">
                  <c:v>0.24</c:v>
                </c:pt>
                <c:pt idx="6">
                  <c:v>0.67800000000000005</c:v>
                </c:pt>
                <c:pt idx="7">
                  <c:v>0</c:v>
                </c:pt>
                <c:pt idx="8">
                  <c:v>22.417999999999999</c:v>
                </c:pt>
                <c:pt idx="9">
                  <c:v>1.4139999999999999</c:v>
                </c:pt>
                <c:pt idx="10">
                  <c:v>0</c:v>
                </c:pt>
              </c:numCache>
            </c:numRef>
          </c:val>
          <c:extLst>
            <c:ext xmlns:c16="http://schemas.microsoft.com/office/drawing/2014/chart" uri="{C3380CC4-5D6E-409C-BE32-E72D297353CC}">
              <c16:uniqueId val="{00000001-B4AB-48E8-94F0-181C0E4EC739}"/>
            </c:ext>
          </c:extLst>
        </c:ser>
        <c:ser>
          <c:idx val="2"/>
          <c:order val="2"/>
          <c:tx>
            <c:strRef>
              <c:f>'Modelled costs_FD'!$K$5:$M$5</c:f>
              <c:strCache>
                <c:ptCount val="3"/>
                <c:pt idx="0">
                  <c:v>MCERTS EDM and pass forward flow monitor</c:v>
                </c:pt>
              </c:strCache>
            </c:strRef>
          </c:tx>
          <c:spPr>
            <a:solidFill>
              <a:schemeClr val="accent3"/>
            </a:solidFill>
            <a:ln>
              <a:noFill/>
            </a:ln>
            <a:effectLst/>
          </c:spPr>
          <c:invertIfNegative val="0"/>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costs_FD'!$L$7:$L$17</c:f>
              <c:numCache>
                <c:formatCode>0.000</c:formatCode>
                <c:ptCount val="11"/>
                <c:pt idx="0">
                  <c:v>0</c:v>
                </c:pt>
                <c:pt idx="1">
                  <c:v>6.7000000000000004E-2</c:v>
                </c:pt>
                <c:pt idx="2">
                  <c:v>0</c:v>
                </c:pt>
                <c:pt idx="3">
                  <c:v>0</c:v>
                </c:pt>
                <c:pt idx="4">
                  <c:v>0</c:v>
                </c:pt>
                <c:pt idx="5">
                  <c:v>0.27800000000000002</c:v>
                </c:pt>
                <c:pt idx="6">
                  <c:v>0</c:v>
                </c:pt>
                <c:pt idx="7">
                  <c:v>0</c:v>
                </c:pt>
                <c:pt idx="8">
                  <c:v>0</c:v>
                </c:pt>
                <c:pt idx="9">
                  <c:v>1.8260000000000001</c:v>
                </c:pt>
                <c:pt idx="10">
                  <c:v>1.71</c:v>
                </c:pt>
              </c:numCache>
            </c:numRef>
          </c:val>
          <c:extLst>
            <c:ext xmlns:c16="http://schemas.microsoft.com/office/drawing/2014/chart" uri="{C3380CC4-5D6E-409C-BE32-E72D297353CC}">
              <c16:uniqueId val="{00000002-B4AB-48E8-94F0-181C0E4EC739}"/>
            </c:ext>
          </c:extLst>
        </c:ser>
        <c:ser>
          <c:idx val="3"/>
          <c:order val="3"/>
          <c:tx>
            <c:strRef>
              <c:f>'Modelled costs_FD'!$N$5:$P$5</c:f>
              <c:strCache>
                <c:ptCount val="3"/>
                <c:pt idx="0">
                  <c:v>MCERTS EDM and pass forward flow monitor and civils</c:v>
                </c:pt>
              </c:strCache>
            </c:strRef>
          </c:tx>
          <c:spPr>
            <a:solidFill>
              <a:schemeClr val="accent4"/>
            </a:solidFill>
            <a:ln>
              <a:noFill/>
            </a:ln>
            <a:effectLst/>
          </c:spPr>
          <c:invertIfNegative val="0"/>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costs_FD'!$O$7:$O$17</c:f>
              <c:numCache>
                <c:formatCode>0.000</c:formatCode>
                <c:ptCount val="11"/>
                <c:pt idx="0">
                  <c:v>33.392000000000003</c:v>
                </c:pt>
                <c:pt idx="1">
                  <c:v>0.56200000000000006</c:v>
                </c:pt>
                <c:pt idx="2">
                  <c:v>0.51900000000000002</c:v>
                </c:pt>
                <c:pt idx="3">
                  <c:v>26.286999999999999</c:v>
                </c:pt>
                <c:pt idx="4">
                  <c:v>21.059000000000001</c:v>
                </c:pt>
                <c:pt idx="5">
                  <c:v>9.2780000000000005</c:v>
                </c:pt>
                <c:pt idx="6">
                  <c:v>91.492000000000004</c:v>
                </c:pt>
                <c:pt idx="7">
                  <c:v>7.0720000000000001</c:v>
                </c:pt>
                <c:pt idx="8">
                  <c:v>47.512999999999998</c:v>
                </c:pt>
                <c:pt idx="9">
                  <c:v>15.326000000000001</c:v>
                </c:pt>
                <c:pt idx="10">
                  <c:v>32.76</c:v>
                </c:pt>
              </c:numCache>
            </c:numRef>
          </c:val>
          <c:extLst>
            <c:ext xmlns:c16="http://schemas.microsoft.com/office/drawing/2014/chart" uri="{C3380CC4-5D6E-409C-BE32-E72D297353CC}">
              <c16:uniqueId val="{00000003-B4AB-48E8-94F0-181C0E4EC739}"/>
            </c:ext>
          </c:extLst>
        </c:ser>
        <c:ser>
          <c:idx val="4"/>
          <c:order val="4"/>
          <c:tx>
            <c:strRef>
              <c:f>'Modelled costs_FD'!$Q$5:$R$5</c:f>
              <c:strCache>
                <c:ptCount val="2"/>
                <c:pt idx="0">
                  <c:v>Permit change only</c:v>
                </c:pt>
              </c:strCache>
            </c:strRef>
          </c:tx>
          <c:spPr>
            <a:solidFill>
              <a:schemeClr val="accent5"/>
            </a:solidFill>
            <a:ln>
              <a:noFill/>
            </a:ln>
            <a:effectLst/>
          </c:spPr>
          <c:invertIfNegative val="0"/>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costs_FD'!$R$7:$R$17</c:f>
              <c:numCache>
                <c:formatCode>0.000</c:formatCode>
                <c:ptCount val="11"/>
                <c:pt idx="0">
                  <c:v>0</c:v>
                </c:pt>
                <c:pt idx="1">
                  <c:v>0</c:v>
                </c:pt>
                <c:pt idx="2">
                  <c:v>0</c:v>
                </c:pt>
                <c:pt idx="3">
                  <c:v>0</c:v>
                </c:pt>
                <c:pt idx="4">
                  <c:v>0</c:v>
                </c:pt>
                <c:pt idx="5">
                  <c:v>0.19500000000000001</c:v>
                </c:pt>
                <c:pt idx="6">
                  <c:v>0</c:v>
                </c:pt>
                <c:pt idx="7">
                  <c:v>0</c:v>
                </c:pt>
                <c:pt idx="8">
                  <c:v>0</c:v>
                </c:pt>
                <c:pt idx="9">
                  <c:v>3.1E-2</c:v>
                </c:pt>
                <c:pt idx="10">
                  <c:v>0</c:v>
                </c:pt>
              </c:numCache>
            </c:numRef>
          </c:val>
          <c:extLst>
            <c:ext xmlns:c16="http://schemas.microsoft.com/office/drawing/2014/chart" uri="{C3380CC4-5D6E-409C-BE32-E72D297353CC}">
              <c16:uniqueId val="{00000004-B4AB-48E8-94F0-181C0E4EC739}"/>
            </c:ext>
          </c:extLst>
        </c:ser>
        <c:dLbls>
          <c:showLegendKey val="0"/>
          <c:showVal val="0"/>
          <c:showCatName val="0"/>
          <c:showSerName val="0"/>
          <c:showPercent val="0"/>
          <c:showBubbleSize val="0"/>
        </c:dLbls>
        <c:gapWidth val="150"/>
        <c:overlap val="100"/>
        <c:axId val="2043778704"/>
        <c:axId val="2043768624"/>
      </c:barChart>
      <c:catAx>
        <c:axId val="2043778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3768624"/>
        <c:crosses val="autoZero"/>
        <c:auto val="1"/>
        <c:lblAlgn val="ctr"/>
        <c:lblOffset val="100"/>
        <c:noMultiLvlLbl val="0"/>
      </c:catAx>
      <c:valAx>
        <c:axId val="2043768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Cost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3778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Unit cost MCERTS EDM only (exc TMS and SRN)</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'Modelled costs_FD'!$G$6</c:f>
              <c:strCache>
                <c:ptCount val="1"/>
                <c:pt idx="0">
                  <c:v>Unit cost - EDM</c:v>
                </c:pt>
              </c:strCache>
            </c:strRef>
          </c:tx>
          <c:spPr>
            <a:solidFill>
              <a:srgbClr val="0071CE"/>
            </a:solidFill>
            <a:ln>
              <a:noFill/>
            </a:ln>
            <a:effectLst/>
          </c:spPr>
          <c:invertIfNegative val="0"/>
          <c:dPt>
            <c:idx val="0"/>
            <c:invertIfNegative val="0"/>
            <c:bubble3D val="0"/>
            <c:spPr>
              <a:solidFill>
                <a:srgbClr val="0071CE"/>
              </a:solidFill>
              <a:ln>
                <a:noFill/>
              </a:ln>
              <a:effectLst/>
            </c:spPr>
            <c:extLst>
              <c:ext xmlns:c16="http://schemas.microsoft.com/office/drawing/2014/chart" uri="{C3380CC4-5D6E-409C-BE32-E72D297353CC}">
                <c16:uniqueId val="{00000001-A91D-4152-AB3A-0EE52538CEF0}"/>
              </c:ext>
            </c:extLst>
          </c:dPt>
          <c:dPt>
            <c:idx val="1"/>
            <c:invertIfNegative val="0"/>
            <c:bubble3D val="0"/>
            <c:spPr>
              <a:solidFill>
                <a:srgbClr val="0071CE"/>
              </a:solidFill>
              <a:ln>
                <a:noFill/>
              </a:ln>
              <a:effectLst/>
            </c:spPr>
            <c:extLst>
              <c:ext xmlns:c16="http://schemas.microsoft.com/office/drawing/2014/chart" uri="{C3380CC4-5D6E-409C-BE32-E72D297353CC}">
                <c16:uniqueId val="{00000003-A91D-4152-AB3A-0EE52538CEF0}"/>
              </c:ext>
            </c:extLst>
          </c:dPt>
          <c:dPt>
            <c:idx val="2"/>
            <c:invertIfNegative val="0"/>
            <c:bubble3D val="0"/>
            <c:spPr>
              <a:solidFill>
                <a:srgbClr val="0071CE"/>
              </a:solidFill>
              <a:ln>
                <a:noFill/>
              </a:ln>
              <a:effectLst/>
            </c:spPr>
            <c:extLst>
              <c:ext xmlns:c16="http://schemas.microsoft.com/office/drawing/2014/chart" uri="{C3380CC4-5D6E-409C-BE32-E72D297353CC}">
                <c16:uniqueId val="{00000005-A91D-4152-AB3A-0EE52538CEF0}"/>
              </c:ext>
            </c:extLst>
          </c:dPt>
          <c:dPt>
            <c:idx val="6"/>
            <c:invertIfNegative val="0"/>
            <c:bubble3D val="0"/>
            <c:spPr>
              <a:solidFill>
                <a:srgbClr val="0071CE"/>
              </a:solidFill>
              <a:ln>
                <a:noFill/>
              </a:ln>
              <a:effectLst/>
            </c:spPr>
            <c:extLst>
              <c:ext xmlns:c16="http://schemas.microsoft.com/office/drawing/2014/chart" uri="{C3380CC4-5D6E-409C-BE32-E72D297353CC}">
                <c16:uniqueId val="{00000007-A91D-4152-AB3A-0EE52538CEF0}"/>
              </c:ext>
            </c:extLst>
          </c:dPt>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costs_FD'!$G$7:$G$17</c:f>
              <c:numCache>
                <c:formatCode>0.000</c:formatCode>
                <c:ptCount val="11"/>
                <c:pt idx="0">
                  <c:v>1.5906521739130434E-2</c:v>
                </c:pt>
                <c:pt idx="1">
                  <c:v>2.5511166253101739E-2</c:v>
                </c:pt>
                <c:pt idx="2">
                  <c:v>8.0000000000000002E-3</c:v>
                </c:pt>
                <c:pt idx="3">
                  <c:v>0</c:v>
                </c:pt>
                <c:pt idx="4">
                  <c:v>1.1626984126984126E-2</c:v>
                </c:pt>
                <c:pt idx="5">
                  <c:v>0</c:v>
                </c:pt>
                <c:pt idx="6">
                  <c:v>1.5044444444444445E-2</c:v>
                </c:pt>
                <c:pt idx="7">
                  <c:v>0.18138461538461539</c:v>
                </c:pt>
                <c:pt idx="8">
                  <c:v>0</c:v>
                </c:pt>
                <c:pt idx="9">
                  <c:v>2.1169230769230767E-2</c:v>
                </c:pt>
                <c:pt idx="10">
                  <c:v>9.4264339152119701E-3</c:v>
                </c:pt>
              </c:numCache>
            </c:numRef>
          </c:val>
          <c:extLst>
            <c:ext xmlns:c16="http://schemas.microsoft.com/office/drawing/2014/chart" uri="{C3380CC4-5D6E-409C-BE32-E72D297353CC}">
              <c16:uniqueId val="{00000008-A91D-4152-AB3A-0EE52538CEF0}"/>
            </c:ext>
          </c:extLst>
        </c:ser>
        <c:dLbls>
          <c:showLegendKey val="0"/>
          <c:showVal val="0"/>
          <c:showCatName val="0"/>
          <c:showSerName val="0"/>
          <c:showPercent val="0"/>
          <c:showBubbleSize val="0"/>
        </c:dLbls>
        <c:gapWidth val="219"/>
        <c:overlap val="-27"/>
        <c:axId val="495499231"/>
        <c:axId val="1489281487"/>
      </c:barChart>
      <c:catAx>
        <c:axId val="495499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9281487"/>
        <c:crosses val="autoZero"/>
        <c:auto val="1"/>
        <c:lblAlgn val="ctr"/>
        <c:lblOffset val="100"/>
        <c:noMultiLvlLbl val="0"/>
      </c:catAx>
      <c:valAx>
        <c:axId val="14892814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4992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a:t>Unit cost MCERTS EDM and civils (exc TMS and SRN)</a:t>
            </a:r>
          </a:p>
        </c:rich>
      </c:tx>
      <c:layout>
        <c:manualLayout>
          <c:xMode val="edge"/>
          <c:yMode val="edge"/>
          <c:x val="0.26551678074669244"/>
          <c:y val="4.3489529094013359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955674825632539"/>
          <c:y val="0.21348451969803478"/>
          <c:w val="0.8606588972923741"/>
          <c:h val="0.67958185263497162"/>
        </c:manualLayout>
      </c:layout>
      <c:barChart>
        <c:barDir val="col"/>
        <c:grouping val="clustered"/>
        <c:varyColors val="0"/>
        <c:ser>
          <c:idx val="0"/>
          <c:order val="0"/>
          <c:tx>
            <c:strRef>
              <c:f>'Modelled costs_FD'!$J$6</c:f>
              <c:strCache>
                <c:ptCount val="1"/>
                <c:pt idx="0">
                  <c:v>Unit cost - EDM </c:v>
                </c:pt>
              </c:strCache>
            </c:strRef>
          </c:tx>
          <c:spPr>
            <a:solidFill>
              <a:srgbClr val="0071CE"/>
            </a:solidFill>
            <a:ln>
              <a:noFill/>
            </a:ln>
            <a:effectLst/>
          </c:spPr>
          <c:invertIfNegative val="0"/>
          <c:dPt>
            <c:idx val="3"/>
            <c:invertIfNegative val="0"/>
            <c:bubble3D val="0"/>
            <c:spPr>
              <a:solidFill>
                <a:srgbClr val="0071CE"/>
              </a:solidFill>
              <a:ln>
                <a:noFill/>
              </a:ln>
              <a:effectLst/>
            </c:spPr>
            <c:extLst>
              <c:ext xmlns:c16="http://schemas.microsoft.com/office/drawing/2014/chart" uri="{C3380CC4-5D6E-409C-BE32-E72D297353CC}">
                <c16:uniqueId val="{00000001-C737-43F5-8C76-D45B3742A8DF}"/>
              </c:ext>
            </c:extLst>
          </c:dPt>
          <c:dPt>
            <c:idx val="6"/>
            <c:invertIfNegative val="0"/>
            <c:bubble3D val="0"/>
            <c:spPr>
              <a:solidFill>
                <a:srgbClr val="0071CE"/>
              </a:solidFill>
              <a:ln>
                <a:noFill/>
              </a:ln>
              <a:effectLst/>
            </c:spPr>
            <c:extLst>
              <c:ext xmlns:c16="http://schemas.microsoft.com/office/drawing/2014/chart" uri="{C3380CC4-5D6E-409C-BE32-E72D297353CC}">
                <c16:uniqueId val="{00000003-C737-43F5-8C76-D45B3742A8DF}"/>
              </c:ext>
            </c:extLst>
          </c:dPt>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costs_FD'!$J$7:$J$17</c:f>
              <c:numCache>
                <c:formatCode>0.000</c:formatCode>
                <c:ptCount val="11"/>
                <c:pt idx="0">
                  <c:v>0</c:v>
                </c:pt>
                <c:pt idx="1">
                  <c:v>0</c:v>
                </c:pt>
                <c:pt idx="2">
                  <c:v>0</c:v>
                </c:pt>
                <c:pt idx="3">
                  <c:v>8.0981012658227852E-2</c:v>
                </c:pt>
                <c:pt idx="4">
                  <c:v>6.1384615384615385E-2</c:v>
                </c:pt>
                <c:pt idx="5">
                  <c:v>0.03</c:v>
                </c:pt>
                <c:pt idx="6">
                  <c:v>4.5200000000000004E-2</c:v>
                </c:pt>
                <c:pt idx="7">
                  <c:v>0</c:v>
                </c:pt>
                <c:pt idx="8">
                  <c:v>7.6251700680272108E-2</c:v>
                </c:pt>
                <c:pt idx="9">
                  <c:v>3.2136363636363637E-2</c:v>
                </c:pt>
                <c:pt idx="10">
                  <c:v>0</c:v>
                </c:pt>
              </c:numCache>
            </c:numRef>
          </c:val>
          <c:extLst>
            <c:ext xmlns:c16="http://schemas.microsoft.com/office/drawing/2014/chart" uri="{C3380CC4-5D6E-409C-BE32-E72D297353CC}">
              <c16:uniqueId val="{00000004-C737-43F5-8C76-D45B3742A8DF}"/>
            </c:ext>
          </c:extLst>
        </c:ser>
        <c:dLbls>
          <c:showLegendKey val="0"/>
          <c:showVal val="0"/>
          <c:showCatName val="0"/>
          <c:showSerName val="0"/>
          <c:showPercent val="0"/>
          <c:showBubbleSize val="0"/>
        </c:dLbls>
        <c:gapWidth val="219"/>
        <c:overlap val="-27"/>
        <c:axId val="495499231"/>
        <c:axId val="1489281487"/>
      </c:barChart>
      <c:catAx>
        <c:axId val="495499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89281487"/>
        <c:crosses val="autoZero"/>
        <c:auto val="1"/>
        <c:lblAlgn val="ctr"/>
        <c:lblOffset val="100"/>
        <c:noMultiLvlLbl val="0"/>
      </c:catAx>
      <c:valAx>
        <c:axId val="14892814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54992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GB" sz="1100"/>
              <a:t>Unit</a:t>
            </a:r>
            <a:r>
              <a:rPr lang="en-GB" sz="1100" baseline="0"/>
              <a:t> costs MCERTS EDM and pass forward flow monitor and civils schemes</a:t>
            </a:r>
            <a:endParaRPr lang="en-GB"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spPr>
            <a:solidFill>
              <a:schemeClr val="accent1"/>
            </a:solidFill>
            <a:ln>
              <a:noFill/>
            </a:ln>
            <a:effectLst/>
          </c:spPr>
          <c:invertIfNegative val="0"/>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costs_FD'!$P$7:$P$17</c:f>
              <c:numCache>
                <c:formatCode>0.000</c:formatCode>
                <c:ptCount val="11"/>
                <c:pt idx="0">
                  <c:v>6.6917835671342685E-2</c:v>
                </c:pt>
                <c:pt idx="1">
                  <c:v>9.3666666666666676E-2</c:v>
                </c:pt>
                <c:pt idx="2">
                  <c:v>7.4142857142857149E-2</c:v>
                </c:pt>
                <c:pt idx="3">
                  <c:v>0.18643262411347516</c:v>
                </c:pt>
                <c:pt idx="4">
                  <c:v>8.0377862595419847E-2</c:v>
                </c:pt>
                <c:pt idx="5">
                  <c:v>5.0151351351351355E-2</c:v>
                </c:pt>
                <c:pt idx="6">
                  <c:v>0.47901570680628275</c:v>
                </c:pt>
                <c:pt idx="7">
                  <c:v>0.32145454545454544</c:v>
                </c:pt>
                <c:pt idx="8">
                  <c:v>0.26396111111111109</c:v>
                </c:pt>
                <c:pt idx="9">
                  <c:v>9.5787499999999998E-2</c:v>
                </c:pt>
                <c:pt idx="10">
                  <c:v>0.11784172661870503</c:v>
                </c:pt>
              </c:numCache>
            </c:numRef>
          </c:val>
          <c:extLst>
            <c:ext xmlns:c16="http://schemas.microsoft.com/office/drawing/2014/chart" uri="{C3380CC4-5D6E-409C-BE32-E72D297353CC}">
              <c16:uniqueId val="{00000000-1392-439E-A511-AE20697BAD67}"/>
            </c:ext>
          </c:extLst>
        </c:ser>
        <c:dLbls>
          <c:showLegendKey val="0"/>
          <c:showVal val="0"/>
          <c:showCatName val="0"/>
          <c:showSerName val="0"/>
          <c:showPercent val="0"/>
          <c:showBubbleSize val="0"/>
        </c:dLbls>
        <c:gapWidth val="219"/>
        <c:overlap val="-27"/>
        <c:axId val="356485263"/>
        <c:axId val="356500623"/>
      </c:barChart>
      <c:catAx>
        <c:axId val="356485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6500623"/>
        <c:crosses val="autoZero"/>
        <c:auto val="1"/>
        <c:lblAlgn val="ctr"/>
        <c:lblOffset val="100"/>
        <c:noMultiLvlLbl val="0"/>
      </c:catAx>
      <c:valAx>
        <c:axId val="3565006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64852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MCERTS EDM only linear regression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6D88D27C-E759-4E6A-BABF-6AEE1E2254F8}"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6476-49C0-B732-0B1C020C20A2}"/>
                </c:ext>
              </c:extLst>
            </c:dLbl>
            <c:dLbl>
              <c:idx val="1"/>
              <c:tx>
                <c:rich>
                  <a:bodyPr/>
                  <a:lstStyle/>
                  <a:p>
                    <a:fld id="{F77B6473-2BA5-44F6-B55B-A5ED640E68B1}"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476-49C0-B732-0B1C020C20A2}"/>
                </c:ext>
              </c:extLst>
            </c:dLbl>
            <c:dLbl>
              <c:idx val="2"/>
              <c:tx>
                <c:rich>
                  <a:bodyPr/>
                  <a:lstStyle/>
                  <a:p>
                    <a:fld id="{6E641E68-B8EE-4A56-811A-20073618D1BB}"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6476-49C0-B732-0B1C020C20A2}"/>
                </c:ext>
              </c:extLst>
            </c:dLbl>
            <c:dLbl>
              <c:idx val="3"/>
              <c:tx>
                <c:rich>
                  <a:bodyPr/>
                  <a:lstStyle/>
                  <a:p>
                    <a:fld id="{8CC1427A-2F70-4ED9-B6FC-D13CDB56BBDE}"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6476-49C0-B732-0B1C020C20A2}"/>
                </c:ext>
              </c:extLst>
            </c:dLbl>
            <c:dLbl>
              <c:idx val="4"/>
              <c:tx>
                <c:rich>
                  <a:bodyPr/>
                  <a:lstStyle/>
                  <a:p>
                    <a:fld id="{01CAEAFC-1308-4CEB-81B4-75D9F50861BC}"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6476-49C0-B732-0B1C020C20A2}"/>
                </c:ext>
              </c:extLst>
            </c:dLbl>
            <c:dLbl>
              <c:idx val="5"/>
              <c:tx>
                <c:rich>
                  <a:bodyPr/>
                  <a:lstStyle/>
                  <a:p>
                    <a:fld id="{88070E69-C620-47E0-B911-6B00B5A900A7}"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6476-49C0-B732-0B1C020C20A2}"/>
                </c:ext>
              </c:extLst>
            </c:dLbl>
            <c:dLbl>
              <c:idx val="6"/>
              <c:tx>
                <c:rich>
                  <a:bodyPr/>
                  <a:lstStyle/>
                  <a:p>
                    <a:fld id="{C116F4E3-C55F-42E8-B14D-34137610D01A}"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6476-49C0-B732-0B1C020C20A2}"/>
                </c:ext>
              </c:extLst>
            </c:dLbl>
            <c:dLbl>
              <c:idx val="7"/>
              <c:tx>
                <c:rich>
                  <a:bodyPr/>
                  <a:lstStyle/>
                  <a:p>
                    <a:fld id="{A9B595FA-180D-4B92-BD3E-C3F2583913CA}"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6476-49C0-B732-0B1C020C20A2}"/>
                </c:ext>
              </c:extLst>
            </c:dLbl>
            <c:dLbl>
              <c:idx val="8"/>
              <c:tx>
                <c:rich>
                  <a:bodyPr/>
                  <a:lstStyle/>
                  <a:p>
                    <a:fld id="{A090F45D-05CC-427C-B88D-27BDAD16C8F1}"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6476-49C0-B732-0B1C020C20A2}"/>
                </c:ext>
              </c:extLst>
            </c:dLbl>
            <c:dLbl>
              <c:idx val="9"/>
              <c:tx>
                <c:rich>
                  <a:bodyPr/>
                  <a:lstStyle/>
                  <a:p>
                    <a:fld id="{95B3286A-2F34-4A33-9DBF-E4F6ACE21D94}"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6476-49C0-B732-0B1C020C20A2}"/>
                </c:ext>
              </c:extLst>
            </c:dLbl>
            <c:dLbl>
              <c:idx val="10"/>
              <c:tx>
                <c:rich>
                  <a:bodyPr/>
                  <a:lstStyle/>
                  <a:p>
                    <a:fld id="{1A4B5546-15F8-450E-A490-49421F6A55F7}"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6476-49C0-B732-0B1C020C20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1"/>
            <c:trendlineLbl>
              <c:layout>
                <c:manualLayout>
                  <c:x val="-0.18593369631006249"/>
                  <c:y val="3.2370996315884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'Modelled costs_FD'!$E$7:$E$17</c:f>
              <c:numCache>
                <c:formatCode>0</c:formatCode>
                <c:ptCount val="11"/>
                <c:pt idx="0">
                  <c:v>920</c:v>
                </c:pt>
                <c:pt idx="1">
                  <c:v>806</c:v>
                </c:pt>
                <c:pt idx="2">
                  <c:v>6</c:v>
                </c:pt>
                <c:pt idx="3">
                  <c:v>0</c:v>
                </c:pt>
                <c:pt idx="4">
                  <c:v>378</c:v>
                </c:pt>
                <c:pt idx="5">
                  <c:v>0</c:v>
                </c:pt>
                <c:pt idx="6">
                  <c:v>45</c:v>
                </c:pt>
                <c:pt idx="7">
                  <c:v>26</c:v>
                </c:pt>
                <c:pt idx="8">
                  <c:v>0</c:v>
                </c:pt>
                <c:pt idx="9">
                  <c:v>65</c:v>
                </c:pt>
                <c:pt idx="10">
                  <c:v>401</c:v>
                </c:pt>
              </c:numCache>
            </c:numRef>
          </c:xVal>
          <c:yVal>
            <c:numRef>
              <c:f>'Modelled costs_FD'!$F$7:$F$17</c:f>
              <c:numCache>
                <c:formatCode>0.000</c:formatCode>
                <c:ptCount val="11"/>
                <c:pt idx="0">
                  <c:v>14.634</c:v>
                </c:pt>
                <c:pt idx="1">
                  <c:v>20.562000000000001</c:v>
                </c:pt>
                <c:pt idx="2">
                  <c:v>4.8000000000000001E-2</c:v>
                </c:pt>
                <c:pt idx="3">
                  <c:v>0</c:v>
                </c:pt>
                <c:pt idx="4">
                  <c:v>4.3949999999999996</c:v>
                </c:pt>
                <c:pt idx="5">
                  <c:v>0.20899999999999999</c:v>
                </c:pt>
                <c:pt idx="6">
                  <c:v>0.67700000000000005</c:v>
                </c:pt>
                <c:pt idx="7">
                  <c:v>4.7160000000000002</c:v>
                </c:pt>
                <c:pt idx="8">
                  <c:v>0</c:v>
                </c:pt>
                <c:pt idx="9">
                  <c:v>1.3759999999999999</c:v>
                </c:pt>
                <c:pt idx="10">
                  <c:v>3.78</c:v>
                </c:pt>
              </c:numCache>
            </c:numRef>
          </c:yVal>
          <c:smooth val="0"/>
          <c:extLst>
            <c:ext xmlns:c15="http://schemas.microsoft.com/office/drawing/2012/chart" uri="{02D57815-91ED-43cb-92C2-25804820EDAC}">
              <c15:filteredSeriesTitle>
                <c15:tx>
                  <c:strRef>
                    <c:extLst>
                      <c:ext uri="{02D57815-91ED-43cb-92C2-25804820EDAC}">
                        <c15:formulaRef>
                          <c15:sqref>'Modelled costs_FD'!#REF!</c15:sqref>
                        </c15:formulaRef>
                      </c:ext>
                    </c:extLst>
                    <c:strCache>
                      <c:ptCount val="1"/>
                      <c:pt idx="0">
                        <c:v>#REF!</c:v>
                      </c:pt>
                    </c:strCache>
                  </c:strRef>
                </c15:tx>
              </c15:filteredSeriesTitle>
            </c:ext>
            <c:ext xmlns:c15="http://schemas.microsoft.com/office/drawing/2012/chart" uri="{02D57815-91ED-43cb-92C2-25804820EDAC}">
              <c15:datalabelsRange>
                <c15:f>'Modelled costs_FD'!$A$7:$A$17</c15:f>
                <c15:dlblRangeCache>
                  <c:ptCount val="11"/>
                  <c:pt idx="0">
                    <c:v>ANH</c:v>
                  </c:pt>
                  <c:pt idx="1">
                    <c:v>WSH</c:v>
                  </c:pt>
                  <c:pt idx="2">
                    <c:v>HDD</c:v>
                  </c:pt>
                  <c:pt idx="3">
                    <c:v>NES</c:v>
                  </c:pt>
                  <c:pt idx="4">
                    <c:v>SVE</c:v>
                  </c:pt>
                  <c:pt idx="5">
                    <c:v>SWB</c:v>
                  </c:pt>
                  <c:pt idx="6">
                    <c:v>SRN</c:v>
                  </c:pt>
                  <c:pt idx="7">
                    <c:v>TMS</c:v>
                  </c:pt>
                  <c:pt idx="8">
                    <c:v>NWT</c:v>
                  </c:pt>
                  <c:pt idx="9">
                    <c:v>WSX</c:v>
                  </c:pt>
                  <c:pt idx="10">
                    <c:v>YKY</c:v>
                  </c:pt>
                </c15:dlblRangeCache>
              </c15:datalabelsRange>
            </c:ext>
            <c:ext xmlns:c16="http://schemas.microsoft.com/office/drawing/2014/chart" uri="{C3380CC4-5D6E-409C-BE32-E72D297353CC}">
              <c16:uniqueId val="{0000000C-6476-49C0-B732-0B1C020C20A2}"/>
            </c:ext>
          </c:extLst>
        </c:ser>
        <c:dLbls>
          <c:showLegendKey val="0"/>
          <c:showVal val="0"/>
          <c:showCatName val="0"/>
          <c:showSerName val="0"/>
          <c:showPercent val="0"/>
          <c:showBubbleSize val="0"/>
        </c:dLbls>
        <c:axId val="1467214464"/>
        <c:axId val="1467214944"/>
      </c:scatterChart>
      <c:valAx>
        <c:axId val="14672144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944"/>
        <c:crosses val="autoZero"/>
        <c:crossBetween val="midCat"/>
      </c:valAx>
      <c:valAx>
        <c:axId val="1467214944"/>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4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MCERTS EDM only and civils linear regression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382FFA92-095D-4DB2-A9A5-AF419E78A164}"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5AC-4448-A4EA-49D4F13A2AD0}"/>
                </c:ext>
              </c:extLst>
            </c:dLbl>
            <c:dLbl>
              <c:idx val="1"/>
              <c:tx>
                <c:rich>
                  <a:bodyPr/>
                  <a:lstStyle/>
                  <a:p>
                    <a:fld id="{9E27EAC7-31E7-4408-A8CE-8842698C8241}"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5AC-4448-A4EA-49D4F13A2AD0}"/>
                </c:ext>
              </c:extLst>
            </c:dLbl>
            <c:dLbl>
              <c:idx val="2"/>
              <c:tx>
                <c:rich>
                  <a:bodyPr/>
                  <a:lstStyle/>
                  <a:p>
                    <a:fld id="{0316EA01-A8DB-4D23-A071-AECD6E9D7339}"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55AC-4448-A4EA-49D4F13A2AD0}"/>
                </c:ext>
              </c:extLst>
            </c:dLbl>
            <c:dLbl>
              <c:idx val="3"/>
              <c:tx>
                <c:rich>
                  <a:bodyPr/>
                  <a:lstStyle/>
                  <a:p>
                    <a:fld id="{BCD5679C-8577-461D-98BE-A320C608564C}"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5AC-4448-A4EA-49D4F13A2AD0}"/>
                </c:ext>
              </c:extLst>
            </c:dLbl>
            <c:dLbl>
              <c:idx val="4"/>
              <c:tx>
                <c:rich>
                  <a:bodyPr/>
                  <a:lstStyle/>
                  <a:p>
                    <a:fld id="{739E14F8-C2A2-4041-B17E-9C97C56E51A9}"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5AC-4448-A4EA-49D4F13A2AD0}"/>
                </c:ext>
              </c:extLst>
            </c:dLbl>
            <c:dLbl>
              <c:idx val="5"/>
              <c:tx>
                <c:rich>
                  <a:bodyPr/>
                  <a:lstStyle/>
                  <a:p>
                    <a:fld id="{6A67D2CC-D160-4D7A-98B8-197238B69D0B}"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5AC-4448-A4EA-49D4F13A2AD0}"/>
                </c:ext>
              </c:extLst>
            </c:dLbl>
            <c:dLbl>
              <c:idx val="6"/>
              <c:tx>
                <c:rich>
                  <a:bodyPr/>
                  <a:lstStyle/>
                  <a:p>
                    <a:fld id="{FD6ECA07-051E-4F55-B8A0-A8AF0E08D41D}"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5AC-4448-A4EA-49D4F13A2AD0}"/>
                </c:ext>
              </c:extLst>
            </c:dLbl>
            <c:dLbl>
              <c:idx val="7"/>
              <c:tx>
                <c:rich>
                  <a:bodyPr/>
                  <a:lstStyle/>
                  <a:p>
                    <a:fld id="{6F6F7C90-C978-4823-8028-1EA996996E7A}"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5AC-4448-A4EA-49D4F13A2AD0}"/>
                </c:ext>
              </c:extLst>
            </c:dLbl>
            <c:dLbl>
              <c:idx val="8"/>
              <c:tx>
                <c:rich>
                  <a:bodyPr/>
                  <a:lstStyle/>
                  <a:p>
                    <a:fld id="{2CD4D67F-094F-49FE-9D88-523864CE34F3}"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5AC-4448-A4EA-49D4F13A2AD0}"/>
                </c:ext>
              </c:extLst>
            </c:dLbl>
            <c:dLbl>
              <c:idx val="9"/>
              <c:tx>
                <c:rich>
                  <a:bodyPr/>
                  <a:lstStyle/>
                  <a:p>
                    <a:fld id="{3234C964-E458-4101-A8A1-7865FA47E6F9}"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5AC-4448-A4EA-49D4F13A2AD0}"/>
                </c:ext>
              </c:extLst>
            </c:dLbl>
            <c:dLbl>
              <c:idx val="10"/>
              <c:tx>
                <c:rich>
                  <a:bodyPr/>
                  <a:lstStyle/>
                  <a:p>
                    <a:fld id="{986514FE-3DC5-43AA-BF79-51A2263E2200}"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5AC-4448-A4EA-49D4F13A2A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1"/>
            <c:trendlineLbl>
              <c:layout>
                <c:manualLayout>
                  <c:x val="-0.18593369631006249"/>
                  <c:y val="3.2370996315884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'Modelled costs_FD'!$H$7:$H$17</c:f>
              <c:numCache>
                <c:formatCode>0</c:formatCode>
                <c:ptCount val="11"/>
                <c:pt idx="0">
                  <c:v>0</c:v>
                </c:pt>
                <c:pt idx="1">
                  <c:v>0</c:v>
                </c:pt>
                <c:pt idx="2">
                  <c:v>0</c:v>
                </c:pt>
                <c:pt idx="3">
                  <c:v>158</c:v>
                </c:pt>
                <c:pt idx="4">
                  <c:v>13</c:v>
                </c:pt>
                <c:pt idx="5">
                  <c:v>8</c:v>
                </c:pt>
                <c:pt idx="6">
                  <c:v>15</c:v>
                </c:pt>
                <c:pt idx="7">
                  <c:v>0</c:v>
                </c:pt>
                <c:pt idx="8">
                  <c:v>294</c:v>
                </c:pt>
                <c:pt idx="9">
                  <c:v>44</c:v>
                </c:pt>
                <c:pt idx="10">
                  <c:v>0</c:v>
                </c:pt>
              </c:numCache>
            </c:numRef>
          </c:xVal>
          <c:yVal>
            <c:numRef>
              <c:f>'Modelled costs_FD'!$I$7:$I$17</c:f>
              <c:numCache>
                <c:formatCode>0.000</c:formatCode>
                <c:ptCount val="11"/>
                <c:pt idx="0">
                  <c:v>0</c:v>
                </c:pt>
                <c:pt idx="1">
                  <c:v>0</c:v>
                </c:pt>
                <c:pt idx="2">
                  <c:v>0</c:v>
                </c:pt>
                <c:pt idx="3">
                  <c:v>12.795</c:v>
                </c:pt>
                <c:pt idx="4">
                  <c:v>0.79800000000000004</c:v>
                </c:pt>
                <c:pt idx="5">
                  <c:v>0.24</c:v>
                </c:pt>
                <c:pt idx="6">
                  <c:v>0.67800000000000005</c:v>
                </c:pt>
                <c:pt idx="7">
                  <c:v>0</c:v>
                </c:pt>
                <c:pt idx="8">
                  <c:v>22.417999999999999</c:v>
                </c:pt>
                <c:pt idx="9">
                  <c:v>1.4139999999999999</c:v>
                </c:pt>
                <c:pt idx="10">
                  <c:v>0</c:v>
                </c:pt>
              </c:numCache>
            </c:numRef>
          </c:yVal>
          <c:smooth val="0"/>
          <c:extLst>
            <c:ext xmlns:c15="http://schemas.microsoft.com/office/drawing/2012/chart" uri="{02D57815-91ED-43cb-92C2-25804820EDAC}">
              <c15:filteredSeriesTitle>
                <c15:tx>
                  <c:strRef>
                    <c:extLst>
                      <c:ext uri="{02D57815-91ED-43cb-92C2-25804820EDAC}">
                        <c15:formulaRef>
                          <c15:sqref>'Modelled costs_FD'!#REF!</c15:sqref>
                        </c15:formulaRef>
                      </c:ext>
                    </c:extLst>
                    <c:strCache>
                      <c:ptCount val="1"/>
                      <c:pt idx="0">
                        <c:v>#REF!</c:v>
                      </c:pt>
                    </c:strCache>
                  </c:strRef>
                </c15:tx>
              </c15:filteredSeriesTitle>
            </c:ext>
            <c:ext xmlns:c15="http://schemas.microsoft.com/office/drawing/2012/chart" uri="{02D57815-91ED-43cb-92C2-25804820EDAC}">
              <c15:datalabelsRange>
                <c15:f>'Modelled costs_FD'!$A$7:$A$17</c15:f>
                <c15:dlblRangeCache>
                  <c:ptCount val="11"/>
                  <c:pt idx="0">
                    <c:v>ANH</c:v>
                  </c:pt>
                  <c:pt idx="1">
                    <c:v>WSH</c:v>
                  </c:pt>
                  <c:pt idx="2">
                    <c:v>HDD</c:v>
                  </c:pt>
                  <c:pt idx="3">
                    <c:v>NES</c:v>
                  </c:pt>
                  <c:pt idx="4">
                    <c:v>SVE</c:v>
                  </c:pt>
                  <c:pt idx="5">
                    <c:v>SWB</c:v>
                  </c:pt>
                  <c:pt idx="6">
                    <c:v>SRN</c:v>
                  </c:pt>
                  <c:pt idx="7">
                    <c:v>TMS</c:v>
                  </c:pt>
                  <c:pt idx="8">
                    <c:v>NWT</c:v>
                  </c:pt>
                  <c:pt idx="9">
                    <c:v>WSX</c:v>
                  </c:pt>
                  <c:pt idx="10">
                    <c:v>YKY</c:v>
                  </c:pt>
                </c15:dlblRangeCache>
              </c15:datalabelsRange>
            </c:ext>
            <c:ext xmlns:c16="http://schemas.microsoft.com/office/drawing/2014/chart" uri="{C3380CC4-5D6E-409C-BE32-E72D297353CC}">
              <c16:uniqueId val="{0000000C-55AC-4448-A4EA-49D4F13A2AD0}"/>
            </c:ext>
          </c:extLst>
        </c:ser>
        <c:dLbls>
          <c:showLegendKey val="0"/>
          <c:showVal val="0"/>
          <c:showCatName val="0"/>
          <c:showSerName val="0"/>
          <c:showPercent val="0"/>
          <c:showBubbleSize val="0"/>
        </c:dLbls>
        <c:axId val="1467214464"/>
        <c:axId val="1467214944"/>
      </c:scatterChart>
      <c:valAx>
        <c:axId val="14672144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944"/>
        <c:crosses val="autoZero"/>
        <c:crossBetween val="midCat"/>
      </c:valAx>
      <c:valAx>
        <c:axId val="1467214944"/>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4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MCERTS EDM and PFF linear regression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B05C7075-650B-4959-B82B-65DE572CDE2C}"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B2EB-4178-8D89-E4DF360F0629}"/>
                </c:ext>
              </c:extLst>
            </c:dLbl>
            <c:dLbl>
              <c:idx val="1"/>
              <c:tx>
                <c:rich>
                  <a:bodyPr/>
                  <a:lstStyle/>
                  <a:p>
                    <a:fld id="{467D5772-A438-446A-91F9-08D325EED804}"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B2EB-4178-8D89-E4DF360F0629}"/>
                </c:ext>
              </c:extLst>
            </c:dLbl>
            <c:dLbl>
              <c:idx val="2"/>
              <c:tx>
                <c:rich>
                  <a:bodyPr/>
                  <a:lstStyle/>
                  <a:p>
                    <a:fld id="{05B5A6F5-9B3F-4D9F-B45C-6C984AB17C1D}"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B2EB-4178-8D89-E4DF360F0629}"/>
                </c:ext>
              </c:extLst>
            </c:dLbl>
            <c:dLbl>
              <c:idx val="3"/>
              <c:tx>
                <c:rich>
                  <a:bodyPr/>
                  <a:lstStyle/>
                  <a:p>
                    <a:fld id="{64464B4D-75EA-4E61-88B8-A6833EE8790B}"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B2EB-4178-8D89-E4DF360F0629}"/>
                </c:ext>
              </c:extLst>
            </c:dLbl>
            <c:dLbl>
              <c:idx val="4"/>
              <c:tx>
                <c:rich>
                  <a:bodyPr/>
                  <a:lstStyle/>
                  <a:p>
                    <a:fld id="{2B8FD311-8232-4382-A37A-0DE12528A75C}"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2EB-4178-8D89-E4DF360F0629}"/>
                </c:ext>
              </c:extLst>
            </c:dLbl>
            <c:dLbl>
              <c:idx val="5"/>
              <c:tx>
                <c:rich>
                  <a:bodyPr/>
                  <a:lstStyle/>
                  <a:p>
                    <a:fld id="{ECD7191D-78F6-4FDA-8498-B1B760B26F39}"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2EB-4178-8D89-E4DF360F0629}"/>
                </c:ext>
              </c:extLst>
            </c:dLbl>
            <c:dLbl>
              <c:idx val="6"/>
              <c:tx>
                <c:rich>
                  <a:bodyPr/>
                  <a:lstStyle/>
                  <a:p>
                    <a:fld id="{207FE622-2669-4BC2-9828-B5588D6116F5}"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B2EB-4178-8D89-E4DF360F0629}"/>
                </c:ext>
              </c:extLst>
            </c:dLbl>
            <c:dLbl>
              <c:idx val="7"/>
              <c:tx>
                <c:rich>
                  <a:bodyPr/>
                  <a:lstStyle/>
                  <a:p>
                    <a:fld id="{C144A792-93D6-4EDF-9F0E-D5D3F5E9102C}"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B2EB-4178-8D89-E4DF360F0629}"/>
                </c:ext>
              </c:extLst>
            </c:dLbl>
            <c:dLbl>
              <c:idx val="8"/>
              <c:tx>
                <c:rich>
                  <a:bodyPr/>
                  <a:lstStyle/>
                  <a:p>
                    <a:fld id="{0A10E373-CE24-4F93-87E2-16889C827233}"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B2EB-4178-8D89-E4DF360F0629}"/>
                </c:ext>
              </c:extLst>
            </c:dLbl>
            <c:dLbl>
              <c:idx val="9"/>
              <c:tx>
                <c:rich>
                  <a:bodyPr/>
                  <a:lstStyle/>
                  <a:p>
                    <a:fld id="{F5D49116-4AF6-47A4-9612-5FA70A7BE387}"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B2EB-4178-8D89-E4DF360F0629}"/>
                </c:ext>
              </c:extLst>
            </c:dLbl>
            <c:dLbl>
              <c:idx val="10"/>
              <c:tx>
                <c:rich>
                  <a:bodyPr/>
                  <a:lstStyle/>
                  <a:p>
                    <a:fld id="{F714307C-930B-4613-928B-C568F0477B31}"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B2EB-4178-8D89-E4DF360F062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1"/>
            <c:trendlineLbl>
              <c:layout>
                <c:manualLayout>
                  <c:x val="-0.18593369631006249"/>
                  <c:y val="3.2370996315884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'Modelled costs_FD'!$K$7:$K$17</c:f>
              <c:numCache>
                <c:formatCode>0</c:formatCode>
                <c:ptCount val="11"/>
                <c:pt idx="0">
                  <c:v>0</c:v>
                </c:pt>
                <c:pt idx="1">
                  <c:v>1</c:v>
                </c:pt>
                <c:pt idx="2">
                  <c:v>0</c:v>
                </c:pt>
                <c:pt idx="3">
                  <c:v>0</c:v>
                </c:pt>
                <c:pt idx="4">
                  <c:v>0</c:v>
                </c:pt>
                <c:pt idx="5">
                  <c:v>0</c:v>
                </c:pt>
                <c:pt idx="6">
                  <c:v>0</c:v>
                </c:pt>
                <c:pt idx="7">
                  <c:v>0</c:v>
                </c:pt>
                <c:pt idx="8">
                  <c:v>0</c:v>
                </c:pt>
                <c:pt idx="9">
                  <c:v>28</c:v>
                </c:pt>
                <c:pt idx="10">
                  <c:v>181</c:v>
                </c:pt>
              </c:numCache>
            </c:numRef>
          </c:xVal>
          <c:yVal>
            <c:numRef>
              <c:f>'Modelled costs_FD'!$L$7:$L$17</c:f>
              <c:numCache>
                <c:formatCode>0.000</c:formatCode>
                <c:ptCount val="11"/>
                <c:pt idx="0">
                  <c:v>0</c:v>
                </c:pt>
                <c:pt idx="1">
                  <c:v>6.7000000000000004E-2</c:v>
                </c:pt>
                <c:pt idx="2">
                  <c:v>0</c:v>
                </c:pt>
                <c:pt idx="3">
                  <c:v>0</c:v>
                </c:pt>
                <c:pt idx="4">
                  <c:v>0</c:v>
                </c:pt>
                <c:pt idx="5">
                  <c:v>0.27800000000000002</c:v>
                </c:pt>
                <c:pt idx="6">
                  <c:v>0</c:v>
                </c:pt>
                <c:pt idx="7">
                  <c:v>0</c:v>
                </c:pt>
                <c:pt idx="8">
                  <c:v>0</c:v>
                </c:pt>
                <c:pt idx="9">
                  <c:v>1.8260000000000001</c:v>
                </c:pt>
                <c:pt idx="10">
                  <c:v>1.71</c:v>
                </c:pt>
              </c:numCache>
            </c:numRef>
          </c:yVal>
          <c:smooth val="0"/>
          <c:extLst>
            <c:ext xmlns:c15="http://schemas.microsoft.com/office/drawing/2012/chart" uri="{02D57815-91ED-43cb-92C2-25804820EDAC}">
              <c15:filteredSeriesTitle>
                <c15:tx>
                  <c:strRef>
                    <c:extLst>
                      <c:ext uri="{02D57815-91ED-43cb-92C2-25804820EDAC}">
                        <c15:formulaRef>
                          <c15:sqref>'Modelled costs_FD'!#REF!</c15:sqref>
                        </c15:formulaRef>
                      </c:ext>
                    </c:extLst>
                    <c:strCache>
                      <c:ptCount val="1"/>
                      <c:pt idx="0">
                        <c:v>#REF!</c:v>
                      </c:pt>
                    </c:strCache>
                  </c:strRef>
                </c15:tx>
              </c15:filteredSeriesTitle>
            </c:ext>
            <c:ext xmlns:c15="http://schemas.microsoft.com/office/drawing/2012/chart" uri="{02D57815-91ED-43cb-92C2-25804820EDAC}">
              <c15:datalabelsRange>
                <c15:f>'Modelled costs_FD'!$A$7:$A$17</c15:f>
                <c15:dlblRangeCache>
                  <c:ptCount val="11"/>
                  <c:pt idx="0">
                    <c:v>ANH</c:v>
                  </c:pt>
                  <c:pt idx="1">
                    <c:v>WSH</c:v>
                  </c:pt>
                  <c:pt idx="2">
                    <c:v>HDD</c:v>
                  </c:pt>
                  <c:pt idx="3">
                    <c:v>NES</c:v>
                  </c:pt>
                  <c:pt idx="4">
                    <c:v>SVE</c:v>
                  </c:pt>
                  <c:pt idx="5">
                    <c:v>SWB</c:v>
                  </c:pt>
                  <c:pt idx="6">
                    <c:v>SRN</c:v>
                  </c:pt>
                  <c:pt idx="7">
                    <c:v>TMS</c:v>
                  </c:pt>
                  <c:pt idx="8">
                    <c:v>NWT</c:v>
                  </c:pt>
                  <c:pt idx="9">
                    <c:v>WSX</c:v>
                  </c:pt>
                  <c:pt idx="10">
                    <c:v>YKY</c:v>
                  </c:pt>
                </c15:dlblRangeCache>
              </c15:datalabelsRange>
            </c:ext>
            <c:ext xmlns:c16="http://schemas.microsoft.com/office/drawing/2014/chart" uri="{C3380CC4-5D6E-409C-BE32-E72D297353CC}">
              <c16:uniqueId val="{00000001-B2EB-4178-8D89-E4DF360F0629}"/>
            </c:ext>
          </c:extLst>
        </c:ser>
        <c:dLbls>
          <c:showLegendKey val="0"/>
          <c:showVal val="0"/>
          <c:showCatName val="0"/>
          <c:showSerName val="0"/>
          <c:showPercent val="0"/>
          <c:showBubbleSize val="0"/>
        </c:dLbls>
        <c:axId val="1467214464"/>
        <c:axId val="1467214944"/>
      </c:scatterChart>
      <c:valAx>
        <c:axId val="14672144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944"/>
        <c:crosses val="autoZero"/>
        <c:crossBetween val="midCat"/>
      </c:valAx>
      <c:valAx>
        <c:axId val="1467214944"/>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4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MCERTS EDM and PFF civils</a:t>
            </a:r>
            <a:r>
              <a:rPr lang="en-US" baseline="0"/>
              <a:t> </a:t>
            </a:r>
            <a:r>
              <a:rPr lang="en-US"/>
              <a:t>linear regression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89D7A88D-97A2-423D-AB15-DE9DE5596C1F}"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15D-4CF0-A2D9-47CD4C42B543}"/>
                </c:ext>
              </c:extLst>
            </c:dLbl>
            <c:dLbl>
              <c:idx val="1"/>
              <c:tx>
                <c:rich>
                  <a:bodyPr/>
                  <a:lstStyle/>
                  <a:p>
                    <a:fld id="{563F5F17-30EB-4721-BA7A-FAF229FD6B20}"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15D-4CF0-A2D9-47CD4C42B543}"/>
                </c:ext>
              </c:extLst>
            </c:dLbl>
            <c:dLbl>
              <c:idx val="2"/>
              <c:tx>
                <c:rich>
                  <a:bodyPr/>
                  <a:lstStyle/>
                  <a:p>
                    <a:fld id="{964C5759-E6D1-4D1C-853D-AFDE94605345}"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15D-4CF0-A2D9-47CD4C42B543}"/>
                </c:ext>
              </c:extLst>
            </c:dLbl>
            <c:dLbl>
              <c:idx val="3"/>
              <c:tx>
                <c:rich>
                  <a:bodyPr/>
                  <a:lstStyle/>
                  <a:p>
                    <a:fld id="{17BE5EE9-0F79-4346-B887-A90D7074D040}"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15D-4CF0-A2D9-47CD4C42B543}"/>
                </c:ext>
              </c:extLst>
            </c:dLbl>
            <c:dLbl>
              <c:idx val="4"/>
              <c:tx>
                <c:rich>
                  <a:bodyPr/>
                  <a:lstStyle/>
                  <a:p>
                    <a:fld id="{2E77D66C-60E4-4BF7-9C96-18DD2DB66EF6}"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15D-4CF0-A2D9-47CD4C42B543}"/>
                </c:ext>
              </c:extLst>
            </c:dLbl>
            <c:dLbl>
              <c:idx val="5"/>
              <c:tx>
                <c:rich>
                  <a:bodyPr/>
                  <a:lstStyle/>
                  <a:p>
                    <a:fld id="{BED11E5D-8DE4-447D-BD1A-81B17419224C}"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15D-4CF0-A2D9-47CD4C42B543}"/>
                </c:ext>
              </c:extLst>
            </c:dLbl>
            <c:dLbl>
              <c:idx val="6"/>
              <c:tx>
                <c:rich>
                  <a:bodyPr/>
                  <a:lstStyle/>
                  <a:p>
                    <a:fld id="{1F98ADC3-1906-4755-906D-FD723E732A7F}"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15D-4CF0-A2D9-47CD4C42B543}"/>
                </c:ext>
              </c:extLst>
            </c:dLbl>
            <c:dLbl>
              <c:idx val="7"/>
              <c:tx>
                <c:rich>
                  <a:bodyPr/>
                  <a:lstStyle/>
                  <a:p>
                    <a:fld id="{5CEE6626-6E2E-47AE-9FCD-D1E7F0FC66B1}"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15D-4CF0-A2D9-47CD4C42B543}"/>
                </c:ext>
              </c:extLst>
            </c:dLbl>
            <c:dLbl>
              <c:idx val="8"/>
              <c:tx>
                <c:rich>
                  <a:bodyPr/>
                  <a:lstStyle/>
                  <a:p>
                    <a:fld id="{E0DE4B4A-DB12-4C02-A061-21101CA6F1A2}"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15D-4CF0-A2D9-47CD4C42B543}"/>
                </c:ext>
              </c:extLst>
            </c:dLbl>
            <c:dLbl>
              <c:idx val="9"/>
              <c:tx>
                <c:rich>
                  <a:bodyPr/>
                  <a:lstStyle/>
                  <a:p>
                    <a:fld id="{5C39BAEF-F86F-426E-A24E-DB1664D238AA}"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15D-4CF0-A2D9-47CD4C42B543}"/>
                </c:ext>
              </c:extLst>
            </c:dLbl>
            <c:dLbl>
              <c:idx val="10"/>
              <c:tx>
                <c:rich>
                  <a:bodyPr/>
                  <a:lstStyle/>
                  <a:p>
                    <a:fld id="{3BB8BE78-D58C-4B54-AD4C-56AB97C1153A}" type="CELLRANGE">
                      <a:rPr lang="en-US"/>
                      <a:pPr/>
                      <a:t>[]</a:t>
                    </a:fld>
                    <a:endParaRP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15D-4CF0-A2D9-47CD4C42B54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1"/>
            <c:trendlineLbl>
              <c:layout>
                <c:manualLayout>
                  <c:x val="4.1068706872688342E-2"/>
                  <c:y val="0.3053764024828058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'Modelled costs_FD'!$N$7:$N$17</c:f>
              <c:numCache>
                <c:formatCode>0</c:formatCode>
                <c:ptCount val="11"/>
                <c:pt idx="0">
                  <c:v>499</c:v>
                </c:pt>
                <c:pt idx="1">
                  <c:v>6</c:v>
                </c:pt>
                <c:pt idx="2">
                  <c:v>7</c:v>
                </c:pt>
                <c:pt idx="3">
                  <c:v>141</c:v>
                </c:pt>
                <c:pt idx="4">
                  <c:v>262</c:v>
                </c:pt>
                <c:pt idx="5">
                  <c:v>185</c:v>
                </c:pt>
                <c:pt idx="6">
                  <c:v>191</c:v>
                </c:pt>
                <c:pt idx="7">
                  <c:v>22</c:v>
                </c:pt>
                <c:pt idx="8">
                  <c:v>180</c:v>
                </c:pt>
                <c:pt idx="9">
                  <c:v>160</c:v>
                </c:pt>
                <c:pt idx="10">
                  <c:v>278</c:v>
                </c:pt>
              </c:numCache>
            </c:numRef>
          </c:xVal>
          <c:yVal>
            <c:numRef>
              <c:f>'Modelled costs_FD'!$O$7:$O$17</c:f>
              <c:numCache>
                <c:formatCode>0.000</c:formatCode>
                <c:ptCount val="11"/>
                <c:pt idx="0">
                  <c:v>33.392000000000003</c:v>
                </c:pt>
                <c:pt idx="1">
                  <c:v>0.56200000000000006</c:v>
                </c:pt>
                <c:pt idx="2">
                  <c:v>0.51900000000000002</c:v>
                </c:pt>
                <c:pt idx="3">
                  <c:v>26.286999999999999</c:v>
                </c:pt>
                <c:pt idx="4">
                  <c:v>21.059000000000001</c:v>
                </c:pt>
                <c:pt idx="5">
                  <c:v>9.2780000000000005</c:v>
                </c:pt>
                <c:pt idx="6">
                  <c:v>91.492000000000004</c:v>
                </c:pt>
                <c:pt idx="7">
                  <c:v>7.0720000000000001</c:v>
                </c:pt>
                <c:pt idx="8">
                  <c:v>47.512999999999998</c:v>
                </c:pt>
                <c:pt idx="9">
                  <c:v>15.326000000000001</c:v>
                </c:pt>
                <c:pt idx="10">
                  <c:v>32.76</c:v>
                </c:pt>
              </c:numCache>
            </c:numRef>
          </c:yVal>
          <c:smooth val="0"/>
          <c:extLst>
            <c:ext xmlns:c15="http://schemas.microsoft.com/office/drawing/2012/chart" uri="{02D57815-91ED-43cb-92C2-25804820EDAC}">
              <c15:filteredSeriesTitle>
                <c15:tx>
                  <c:strRef>
                    <c:extLst>
                      <c:ext uri="{02D57815-91ED-43cb-92C2-25804820EDAC}">
                        <c15:formulaRef>
                          <c15:sqref>'Modelled costs_FD'!#REF!</c15:sqref>
                        </c15:formulaRef>
                      </c:ext>
                    </c:extLst>
                    <c:strCache>
                      <c:ptCount val="1"/>
                      <c:pt idx="0">
                        <c:v>#REF!</c:v>
                      </c:pt>
                    </c:strCache>
                  </c:strRef>
                </c15:tx>
              </c15:filteredSeriesTitle>
            </c:ext>
            <c:ext xmlns:c15="http://schemas.microsoft.com/office/drawing/2012/chart" uri="{02D57815-91ED-43cb-92C2-25804820EDAC}">
              <c15:datalabelsRange>
                <c15:f>'Modelled costs_FD'!$A$7:$A$17</c15:f>
                <c15:dlblRangeCache>
                  <c:ptCount val="11"/>
                  <c:pt idx="0">
                    <c:v>ANH</c:v>
                  </c:pt>
                  <c:pt idx="1">
                    <c:v>WSH</c:v>
                  </c:pt>
                  <c:pt idx="2">
                    <c:v>HDD</c:v>
                  </c:pt>
                  <c:pt idx="3">
                    <c:v>NES</c:v>
                  </c:pt>
                  <c:pt idx="4">
                    <c:v>SVE</c:v>
                  </c:pt>
                  <c:pt idx="5">
                    <c:v>SWB</c:v>
                  </c:pt>
                  <c:pt idx="6">
                    <c:v>SRN</c:v>
                  </c:pt>
                  <c:pt idx="7">
                    <c:v>TMS</c:v>
                  </c:pt>
                  <c:pt idx="8">
                    <c:v>NWT</c:v>
                  </c:pt>
                  <c:pt idx="9">
                    <c:v>WSX</c:v>
                  </c:pt>
                  <c:pt idx="10">
                    <c:v>YKY</c:v>
                  </c:pt>
                </c15:dlblRangeCache>
              </c15:datalabelsRange>
            </c:ext>
            <c:ext xmlns:c16="http://schemas.microsoft.com/office/drawing/2014/chart" uri="{C3380CC4-5D6E-409C-BE32-E72D297353CC}">
              <c16:uniqueId val="{0000000C-A15D-4CF0-A2D9-47CD4C42B543}"/>
            </c:ext>
          </c:extLst>
        </c:ser>
        <c:dLbls>
          <c:showLegendKey val="0"/>
          <c:showVal val="0"/>
          <c:showCatName val="0"/>
          <c:showSerName val="0"/>
          <c:showPercent val="0"/>
          <c:showBubbleSize val="0"/>
        </c:dLbls>
        <c:axId val="1467214464"/>
        <c:axId val="1467214944"/>
      </c:scatterChart>
      <c:valAx>
        <c:axId val="14672144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944"/>
        <c:crosses val="autoZero"/>
        <c:crossBetween val="midCat"/>
      </c:valAx>
      <c:valAx>
        <c:axId val="1467214944"/>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72144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GB" sz="1100"/>
              <a:t>Unit</a:t>
            </a:r>
            <a:r>
              <a:rPr lang="en-GB" sz="1100" baseline="0"/>
              <a:t> costs MCERTS EDM and pass forward flow monitor and civils schemes</a:t>
            </a:r>
            <a:endParaRPr lang="en-GB" sz="1100"/>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spPr>
            <a:solidFill>
              <a:schemeClr val="accent1"/>
            </a:solidFill>
            <a:ln>
              <a:noFill/>
            </a:ln>
            <a:effectLst/>
          </c:spPr>
          <c:invertIfNegative val="0"/>
          <c:cat>
            <c:strRef>
              <c:f>'Modelled costs_FD'!$A$7:$A$17</c:f>
              <c:strCache>
                <c:ptCount val="11"/>
                <c:pt idx="0">
                  <c:v>ANH</c:v>
                </c:pt>
                <c:pt idx="1">
                  <c:v>WSH</c:v>
                </c:pt>
                <c:pt idx="2">
                  <c:v>HDD</c:v>
                </c:pt>
                <c:pt idx="3">
                  <c:v>NES</c:v>
                </c:pt>
                <c:pt idx="4">
                  <c:v>SVE</c:v>
                </c:pt>
                <c:pt idx="5">
                  <c:v>SWB</c:v>
                </c:pt>
                <c:pt idx="6">
                  <c:v>SRN</c:v>
                </c:pt>
                <c:pt idx="7">
                  <c:v>TMS</c:v>
                </c:pt>
                <c:pt idx="8">
                  <c:v>NWT</c:v>
                </c:pt>
                <c:pt idx="9">
                  <c:v>WSX</c:v>
                </c:pt>
                <c:pt idx="10">
                  <c:v>YKY</c:v>
                </c:pt>
              </c:strCache>
            </c:strRef>
          </c:cat>
          <c:val>
            <c:numRef>
              <c:f>'Modelled costs_FD'!$M$7:$M$17</c:f>
              <c:numCache>
                <c:formatCode>0.000</c:formatCode>
                <c:ptCount val="11"/>
                <c:pt idx="0">
                  <c:v>0</c:v>
                </c:pt>
                <c:pt idx="1">
                  <c:v>6.7000000000000004E-2</c:v>
                </c:pt>
                <c:pt idx="2">
                  <c:v>0</c:v>
                </c:pt>
                <c:pt idx="3">
                  <c:v>0</c:v>
                </c:pt>
                <c:pt idx="4">
                  <c:v>0</c:v>
                </c:pt>
                <c:pt idx="5">
                  <c:v>0</c:v>
                </c:pt>
                <c:pt idx="6">
                  <c:v>0</c:v>
                </c:pt>
                <c:pt idx="7">
                  <c:v>0</c:v>
                </c:pt>
                <c:pt idx="8">
                  <c:v>0</c:v>
                </c:pt>
                <c:pt idx="9">
                  <c:v>6.5214285714285711E-2</c:v>
                </c:pt>
                <c:pt idx="10">
                  <c:v>9.4475138121546953E-3</c:v>
                </c:pt>
              </c:numCache>
            </c:numRef>
          </c:val>
          <c:extLst>
            <c:ext xmlns:c16="http://schemas.microsoft.com/office/drawing/2014/chart" uri="{C3380CC4-5D6E-409C-BE32-E72D297353CC}">
              <c16:uniqueId val="{00000000-54BA-4B31-A565-4D4716B385D0}"/>
            </c:ext>
          </c:extLst>
        </c:ser>
        <c:dLbls>
          <c:showLegendKey val="0"/>
          <c:showVal val="0"/>
          <c:showCatName val="0"/>
          <c:showSerName val="0"/>
          <c:showPercent val="0"/>
          <c:showBubbleSize val="0"/>
        </c:dLbls>
        <c:gapWidth val="219"/>
        <c:overlap val="-27"/>
        <c:axId val="356485263"/>
        <c:axId val="356500623"/>
      </c:barChart>
      <c:catAx>
        <c:axId val="356485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6500623"/>
        <c:crosses val="autoZero"/>
        <c:auto val="1"/>
        <c:lblAlgn val="ctr"/>
        <c:lblOffset val="100"/>
        <c:noMultiLvlLbl val="0"/>
      </c:catAx>
      <c:valAx>
        <c:axId val="3565006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64852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 Id="rId9"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1</xdr:col>
      <xdr:colOff>28575</xdr:colOff>
      <xdr:row>11</xdr:row>
      <xdr:rowOff>66675</xdr:rowOff>
    </xdr:from>
    <xdr:to>
      <xdr:col>3</xdr:col>
      <xdr:colOff>409575</xdr:colOff>
      <xdr:row>24</xdr:row>
      <xdr:rowOff>190500</xdr:rowOff>
    </xdr:to>
    <xdr:sp macro="" textlink="">
      <xdr:nvSpPr>
        <xdr:cNvPr id="2" name="TextBox 2">
          <a:extLst>
            <a:ext uri="{FF2B5EF4-FFF2-40B4-BE49-F238E27FC236}">
              <a16:creationId xmlns:a16="http://schemas.microsoft.com/office/drawing/2014/main" id="{AA3E5DE6-E252-4807-A4DB-0DBA4BF59D20}"/>
            </a:ext>
          </a:extLst>
        </xdr:cNvPr>
        <xdr:cNvSpPr txBox="1"/>
      </xdr:nvSpPr>
      <xdr:spPr>
        <a:xfrm>
          <a:off x="611981" y="3221831"/>
          <a:ext cx="9608344" cy="3529013"/>
        </a:xfrm>
        <a:prstGeom prst="rect">
          <a:avLst/>
        </a:prstGeom>
        <a:noFill/>
        <a:ln>
          <a:noFill/>
        </a:ln>
      </xdr:spPr>
      <xdr:txBody>
        <a:bodyPr lIns="27432" tIns="22860" rIns="0" bIns="0" rtlCol="0"/>
        <a:lstStyle/>
        <a:p>
          <a:pPr marL="0" indent="0" algn="l"/>
          <a:r>
            <a:rPr lang="en-US" sz="1100" b="1">
              <a:latin typeface="Krub SemiBold" panose="00000700000000000000" pitchFamily="2" charset="-34"/>
              <a:cs typeface="Krub SemiBold" panose="00000700000000000000" pitchFamily="2" charset="-34"/>
            </a:rPr>
            <a:t>Summary of the model:</a:t>
          </a:r>
          <a:endParaRPr lang="en-US" sz="1000" b="0">
            <a:solidFill>
              <a:srgbClr val="000000"/>
            </a:solidFill>
            <a:latin typeface="+mn-lt"/>
            <a:ea typeface="+mn-lt"/>
            <a:cs typeface="+mn-lt"/>
          </a:endParaRPr>
        </a:p>
        <a:p>
          <a:pPr marL="0" indent="0" algn="l"/>
          <a:endParaRPr lang="en-US" sz="1000" b="0">
            <a:solidFill>
              <a:srgbClr val="000000"/>
            </a:solidFill>
            <a:latin typeface="+mn-lt"/>
            <a:ea typeface="+mn-lt"/>
            <a:cs typeface="+mn-lt"/>
          </a:endParaRPr>
        </a:p>
        <a:p>
          <a:pPr marL="0" indent="0" algn="l"/>
          <a:r>
            <a:rPr lang="en-US" sz="1000" b="0">
              <a:solidFill>
                <a:srgbClr val="000000"/>
              </a:solidFill>
              <a:latin typeface="+mn-lt"/>
              <a:ea typeface="+mn-lt"/>
              <a:cs typeface="+mn-lt"/>
            </a:rPr>
            <a:t>To assess enhancement total expenditure (totex) included by companies in their PR24 business plan submissions in Table CWW3 for line</a:t>
          </a:r>
          <a:r>
            <a:rPr lang="en-US" sz="1000" b="0" i="0" u="none" strike="noStrike">
              <a:solidFill>
                <a:schemeClr val="tx1"/>
              </a:solidFill>
              <a:latin typeface="Krub" panose="00000500000000000000" pitchFamily="2" charset="-34"/>
              <a:cs typeface="Krub" panose="00000500000000000000" pitchFamily="2" charset="-34"/>
            </a:rPr>
            <a:t> EA/NRW environmental programme wastewater (WINEP/NEP) - MCERTs monitoring at emergency sewage pumping station overflows.</a:t>
          </a:r>
          <a:endParaRPr lang="en-US" sz="1000" b="0" i="0">
            <a:solidFill>
              <a:srgbClr val="000000"/>
            </a:solidFill>
            <a:latin typeface="+mn-lt"/>
            <a:ea typeface="+mn-lt"/>
            <a:cs typeface="+mn-lt"/>
          </a:endParaRPr>
        </a:p>
        <a:p>
          <a:pPr marL="0" indent="0" algn="l"/>
          <a:endParaRPr lang="en-US" sz="1000" b="0" i="0">
            <a:solidFill>
              <a:srgbClr val="000000"/>
            </a:solidFill>
            <a:latin typeface="+mn-lt"/>
            <a:ea typeface="+mn-lt"/>
            <a:cs typeface="+mn-lt"/>
          </a:endParaRPr>
        </a:p>
        <a:p>
          <a:pPr marL="0" indent="0" algn="l"/>
          <a:r>
            <a:rPr lang="en-US" sz="1000" b="0" i="0">
              <a:latin typeface="+mn-lt"/>
              <a:ea typeface="+mn-lt"/>
              <a:cs typeface="+mn-lt"/>
            </a:rPr>
            <a:t>We assess the investment </a:t>
          </a:r>
          <a:r>
            <a:rPr lang="en-US" sz="1000" b="0" i="0" u="none" strike="noStrike">
              <a:solidFill>
                <a:srgbClr val="000000"/>
              </a:solidFill>
              <a:latin typeface="Krub" panose="00000500000000000000" pitchFamily="2" charset="-34"/>
              <a:cs typeface="Krub" panose="00000500000000000000" pitchFamily="2" charset="-34"/>
            </a:rPr>
            <a:t>for this line </a:t>
          </a:r>
          <a:r>
            <a:rPr lang="en-US" sz="1000" b="0" i="0">
              <a:latin typeface="+mn-lt"/>
              <a:ea typeface="+mn-lt"/>
              <a:cs typeface="+mn-lt"/>
            </a:rPr>
            <a:t>using shallow dives and deep dives, informed by how closely companies are to the industry median unit costs for each of the data subcategories</a:t>
          </a:r>
          <a:r>
            <a:rPr lang="en-US" sz="1000" b="0" i="0">
              <a:solidFill>
                <a:srgbClr val="000000"/>
              </a:solidFill>
              <a:latin typeface="+mn-lt"/>
              <a:ea typeface="+mn-lt"/>
              <a:cs typeface="+mn-lt"/>
            </a:rPr>
            <a:t>. We asked companies to provide a breakdown of how their costs and number of schemes spread across the four subcategories of U_MON6 so that we could benchmark costs at a more granular level. However, a modelled approach was still not suitable due to the broad range of costs and number of schemes submitted in business plans, and potentially some misallocation of schemes between categories. We reconcile information that has been identified within the companies' submissions with the list of schemes in the WINEP/NEP.</a:t>
          </a:r>
          <a:endParaRPr lang="en-US" sz="1100" b="1" i="0">
            <a:solidFill>
              <a:srgbClr val="000000"/>
            </a:solidFill>
            <a:latin typeface="Krub SemiBold" panose="00000700000000000000" pitchFamily="2" charset="-34"/>
            <a:cs typeface="Krub SemiBold" panose="00000700000000000000" pitchFamily="2" charset="-34"/>
          </a:endParaRPr>
        </a:p>
        <a:p>
          <a:pPr marL="0" indent="0" algn="l"/>
          <a:endParaRPr lang="en-US" sz="1100" b="1">
            <a:latin typeface="Krub SemiBold" panose="00000700000000000000" pitchFamily="2" charset="-34"/>
            <a:cs typeface="Krub SemiBold" panose="00000700000000000000" pitchFamily="2" charset="-34"/>
          </a:endParaRPr>
        </a:p>
        <a:p>
          <a:pPr marL="0" indent="0" algn="l"/>
          <a:r>
            <a:rPr lang="en-US" sz="1100" b="1">
              <a:latin typeface="Krub SemiBold" panose="00000700000000000000" pitchFamily="2" charset="-34"/>
              <a:cs typeface="Krub SemiBold" panose="00000700000000000000" pitchFamily="2" charset="-34"/>
            </a:rPr>
            <a:t>Quality assurance: </a:t>
          </a:r>
          <a:r>
            <a:rPr lang="en-GB" sz="1000"/>
            <a:t>This model has been subject to Ofwat internal quality assurance and has been subject to external review.</a:t>
          </a:r>
          <a:endParaRPr lang="en-US" sz="1000" b="1">
            <a:latin typeface="+mn-lt"/>
            <a:ea typeface="+mn-lt"/>
            <a:cs typeface="+mn-lt"/>
          </a:endParaRPr>
        </a:p>
        <a:p>
          <a:pPr marL="0" indent="0" algn="l"/>
          <a:endParaRPr lang="en-US" sz="1000">
            <a:latin typeface="+mn-lt"/>
            <a:ea typeface="+mn-lt"/>
            <a:cs typeface="+mn-lt"/>
          </a:endParaRPr>
        </a:p>
        <a:p>
          <a:pPr marL="0" indent="0" algn="l"/>
          <a:r>
            <a:rPr lang="en-US" sz="1000">
              <a:latin typeface="+mn-lt"/>
              <a:ea typeface="+mn-lt"/>
              <a:cs typeface="+mn-lt"/>
            </a:rPr>
            <a:t>  </a:t>
          </a:r>
          <a:endParaRPr lang="en-US" sz="1100" b="1">
            <a:solidFill>
              <a:srgbClr val="000000"/>
            </a:solidFill>
            <a:latin typeface="Krub SemiBold" panose="00000700000000000000" pitchFamily="2" charset="-34"/>
            <a:cs typeface="Krub SemiBold" panose="00000700000000000000" pitchFamily="2" charset="-34"/>
          </a:endParaRPr>
        </a:p>
        <a:p>
          <a:pPr marL="0" marR="0" indent="0" algn="l">
            <a:lnSpc>
              <a:spcPct val="100000"/>
            </a:lnSpc>
            <a:spcBef>
              <a:spcPts val="0"/>
            </a:spcBef>
            <a:spcAft>
              <a:spcPts val="0"/>
            </a:spcAft>
          </a:pPr>
          <a:r>
            <a:rPr lang="en-US" sz="1100" b="1">
              <a:solidFill>
                <a:srgbClr val="000000"/>
              </a:solidFill>
              <a:latin typeface="Krub SemiBold" panose="00000700000000000000" pitchFamily="2" charset="-34"/>
              <a:cs typeface="Krub SemiBold" panose="00000700000000000000" pitchFamily="2" charset="-34"/>
            </a:rPr>
            <a:t>Disclaimer:</a:t>
          </a:r>
          <a:r>
            <a:rPr lang="en-US" sz="1100" b="1" i="0" u="none" strike="noStrike">
              <a:solidFill>
                <a:srgbClr val="000000"/>
              </a:solidFill>
              <a:latin typeface="Krub SemiBold" panose="00000700000000000000" pitchFamily="2" charset="-34"/>
              <a:cs typeface="Krub SemiBold" panose="00000700000000000000" pitchFamily="2" charset="-34"/>
            </a:rPr>
            <a:t> </a:t>
          </a:r>
          <a:r>
            <a:rPr lang="en-US" sz="1000" b="0" i="0" u="none" strike="noStrike">
              <a:solidFill>
                <a:srgbClr val="000000"/>
              </a:solidFill>
              <a:latin typeface="Krub" panose="00000500000000000000" pitchFamily="2" charset="-34"/>
              <a:cs typeface="Krub" panose="00000500000000000000" pitchFamily="2" charset="-34"/>
            </a:rPr>
            <a:t>This model is part of our final determinations setting out the price, service, and incentive package for water companies for the period 2025-30. It should be read together with the other documents and information that we have published as part of our consultation.</a:t>
          </a:r>
          <a:endParaRPr lang="en-US" sz="1100" b="1">
            <a:solidFill>
              <a:srgbClr val="000000"/>
            </a:solidFill>
            <a:latin typeface="Krub SemiBold" panose="00000700000000000000" pitchFamily="2" charset="-34"/>
            <a:cs typeface="Krub SemiBold" panose="00000700000000000000" pitchFamily="2" charset="-34"/>
          </a:endParaRPr>
        </a:p>
        <a:p>
          <a:pPr marL="0" indent="0" algn="l"/>
          <a:endParaRPr lang="en-US" sz="1100" b="1">
            <a:solidFill>
              <a:srgbClr val="000000"/>
            </a:solidFill>
            <a:latin typeface="Krub SemiBold" panose="00000700000000000000" pitchFamily="2" charset="-34"/>
            <a:cs typeface="Krub SemiBold" panose="00000700000000000000" pitchFamily="2" charset="-34"/>
          </a:endParaRPr>
        </a:p>
        <a:p>
          <a:pPr marL="0" indent="0" algn="l"/>
          <a:r>
            <a:rPr lang="en-US" sz="1100" b="1">
              <a:solidFill>
                <a:srgbClr val="000000"/>
              </a:solidFill>
              <a:latin typeface="Krub SemiBold" panose="00000700000000000000" pitchFamily="2" charset="-34"/>
              <a:cs typeface="Krub SemiBold" panose="00000700000000000000" pitchFamily="2" charset="-34"/>
            </a:rPr>
            <a:t>Changes since previous published model</a:t>
          </a:r>
          <a:r>
            <a:rPr lang="en-US" sz="1100" b="1">
              <a:solidFill>
                <a:srgbClr val="000000"/>
              </a:solidFill>
              <a:latin typeface="+mn-lt"/>
              <a:ea typeface="+mn-lt"/>
              <a:cs typeface="+mn-lt"/>
            </a:rPr>
            <a:t>: </a:t>
          </a:r>
          <a:endParaRPr lang="en-US" sz="1000" b="0">
            <a:solidFill>
              <a:srgbClr val="000000"/>
            </a:solidFill>
            <a:latin typeface="Krub" panose="00000500000000000000" pitchFamily="2" charset="-34"/>
            <a:ea typeface="+mn-ea"/>
            <a:cs typeface="Krub" panose="00000500000000000000" pitchFamily="2" charset="-34"/>
          </a:endParaRPr>
        </a:p>
        <a:p>
          <a:pPr marL="0" indent="0" algn="l"/>
          <a:r>
            <a:rPr lang="en-US" sz="1000" b="0">
              <a:solidFill>
                <a:srgbClr val="000000"/>
              </a:solidFill>
              <a:latin typeface="Krub" panose="00000500000000000000" pitchFamily="2" charset="-34"/>
              <a:ea typeface="+mn-ea"/>
              <a:cs typeface="Krub" panose="00000500000000000000" pitchFamily="2" charset="-34"/>
            </a:rPr>
            <a:t>-</a:t>
          </a:r>
          <a:r>
            <a:rPr lang="en-US" sz="1000" b="0" baseline="0">
              <a:solidFill>
                <a:srgbClr val="000000"/>
              </a:solidFill>
              <a:latin typeface="Krub" panose="00000500000000000000" pitchFamily="2" charset="-34"/>
              <a:ea typeface="+mn-ea"/>
              <a:cs typeface="Krub" panose="00000500000000000000" pitchFamily="2" charset="-34"/>
            </a:rPr>
            <a:t> Updated company level efficiencies</a:t>
          </a:r>
          <a:endParaRPr lang="en-US" sz="1000" b="0">
            <a:solidFill>
              <a:srgbClr val="000000"/>
            </a:solidFill>
            <a:latin typeface="Krub" panose="00000500000000000000" pitchFamily="2" charset="-34"/>
            <a:cs typeface="Krub" panose="00000500000000000000" pitchFamily="2" charset="-34"/>
          </a:endParaRPr>
        </a:p>
      </xdr:txBody>
    </xdr:sp>
    <xdr:clientData/>
  </xdr:twoCellAnchor>
  <xdr:twoCellAnchor editAs="oneCell">
    <xdr:from>
      <xdr:col>2</xdr:col>
      <xdr:colOff>5564978</xdr:colOff>
      <xdr:row>1</xdr:row>
      <xdr:rowOff>14286</xdr:rowOff>
    </xdr:from>
    <xdr:to>
      <xdr:col>3</xdr:col>
      <xdr:colOff>1009645</xdr:colOff>
      <xdr:row>3</xdr:row>
      <xdr:rowOff>200239</xdr:rowOff>
    </xdr:to>
    <xdr:pic>
      <xdr:nvPicPr>
        <xdr:cNvPr id="3" name="Picture 2">
          <a:extLst>
            <a:ext uri="{FF2B5EF4-FFF2-40B4-BE49-F238E27FC236}">
              <a16:creationId xmlns:a16="http://schemas.microsoft.com/office/drawing/2014/main" id="{ED39B3B8-94EA-421A-A09F-3F85912293C0}"/>
            </a:ext>
          </a:extLst>
        </xdr:cNvPr>
        <xdr:cNvPicPr>
          <a:picLocks noChangeAspect="1"/>
        </xdr:cNvPicPr>
      </xdr:nvPicPr>
      <xdr:blipFill>
        <a:blip xmlns:r="http://schemas.openxmlformats.org/officeDocument/2006/relationships" r:embed="rId1"/>
        <a:stretch>
          <a:fillRect/>
        </a:stretch>
      </xdr:blipFill>
      <xdr:spPr>
        <a:xfrm>
          <a:off x="8529634" y="609599"/>
          <a:ext cx="1624011" cy="9122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950119</xdr:colOff>
      <xdr:row>22</xdr:row>
      <xdr:rowOff>38099</xdr:rowOff>
    </xdr:from>
    <xdr:to>
      <xdr:col>8</xdr:col>
      <xdr:colOff>160734</xdr:colOff>
      <xdr:row>25</xdr:row>
      <xdr:rowOff>161924</xdr:rowOff>
    </xdr:to>
    <xdr:sp macro="" textlink="">
      <xdr:nvSpPr>
        <xdr:cNvPr id="3" name="Rectangle 2">
          <a:extLst>
            <a:ext uri="{FF2B5EF4-FFF2-40B4-BE49-F238E27FC236}">
              <a16:creationId xmlns:a16="http://schemas.microsoft.com/office/drawing/2014/main" id="{3F60583C-CB08-430F-8E61-06F731BB79E3}"/>
            </a:ext>
          </a:extLst>
        </xdr:cNvPr>
        <xdr:cNvSpPr/>
      </xdr:nvSpPr>
      <xdr:spPr>
        <a:xfrm>
          <a:off x="2045494" y="3929062"/>
          <a:ext cx="1391840" cy="623887"/>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Materiality &amp; shallow dive</a:t>
          </a:r>
        </a:p>
      </xdr:txBody>
    </xdr:sp>
    <xdr:clientData/>
  </xdr:twoCellAnchor>
  <xdr:twoCellAnchor>
    <xdr:from>
      <xdr:col>11</xdr:col>
      <xdr:colOff>1954213</xdr:colOff>
      <xdr:row>22</xdr:row>
      <xdr:rowOff>47625</xdr:rowOff>
    </xdr:from>
    <xdr:to>
      <xdr:col>16</xdr:col>
      <xdr:colOff>173038</xdr:colOff>
      <xdr:row>26</xdr:row>
      <xdr:rowOff>9525</xdr:rowOff>
    </xdr:to>
    <xdr:sp macro="" textlink="">
      <xdr:nvSpPr>
        <xdr:cNvPr id="4" name="Rectangle 3">
          <a:extLst>
            <a:ext uri="{FF2B5EF4-FFF2-40B4-BE49-F238E27FC236}">
              <a16:creationId xmlns:a16="http://schemas.microsoft.com/office/drawing/2014/main" id="{EEB4CF82-1855-4F44-9E79-72258FBFF3EA}"/>
            </a:ext>
          </a:extLst>
        </xdr:cNvPr>
        <xdr:cNvSpPr/>
      </xdr:nvSpPr>
      <xdr:spPr>
        <a:xfrm>
          <a:off x="5907088" y="3938588"/>
          <a:ext cx="1257300" cy="62865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Modelled costs</a:t>
          </a:r>
        </a:p>
      </xdr:txBody>
    </xdr:sp>
    <xdr:clientData/>
  </xdr:twoCellAnchor>
  <xdr:twoCellAnchor>
    <xdr:from>
      <xdr:col>6</xdr:col>
      <xdr:colOff>132159</xdr:colOff>
      <xdr:row>4</xdr:row>
      <xdr:rowOff>22222</xdr:rowOff>
    </xdr:from>
    <xdr:to>
      <xdr:col>7</xdr:col>
      <xdr:colOff>1293415</xdr:colOff>
      <xdr:row>7</xdr:row>
      <xdr:rowOff>160733</xdr:rowOff>
    </xdr:to>
    <xdr:sp macro="" textlink="">
      <xdr:nvSpPr>
        <xdr:cNvPr id="5" name="Rectangle 4">
          <a:extLst>
            <a:ext uri="{FF2B5EF4-FFF2-40B4-BE49-F238E27FC236}">
              <a16:creationId xmlns:a16="http://schemas.microsoft.com/office/drawing/2014/main" id="{E4A2E397-E38B-4A80-B43C-AAEAA196B1C1}"/>
            </a:ext>
          </a:extLst>
        </xdr:cNvPr>
        <xdr:cNvSpPr/>
      </xdr:nvSpPr>
      <xdr:spPr>
        <a:xfrm>
          <a:off x="1046559" y="912810"/>
          <a:ext cx="1342231" cy="638573"/>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F_Inputs BP:</a:t>
          </a:r>
        </a:p>
        <a:p>
          <a:pPr marL="0" indent="0" algn="ctr"/>
          <a:r>
            <a:rPr lang="en-GB" sz="1050">
              <a:solidFill>
                <a:schemeClr val="tx1"/>
              </a:solidFill>
              <a:latin typeface="+mn-lt"/>
              <a:ea typeface="+mn-ea"/>
              <a:cs typeface="+mn-cs"/>
            </a:rPr>
            <a:t>PR24 business plan data (FY23-FY30)</a:t>
          </a:r>
        </a:p>
      </xdr:txBody>
    </xdr:sp>
    <xdr:clientData/>
  </xdr:twoCellAnchor>
  <xdr:twoCellAnchor>
    <xdr:from>
      <xdr:col>15</xdr:col>
      <xdr:colOff>32937</xdr:colOff>
      <xdr:row>16</xdr:row>
      <xdr:rowOff>57941</xdr:rowOff>
    </xdr:from>
    <xdr:to>
      <xdr:col>16</xdr:col>
      <xdr:colOff>950117</xdr:colOff>
      <xdr:row>20</xdr:row>
      <xdr:rowOff>18641</xdr:rowOff>
    </xdr:to>
    <xdr:sp macro="" textlink="">
      <xdr:nvSpPr>
        <xdr:cNvPr id="6" name="Rectangle 5">
          <a:extLst>
            <a:ext uri="{FF2B5EF4-FFF2-40B4-BE49-F238E27FC236}">
              <a16:creationId xmlns:a16="http://schemas.microsoft.com/office/drawing/2014/main" id="{79401A0A-C711-4545-95C2-0951215450A8}"/>
            </a:ext>
          </a:extLst>
        </xdr:cNvPr>
        <xdr:cNvSpPr/>
      </xdr:nvSpPr>
      <xdr:spPr>
        <a:xfrm>
          <a:off x="6843312" y="2948779"/>
          <a:ext cx="1098155" cy="627450"/>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GB" sz="1050">
              <a:solidFill>
                <a:schemeClr val="tx1"/>
              </a:solidFill>
              <a:latin typeface="+mn-lt"/>
              <a:ea typeface="+mn-ea"/>
              <a:cs typeface="+mn-cs"/>
            </a:rPr>
            <a:t>Other data (query responses)</a:t>
          </a:r>
        </a:p>
      </xdr:txBody>
    </xdr:sp>
    <xdr:clientData/>
  </xdr:twoCellAnchor>
  <xdr:twoCellAnchor>
    <xdr:from>
      <xdr:col>11</xdr:col>
      <xdr:colOff>806452</xdr:colOff>
      <xdr:row>29</xdr:row>
      <xdr:rowOff>39684</xdr:rowOff>
    </xdr:from>
    <xdr:to>
      <xdr:col>11</xdr:col>
      <xdr:colOff>2178052</xdr:colOff>
      <xdr:row>33</xdr:row>
      <xdr:rowOff>384</xdr:rowOff>
    </xdr:to>
    <xdr:sp macro="" textlink="">
      <xdr:nvSpPr>
        <xdr:cNvPr id="7" name="Rectangle 6">
          <a:extLst>
            <a:ext uri="{FF2B5EF4-FFF2-40B4-BE49-F238E27FC236}">
              <a16:creationId xmlns:a16="http://schemas.microsoft.com/office/drawing/2014/main" id="{E8BADA76-CF1A-46F2-8795-AE59E5347606}"/>
            </a:ext>
          </a:extLst>
        </xdr:cNvPr>
        <xdr:cNvSpPr/>
      </xdr:nvSpPr>
      <xdr:spPr>
        <a:xfrm>
          <a:off x="4759327" y="5097459"/>
          <a:ext cx="1371600" cy="62745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Allowance</a:t>
          </a:r>
        </a:p>
      </xdr:txBody>
    </xdr:sp>
    <xdr:clientData/>
  </xdr:twoCellAnchor>
  <xdr:twoCellAnchor>
    <xdr:from>
      <xdr:col>7</xdr:col>
      <xdr:colOff>1646038</xdr:colOff>
      <xdr:row>25</xdr:row>
      <xdr:rowOff>161924</xdr:rowOff>
    </xdr:from>
    <xdr:to>
      <xdr:col>11</xdr:col>
      <xdr:colOff>1492251</xdr:colOff>
      <xdr:row>29</xdr:row>
      <xdr:rowOff>39684</xdr:rowOff>
    </xdr:to>
    <xdr:cxnSp macro="">
      <xdr:nvCxnSpPr>
        <xdr:cNvPr id="8" name="Connector: Elbow 7">
          <a:extLst>
            <a:ext uri="{FF2B5EF4-FFF2-40B4-BE49-F238E27FC236}">
              <a16:creationId xmlns:a16="http://schemas.microsoft.com/office/drawing/2014/main" id="{8AD558A5-F514-449F-B3F5-DD8E866B6189}"/>
            </a:ext>
          </a:extLst>
        </xdr:cNvPr>
        <xdr:cNvCxnSpPr>
          <a:stCxn id="3" idx="2"/>
          <a:endCxn id="7" idx="0"/>
        </xdr:cNvCxnSpPr>
      </xdr:nvCxnSpPr>
      <xdr:spPr>
        <a:xfrm rot="16200000" flipH="1">
          <a:off x="3821015" y="3473347"/>
          <a:ext cx="544510" cy="2703713"/>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1492252</xdr:colOff>
      <xdr:row>26</xdr:row>
      <xdr:rowOff>9526</xdr:rowOff>
    </xdr:from>
    <xdr:to>
      <xdr:col>13</xdr:col>
      <xdr:colOff>220663</xdr:colOff>
      <xdr:row>29</xdr:row>
      <xdr:rowOff>39685</xdr:rowOff>
    </xdr:to>
    <xdr:cxnSp macro="">
      <xdr:nvCxnSpPr>
        <xdr:cNvPr id="9" name="Connector: Elbow 8">
          <a:extLst>
            <a:ext uri="{FF2B5EF4-FFF2-40B4-BE49-F238E27FC236}">
              <a16:creationId xmlns:a16="http://schemas.microsoft.com/office/drawing/2014/main" id="{6CAF009E-BA12-4C2E-B0ED-76FE69FD0685}"/>
            </a:ext>
          </a:extLst>
        </xdr:cNvPr>
        <xdr:cNvCxnSpPr>
          <a:stCxn id="4" idx="2"/>
          <a:endCxn id="7" idx="0"/>
        </xdr:cNvCxnSpPr>
      </xdr:nvCxnSpPr>
      <xdr:spPr>
        <a:xfrm rot="5400000">
          <a:off x="5725322" y="4287044"/>
          <a:ext cx="530221" cy="1090611"/>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21035</xdr:colOff>
      <xdr:row>9</xdr:row>
      <xdr:rowOff>107552</xdr:rowOff>
    </xdr:from>
    <xdr:to>
      <xdr:col>7</xdr:col>
      <xdr:colOff>1630363</xdr:colOff>
      <xdr:row>14</xdr:row>
      <xdr:rowOff>134937</xdr:rowOff>
    </xdr:to>
    <xdr:sp macro="" textlink="">
      <xdr:nvSpPr>
        <xdr:cNvPr id="10" name="TextBox 9">
          <a:extLst>
            <a:ext uri="{FF2B5EF4-FFF2-40B4-BE49-F238E27FC236}">
              <a16:creationId xmlns:a16="http://schemas.microsoft.com/office/drawing/2014/main" id="{3DC7C3A1-8045-4CDD-A9B3-72BABA779E0C}"/>
            </a:ext>
          </a:extLst>
        </xdr:cNvPr>
        <xdr:cNvSpPr txBox="1"/>
      </xdr:nvSpPr>
      <xdr:spPr>
        <a:xfrm>
          <a:off x="230585" y="1831577"/>
          <a:ext cx="2495153" cy="860823"/>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Data from business plan tables</a:t>
          </a:r>
          <a:r>
            <a:rPr lang="en-GB" sz="1100" baseline="0"/>
            <a:t> was overwritten in cases where reallocations have been made or other changes to requested costs were made</a:t>
          </a:r>
          <a:endParaRPr lang="en-GB" sz="1100"/>
        </a:p>
      </xdr:txBody>
    </xdr:sp>
    <xdr:clientData/>
  </xdr:twoCellAnchor>
  <xdr:twoCellAnchor>
    <xdr:from>
      <xdr:col>11</xdr:col>
      <xdr:colOff>1193006</xdr:colOff>
      <xdr:row>9</xdr:row>
      <xdr:rowOff>74614</xdr:rowOff>
    </xdr:from>
    <xdr:to>
      <xdr:col>16</xdr:col>
      <xdr:colOff>735012</xdr:colOff>
      <xdr:row>14</xdr:row>
      <xdr:rowOff>158750</xdr:rowOff>
    </xdr:to>
    <xdr:sp macro="" textlink="">
      <xdr:nvSpPr>
        <xdr:cNvPr id="11" name="TextBox 10">
          <a:extLst>
            <a:ext uri="{FF2B5EF4-FFF2-40B4-BE49-F238E27FC236}">
              <a16:creationId xmlns:a16="http://schemas.microsoft.com/office/drawing/2014/main" id="{DF329151-F19C-4BA6-8F4F-DB90BDEDE893}"/>
            </a:ext>
          </a:extLst>
        </xdr:cNvPr>
        <xdr:cNvSpPr txBox="1"/>
      </xdr:nvSpPr>
      <xdr:spPr>
        <a:xfrm>
          <a:off x="5145881" y="1798639"/>
          <a:ext cx="2580481" cy="917574"/>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Enhancement</a:t>
          </a:r>
          <a:r>
            <a:rPr lang="en-GB" sz="1100" baseline="0"/>
            <a:t> models use data from a wide range of sources, some of which is stored by Ofwat internally, some of which comes from other, external sources.</a:t>
          </a:r>
          <a:endParaRPr lang="en-GB" sz="1100"/>
        </a:p>
      </xdr:txBody>
    </xdr:sp>
    <xdr:clientData/>
  </xdr:twoCellAnchor>
  <xdr:twoCellAnchor>
    <xdr:from>
      <xdr:col>5</xdr:col>
      <xdr:colOff>106362</xdr:colOff>
      <xdr:row>29</xdr:row>
      <xdr:rowOff>30162</xdr:rowOff>
    </xdr:from>
    <xdr:to>
      <xdr:col>8</xdr:col>
      <xdr:colOff>87312</xdr:colOff>
      <xdr:row>33</xdr:row>
      <xdr:rowOff>19050</xdr:rowOff>
    </xdr:to>
    <xdr:sp macro="" textlink="">
      <xdr:nvSpPr>
        <xdr:cNvPr id="12" name="TextBox 11">
          <a:extLst>
            <a:ext uri="{FF2B5EF4-FFF2-40B4-BE49-F238E27FC236}">
              <a16:creationId xmlns:a16="http://schemas.microsoft.com/office/drawing/2014/main" id="{C3C86ABA-B05C-4E9A-8E3C-D4B1162D205F}"/>
            </a:ext>
          </a:extLst>
        </xdr:cNvPr>
        <xdr:cNvSpPr txBox="1"/>
      </xdr:nvSpPr>
      <xdr:spPr>
        <a:xfrm>
          <a:off x="706437" y="5087937"/>
          <a:ext cx="2657475" cy="655638"/>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For all companies, allowances are not allocated by price control</a:t>
          </a:r>
        </a:p>
      </xdr:txBody>
    </xdr:sp>
    <xdr:clientData/>
  </xdr:twoCellAnchor>
  <xdr:twoCellAnchor>
    <xdr:from>
      <xdr:col>8</xdr:col>
      <xdr:colOff>87312</xdr:colOff>
      <xdr:row>31</xdr:row>
      <xdr:rowOff>20034</xdr:rowOff>
    </xdr:from>
    <xdr:to>
      <xdr:col>11</xdr:col>
      <xdr:colOff>806452</xdr:colOff>
      <xdr:row>31</xdr:row>
      <xdr:rowOff>24606</xdr:rowOff>
    </xdr:to>
    <xdr:cxnSp macro="">
      <xdr:nvCxnSpPr>
        <xdr:cNvPr id="13" name="Straight Connector 12">
          <a:extLst>
            <a:ext uri="{FF2B5EF4-FFF2-40B4-BE49-F238E27FC236}">
              <a16:creationId xmlns:a16="http://schemas.microsoft.com/office/drawing/2014/main" id="{BD60224E-A26B-4B55-BB27-7E7ACB1FD6B1}"/>
            </a:ext>
          </a:extLst>
        </xdr:cNvPr>
        <xdr:cNvCxnSpPr>
          <a:stCxn id="12" idx="3"/>
          <a:endCxn id="7" idx="1"/>
        </xdr:cNvCxnSpPr>
      </xdr:nvCxnSpPr>
      <xdr:spPr>
        <a:xfrm flipV="1">
          <a:off x="3363912" y="5411184"/>
          <a:ext cx="1395415" cy="4572"/>
        </a:xfrm>
        <a:prstGeom prst="line">
          <a:avLst/>
        </a:prstGeom>
        <a:ln w="1905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800102</xdr:colOff>
      <xdr:row>34</xdr:row>
      <xdr:rowOff>152400</xdr:rowOff>
    </xdr:from>
    <xdr:to>
      <xdr:col>11</xdr:col>
      <xdr:colOff>2209802</xdr:colOff>
      <xdr:row>38</xdr:row>
      <xdr:rowOff>114300</xdr:rowOff>
    </xdr:to>
    <xdr:sp macro="" textlink="">
      <xdr:nvSpPr>
        <xdr:cNvPr id="14" name="Rectangle 13">
          <a:extLst>
            <a:ext uri="{FF2B5EF4-FFF2-40B4-BE49-F238E27FC236}">
              <a16:creationId xmlns:a16="http://schemas.microsoft.com/office/drawing/2014/main" id="{6C5B4424-0F9D-4CBA-9650-8487BF9E5559}"/>
            </a:ext>
          </a:extLst>
        </xdr:cNvPr>
        <xdr:cNvSpPr/>
      </xdr:nvSpPr>
      <xdr:spPr>
        <a:xfrm>
          <a:off x="4752977" y="6043613"/>
          <a:ext cx="1381125" cy="62865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Outputs to aggregator</a:t>
          </a:r>
        </a:p>
      </xdr:txBody>
    </xdr:sp>
    <xdr:clientData/>
  </xdr:twoCellAnchor>
  <xdr:twoCellAnchor>
    <xdr:from>
      <xdr:col>11</xdr:col>
      <xdr:colOff>1504952</xdr:colOff>
      <xdr:row>33</xdr:row>
      <xdr:rowOff>30162</xdr:rowOff>
    </xdr:from>
    <xdr:to>
      <xdr:col>11</xdr:col>
      <xdr:colOff>1504952</xdr:colOff>
      <xdr:row>34</xdr:row>
      <xdr:rowOff>142875</xdr:rowOff>
    </xdr:to>
    <xdr:cxnSp macro="">
      <xdr:nvCxnSpPr>
        <xdr:cNvPr id="15" name="Straight Arrow Connector 14">
          <a:extLst>
            <a:ext uri="{FF2B5EF4-FFF2-40B4-BE49-F238E27FC236}">
              <a16:creationId xmlns:a16="http://schemas.microsoft.com/office/drawing/2014/main" id="{5927A1E2-EA9D-4FF5-A0D2-67B8C405238B}"/>
            </a:ext>
          </a:extLst>
        </xdr:cNvPr>
        <xdr:cNvCxnSpPr/>
      </xdr:nvCxnSpPr>
      <xdr:spPr>
        <a:xfrm>
          <a:off x="5457827" y="5754687"/>
          <a:ext cx="0" cy="279401"/>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106362</xdr:colOff>
      <xdr:row>35</xdr:row>
      <xdr:rowOff>0</xdr:rowOff>
    </xdr:from>
    <xdr:to>
      <xdr:col>8</xdr:col>
      <xdr:colOff>87312</xdr:colOff>
      <xdr:row>39</xdr:row>
      <xdr:rowOff>95250</xdr:rowOff>
    </xdr:to>
    <xdr:sp macro="" textlink="">
      <xdr:nvSpPr>
        <xdr:cNvPr id="16" name="TextBox 15">
          <a:extLst>
            <a:ext uri="{FF2B5EF4-FFF2-40B4-BE49-F238E27FC236}">
              <a16:creationId xmlns:a16="http://schemas.microsoft.com/office/drawing/2014/main" id="{DFFCEB97-27BA-4B15-B4DC-28051EE0D06C}"/>
            </a:ext>
          </a:extLst>
        </xdr:cNvPr>
        <xdr:cNvSpPr txBox="1"/>
      </xdr:nvSpPr>
      <xdr:spPr>
        <a:xfrm>
          <a:off x="706437" y="6057900"/>
          <a:ext cx="2657475" cy="76200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t>Calculated allowances are profiled across the transition period (2023-25) and AMP8 (2025-30) based on the profile</a:t>
          </a:r>
          <a:r>
            <a:rPr lang="en-GB" sz="1100" baseline="0"/>
            <a:t> of</a:t>
          </a:r>
          <a:r>
            <a:rPr lang="en-GB" sz="1100"/>
            <a:t> business plan submissions</a:t>
          </a:r>
        </a:p>
      </xdr:txBody>
    </xdr:sp>
    <xdr:clientData/>
  </xdr:twoCellAnchor>
  <xdr:twoCellAnchor>
    <xdr:from>
      <xdr:col>8</xdr:col>
      <xdr:colOff>87312</xdr:colOff>
      <xdr:row>37</xdr:row>
      <xdr:rowOff>0</xdr:rowOff>
    </xdr:from>
    <xdr:to>
      <xdr:col>11</xdr:col>
      <xdr:colOff>811214</xdr:colOff>
      <xdr:row>37</xdr:row>
      <xdr:rowOff>47625</xdr:rowOff>
    </xdr:to>
    <xdr:cxnSp macro="">
      <xdr:nvCxnSpPr>
        <xdr:cNvPr id="17" name="Straight Connector 16">
          <a:extLst>
            <a:ext uri="{FF2B5EF4-FFF2-40B4-BE49-F238E27FC236}">
              <a16:creationId xmlns:a16="http://schemas.microsoft.com/office/drawing/2014/main" id="{576353D8-5F79-4FEB-A665-B74C84B86240}"/>
            </a:ext>
          </a:extLst>
        </xdr:cNvPr>
        <xdr:cNvCxnSpPr>
          <a:stCxn id="16" idx="3"/>
        </xdr:cNvCxnSpPr>
      </xdr:nvCxnSpPr>
      <xdr:spPr>
        <a:xfrm flipV="1">
          <a:off x="3363912" y="6391275"/>
          <a:ext cx="1400177" cy="47625"/>
        </a:xfrm>
        <a:prstGeom prst="line">
          <a:avLst/>
        </a:prstGeom>
        <a:ln w="19050"/>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794545</xdr:colOff>
      <xdr:row>40</xdr:row>
      <xdr:rowOff>63501</xdr:rowOff>
    </xdr:from>
    <xdr:to>
      <xdr:col>11</xdr:col>
      <xdr:colOff>2166145</xdr:colOff>
      <xdr:row>44</xdr:row>
      <xdr:rowOff>31751</xdr:rowOff>
    </xdr:to>
    <xdr:sp macro="" textlink="">
      <xdr:nvSpPr>
        <xdr:cNvPr id="18" name="Rectangle 17">
          <a:extLst>
            <a:ext uri="{FF2B5EF4-FFF2-40B4-BE49-F238E27FC236}">
              <a16:creationId xmlns:a16="http://schemas.microsoft.com/office/drawing/2014/main" id="{2F75BA3D-E0C8-4001-AA23-467E517BC59E}"/>
            </a:ext>
          </a:extLst>
        </xdr:cNvPr>
        <xdr:cNvSpPr/>
      </xdr:nvSpPr>
      <xdr:spPr>
        <a:xfrm>
          <a:off x="4747420" y="6954839"/>
          <a:ext cx="1371600" cy="635000"/>
        </a:xfrm>
        <a:prstGeom prst="rect">
          <a:avLst/>
        </a:prstGeom>
        <a:solidFill>
          <a:srgbClr val="98C561"/>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F_Outputs</a:t>
          </a:r>
        </a:p>
      </xdr:txBody>
    </xdr:sp>
    <xdr:clientData/>
  </xdr:twoCellAnchor>
  <xdr:twoCellAnchor>
    <xdr:from>
      <xdr:col>11</xdr:col>
      <xdr:colOff>1504952</xdr:colOff>
      <xdr:row>38</xdr:row>
      <xdr:rowOff>107552</xdr:rowOff>
    </xdr:from>
    <xdr:to>
      <xdr:col>11</xdr:col>
      <xdr:colOff>1504952</xdr:colOff>
      <xdr:row>40</xdr:row>
      <xdr:rowOff>59531</xdr:rowOff>
    </xdr:to>
    <xdr:cxnSp macro="">
      <xdr:nvCxnSpPr>
        <xdr:cNvPr id="19" name="Straight Arrow Connector 18">
          <a:extLst>
            <a:ext uri="{FF2B5EF4-FFF2-40B4-BE49-F238E27FC236}">
              <a16:creationId xmlns:a16="http://schemas.microsoft.com/office/drawing/2014/main" id="{74D53633-C9A0-45EA-8115-2C7AEE189943}"/>
            </a:ext>
          </a:extLst>
        </xdr:cNvPr>
        <xdr:cNvCxnSpPr/>
      </xdr:nvCxnSpPr>
      <xdr:spPr>
        <a:xfrm>
          <a:off x="5457827" y="6665515"/>
          <a:ext cx="0" cy="285354"/>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73025</xdr:colOff>
      <xdr:row>22</xdr:row>
      <xdr:rowOff>48814</xdr:rowOff>
    </xdr:from>
    <xdr:to>
      <xdr:col>11</xdr:col>
      <xdr:colOff>1466225</xdr:colOff>
      <xdr:row>26</xdr:row>
      <xdr:rowOff>10714</xdr:rowOff>
    </xdr:to>
    <xdr:sp macro="" textlink="">
      <xdr:nvSpPr>
        <xdr:cNvPr id="20" name="Rectangle 19">
          <a:extLst>
            <a:ext uri="{FF2B5EF4-FFF2-40B4-BE49-F238E27FC236}">
              <a16:creationId xmlns:a16="http://schemas.microsoft.com/office/drawing/2014/main" id="{2AA4D664-C7DC-4E2D-B2B1-5483EC0981B5}"/>
            </a:ext>
          </a:extLst>
        </xdr:cNvPr>
        <xdr:cNvSpPr/>
      </xdr:nvSpPr>
      <xdr:spPr>
        <a:xfrm>
          <a:off x="4025900" y="3939777"/>
          <a:ext cx="1393200" cy="628650"/>
        </a:xfrm>
        <a:prstGeom prst="rect">
          <a:avLst/>
        </a:prstGeom>
        <a:solidFill>
          <a:srgbClr val="CCCCC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Deep dives</a:t>
          </a:r>
        </a:p>
      </xdr:txBody>
    </xdr:sp>
    <xdr:clientData/>
  </xdr:twoCellAnchor>
  <xdr:twoCellAnchor>
    <xdr:from>
      <xdr:col>11</xdr:col>
      <xdr:colOff>769625</xdr:colOff>
      <xdr:row>26</xdr:row>
      <xdr:rowOff>10713</xdr:rowOff>
    </xdr:from>
    <xdr:to>
      <xdr:col>11</xdr:col>
      <xdr:colOff>1492252</xdr:colOff>
      <xdr:row>29</xdr:row>
      <xdr:rowOff>39683</xdr:rowOff>
    </xdr:to>
    <xdr:cxnSp macro="">
      <xdr:nvCxnSpPr>
        <xdr:cNvPr id="21" name="Connector: Elbow 20">
          <a:extLst>
            <a:ext uri="{FF2B5EF4-FFF2-40B4-BE49-F238E27FC236}">
              <a16:creationId xmlns:a16="http://schemas.microsoft.com/office/drawing/2014/main" id="{9D9952A0-A09D-4F9D-9502-9F51BF1F0A28}"/>
            </a:ext>
          </a:extLst>
        </xdr:cNvPr>
        <xdr:cNvCxnSpPr>
          <a:stCxn id="20" idx="2"/>
          <a:endCxn id="7" idx="0"/>
        </xdr:cNvCxnSpPr>
      </xdr:nvCxnSpPr>
      <xdr:spPr>
        <a:xfrm rot="16200000" flipH="1">
          <a:off x="4819298" y="4471628"/>
          <a:ext cx="529032" cy="722627"/>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1921669</xdr:colOff>
      <xdr:row>4</xdr:row>
      <xdr:rowOff>19842</xdr:rowOff>
    </xdr:from>
    <xdr:to>
      <xdr:col>11</xdr:col>
      <xdr:colOff>409973</xdr:colOff>
      <xdr:row>7</xdr:row>
      <xdr:rowOff>158353</xdr:rowOff>
    </xdr:to>
    <xdr:sp macro="" textlink="">
      <xdr:nvSpPr>
        <xdr:cNvPr id="24" name="Rectangle 23">
          <a:extLst>
            <a:ext uri="{FF2B5EF4-FFF2-40B4-BE49-F238E27FC236}">
              <a16:creationId xmlns:a16="http://schemas.microsoft.com/office/drawing/2014/main" id="{824C5AF7-3918-4BB4-81A4-51DBECB6ACFF}"/>
            </a:ext>
          </a:extLst>
        </xdr:cNvPr>
        <xdr:cNvSpPr/>
      </xdr:nvSpPr>
      <xdr:spPr>
        <a:xfrm>
          <a:off x="3017044" y="910430"/>
          <a:ext cx="1345804" cy="638573"/>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Consolidated input</a:t>
          </a:r>
        </a:p>
      </xdr:txBody>
    </xdr:sp>
    <xdr:clientData/>
  </xdr:twoCellAnchor>
  <xdr:twoCellAnchor>
    <xdr:from>
      <xdr:col>7</xdr:col>
      <xdr:colOff>1919286</xdr:colOff>
      <xdr:row>9</xdr:row>
      <xdr:rowOff>112708</xdr:rowOff>
    </xdr:from>
    <xdr:to>
      <xdr:col>11</xdr:col>
      <xdr:colOff>407590</xdr:colOff>
      <xdr:row>13</xdr:row>
      <xdr:rowOff>90484</xdr:rowOff>
    </xdr:to>
    <xdr:sp macro="" textlink="">
      <xdr:nvSpPr>
        <xdr:cNvPr id="25" name="Rectangle 24">
          <a:extLst>
            <a:ext uri="{FF2B5EF4-FFF2-40B4-BE49-F238E27FC236}">
              <a16:creationId xmlns:a16="http://schemas.microsoft.com/office/drawing/2014/main" id="{46B238DF-9023-40E0-A25C-867DCE47A47F}"/>
            </a:ext>
          </a:extLst>
        </xdr:cNvPr>
        <xdr:cNvSpPr/>
      </xdr:nvSpPr>
      <xdr:spPr>
        <a:xfrm>
          <a:off x="3014661" y="1836733"/>
          <a:ext cx="1345804" cy="644526"/>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Input Override</a:t>
          </a:r>
        </a:p>
      </xdr:txBody>
    </xdr:sp>
    <xdr:clientData/>
  </xdr:twoCellAnchor>
  <xdr:twoCellAnchor>
    <xdr:from>
      <xdr:col>7</xdr:col>
      <xdr:colOff>1916904</xdr:colOff>
      <xdr:row>16</xdr:row>
      <xdr:rowOff>38890</xdr:rowOff>
    </xdr:from>
    <xdr:to>
      <xdr:col>11</xdr:col>
      <xdr:colOff>405208</xdr:colOff>
      <xdr:row>19</xdr:row>
      <xdr:rowOff>161515</xdr:rowOff>
    </xdr:to>
    <xdr:sp macro="" textlink="">
      <xdr:nvSpPr>
        <xdr:cNvPr id="26" name="Rectangle 25">
          <a:extLst>
            <a:ext uri="{FF2B5EF4-FFF2-40B4-BE49-F238E27FC236}">
              <a16:creationId xmlns:a16="http://schemas.microsoft.com/office/drawing/2014/main" id="{E325D4E3-74E5-4D39-AA47-CE8CD10C6DE3}"/>
            </a:ext>
          </a:extLst>
        </xdr:cNvPr>
        <xdr:cNvSpPr/>
      </xdr:nvSpPr>
      <xdr:spPr>
        <a:xfrm>
          <a:off x="3012279" y="2929728"/>
          <a:ext cx="1345804" cy="622687"/>
        </a:xfrm>
        <a:prstGeom prst="rect">
          <a:avLst/>
        </a:prstGeom>
        <a:solidFill>
          <a:srgbClr val="FFDB8E"/>
        </a:solidFill>
        <a:ln w="19050">
          <a:solidFill>
            <a:srgbClr val="172C51"/>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marL="0" indent="0" algn="ctr"/>
          <a:r>
            <a:rPr lang="en-GB" sz="1050">
              <a:solidFill>
                <a:schemeClr val="tx1"/>
              </a:solidFill>
              <a:latin typeface="+mn-lt"/>
              <a:ea typeface="+mn-ea"/>
              <a:cs typeface="+mn-cs"/>
            </a:rPr>
            <a:t>Final Input</a:t>
          </a:r>
        </a:p>
      </xdr:txBody>
    </xdr:sp>
    <xdr:clientData/>
  </xdr:twoCellAnchor>
  <xdr:twoCellAnchor>
    <xdr:from>
      <xdr:col>7</xdr:col>
      <xdr:colOff>1650802</xdr:colOff>
      <xdr:row>19</xdr:row>
      <xdr:rowOff>161516</xdr:rowOff>
    </xdr:from>
    <xdr:to>
      <xdr:col>9</xdr:col>
      <xdr:colOff>222843</xdr:colOff>
      <xdr:row>22</xdr:row>
      <xdr:rowOff>38100</xdr:rowOff>
    </xdr:to>
    <xdr:cxnSp macro="">
      <xdr:nvCxnSpPr>
        <xdr:cNvPr id="27" name="Connector: Elbow 26">
          <a:extLst>
            <a:ext uri="{FF2B5EF4-FFF2-40B4-BE49-F238E27FC236}">
              <a16:creationId xmlns:a16="http://schemas.microsoft.com/office/drawing/2014/main" id="{6CBB57D8-A53C-4B61-A4D3-9BCF36558340}"/>
            </a:ext>
          </a:extLst>
        </xdr:cNvPr>
        <xdr:cNvCxnSpPr>
          <a:cxnSpLocks/>
          <a:stCxn id="26" idx="2"/>
          <a:endCxn id="3" idx="0"/>
        </xdr:cNvCxnSpPr>
      </xdr:nvCxnSpPr>
      <xdr:spPr>
        <a:xfrm rot="5400000">
          <a:off x="2915438" y="5242912"/>
          <a:ext cx="662396" cy="953291"/>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222843</xdr:colOff>
      <xdr:row>19</xdr:row>
      <xdr:rowOff>161514</xdr:rowOff>
    </xdr:from>
    <xdr:to>
      <xdr:col>11</xdr:col>
      <xdr:colOff>772006</xdr:colOff>
      <xdr:row>22</xdr:row>
      <xdr:rowOff>48813</xdr:rowOff>
    </xdr:to>
    <xdr:cxnSp macro="">
      <xdr:nvCxnSpPr>
        <xdr:cNvPr id="28" name="Connector: Elbow 27">
          <a:extLst>
            <a:ext uri="{FF2B5EF4-FFF2-40B4-BE49-F238E27FC236}">
              <a16:creationId xmlns:a16="http://schemas.microsoft.com/office/drawing/2014/main" id="{96CC31FD-AAE1-4852-8340-D3E8ACF0EA71}"/>
            </a:ext>
          </a:extLst>
        </xdr:cNvPr>
        <xdr:cNvCxnSpPr>
          <a:stCxn id="26" idx="2"/>
          <a:endCxn id="20" idx="0"/>
        </xdr:cNvCxnSpPr>
      </xdr:nvCxnSpPr>
      <xdr:spPr>
        <a:xfrm rot="16200000" flipH="1">
          <a:off x="3911338" y="5200301"/>
          <a:ext cx="673111" cy="1049225"/>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220663</xdr:colOff>
      <xdr:row>20</xdr:row>
      <xdr:rowOff>18641</xdr:rowOff>
    </xdr:from>
    <xdr:to>
      <xdr:col>16</xdr:col>
      <xdr:colOff>401040</xdr:colOff>
      <xdr:row>22</xdr:row>
      <xdr:rowOff>47625</xdr:rowOff>
    </xdr:to>
    <xdr:cxnSp macro="">
      <xdr:nvCxnSpPr>
        <xdr:cNvPr id="29" name="Connector: Elbow 28">
          <a:extLst>
            <a:ext uri="{FF2B5EF4-FFF2-40B4-BE49-F238E27FC236}">
              <a16:creationId xmlns:a16="http://schemas.microsoft.com/office/drawing/2014/main" id="{49E9CAE0-FD2A-40C7-AF20-23C214ED3FE9}"/>
            </a:ext>
          </a:extLst>
        </xdr:cNvPr>
        <xdr:cNvCxnSpPr>
          <a:stCxn id="6" idx="2"/>
          <a:endCxn id="4" idx="0"/>
        </xdr:cNvCxnSpPr>
      </xdr:nvCxnSpPr>
      <xdr:spPr>
        <a:xfrm rot="5400000">
          <a:off x="6782884" y="3329083"/>
          <a:ext cx="362359" cy="856652"/>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1293415</xdr:colOff>
      <xdr:row>6</xdr:row>
      <xdr:rowOff>8731</xdr:rowOff>
    </xdr:from>
    <xdr:to>
      <xdr:col>7</xdr:col>
      <xdr:colOff>1921669</xdr:colOff>
      <xdr:row>6</xdr:row>
      <xdr:rowOff>8731</xdr:rowOff>
    </xdr:to>
    <xdr:cxnSp macro="">
      <xdr:nvCxnSpPr>
        <xdr:cNvPr id="31" name="Connector: Elbow 30">
          <a:extLst>
            <a:ext uri="{FF2B5EF4-FFF2-40B4-BE49-F238E27FC236}">
              <a16:creationId xmlns:a16="http://schemas.microsoft.com/office/drawing/2014/main" id="{ACC880A9-83A8-490B-8AE2-BB5B48C0184E}"/>
            </a:ext>
          </a:extLst>
        </xdr:cNvPr>
        <xdr:cNvCxnSpPr>
          <a:stCxn id="5" idx="3"/>
          <a:endCxn id="24" idx="1"/>
        </xdr:cNvCxnSpPr>
      </xdr:nvCxnSpPr>
      <xdr:spPr>
        <a:xfrm flipV="1">
          <a:off x="2388790" y="1232694"/>
          <a:ext cx="628254" cy="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231774</xdr:colOff>
      <xdr:row>7</xdr:row>
      <xdr:rowOff>158353</xdr:rowOff>
    </xdr:from>
    <xdr:to>
      <xdr:col>9</xdr:col>
      <xdr:colOff>234157</xdr:colOff>
      <xdr:row>9</xdr:row>
      <xdr:rowOff>112708</xdr:rowOff>
    </xdr:to>
    <xdr:cxnSp macro="">
      <xdr:nvCxnSpPr>
        <xdr:cNvPr id="32" name="Straight Arrow Connector 31">
          <a:extLst>
            <a:ext uri="{FF2B5EF4-FFF2-40B4-BE49-F238E27FC236}">
              <a16:creationId xmlns:a16="http://schemas.microsoft.com/office/drawing/2014/main" id="{299B80CA-1BA2-4C85-A498-6870FDB979F1}"/>
            </a:ext>
          </a:extLst>
        </xdr:cNvPr>
        <xdr:cNvCxnSpPr>
          <a:stCxn id="24" idx="2"/>
          <a:endCxn id="25" idx="0"/>
        </xdr:cNvCxnSpPr>
      </xdr:nvCxnSpPr>
      <xdr:spPr>
        <a:xfrm flipH="1">
          <a:off x="3689349" y="1549003"/>
          <a:ext cx="2383" cy="28773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227606</xdr:colOff>
      <xdr:row>13</xdr:row>
      <xdr:rowOff>90484</xdr:rowOff>
    </xdr:from>
    <xdr:to>
      <xdr:col>9</xdr:col>
      <xdr:colOff>229988</xdr:colOff>
      <xdr:row>16</xdr:row>
      <xdr:rowOff>38890</xdr:rowOff>
    </xdr:to>
    <xdr:cxnSp macro="">
      <xdr:nvCxnSpPr>
        <xdr:cNvPr id="33" name="Straight Arrow Connector 32">
          <a:extLst>
            <a:ext uri="{FF2B5EF4-FFF2-40B4-BE49-F238E27FC236}">
              <a16:creationId xmlns:a16="http://schemas.microsoft.com/office/drawing/2014/main" id="{52E303D5-2A98-4979-A90F-14361F138FCB}"/>
            </a:ext>
          </a:extLst>
        </xdr:cNvPr>
        <xdr:cNvCxnSpPr>
          <a:stCxn id="25" idx="2"/>
          <a:endCxn id="26" idx="0"/>
        </xdr:cNvCxnSpPr>
      </xdr:nvCxnSpPr>
      <xdr:spPr>
        <a:xfrm flipH="1">
          <a:off x="3685181" y="2481259"/>
          <a:ext cx="2382" cy="448469"/>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123825</xdr:colOff>
      <xdr:row>18</xdr:row>
      <xdr:rowOff>157163</xdr:rowOff>
    </xdr:from>
    <xdr:to>
      <xdr:col>6</xdr:col>
      <xdr:colOff>180975</xdr:colOff>
      <xdr:row>34</xdr:row>
      <xdr:rowOff>157163</xdr:rowOff>
    </xdr:to>
    <xdr:graphicFrame macro="">
      <xdr:nvGraphicFramePr>
        <xdr:cNvPr id="2" name="Chart 1">
          <a:extLst>
            <a:ext uri="{FF2B5EF4-FFF2-40B4-BE49-F238E27FC236}">
              <a16:creationId xmlns:a16="http://schemas.microsoft.com/office/drawing/2014/main" id="{29185F0C-427A-19F9-8E5A-FFEF0B2301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304800</xdr:colOff>
      <xdr:row>20</xdr:row>
      <xdr:rowOff>134937</xdr:rowOff>
    </xdr:from>
    <xdr:to>
      <xdr:col>5</xdr:col>
      <xdr:colOff>0</xdr:colOff>
      <xdr:row>39</xdr:row>
      <xdr:rowOff>11111</xdr:rowOff>
    </xdr:to>
    <xdr:grpSp>
      <xdr:nvGrpSpPr>
        <xdr:cNvPr id="2" name="Group 1">
          <a:extLst>
            <a:ext uri="{FF2B5EF4-FFF2-40B4-BE49-F238E27FC236}">
              <a16:creationId xmlns:a16="http://schemas.microsoft.com/office/drawing/2014/main" id="{CD45341F-DF33-4E97-9CCC-375DC1BB3F5A}"/>
            </a:ext>
          </a:extLst>
        </xdr:cNvPr>
        <xdr:cNvGrpSpPr/>
      </xdr:nvGrpSpPr>
      <xdr:grpSpPr>
        <a:xfrm>
          <a:off x="304800" y="6326187"/>
          <a:ext cx="4391025" cy="2952749"/>
          <a:chOff x="1401215" y="5046888"/>
          <a:chExt cx="4603297" cy="2910569"/>
        </a:xfrm>
      </xdr:grpSpPr>
      <xdr:graphicFrame macro="">
        <xdr:nvGraphicFramePr>
          <xdr:cNvPr id="3" name="Chart 2">
            <a:extLst>
              <a:ext uri="{FF2B5EF4-FFF2-40B4-BE49-F238E27FC236}">
                <a16:creationId xmlns:a16="http://schemas.microsoft.com/office/drawing/2014/main" id="{2B9FB814-D446-8848-7C04-2DB9B6FE1703}"/>
              </a:ext>
            </a:extLst>
          </xdr:cNvPr>
          <xdr:cNvGraphicFramePr/>
        </xdr:nvGraphicFramePr>
        <xdr:xfrm>
          <a:off x="1401215" y="5046888"/>
          <a:ext cx="4603297" cy="2910569"/>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Connector 10">
            <a:extLst>
              <a:ext uri="{FF2B5EF4-FFF2-40B4-BE49-F238E27FC236}">
                <a16:creationId xmlns:a16="http://schemas.microsoft.com/office/drawing/2014/main" id="{A6C17823-B97E-A6C4-EF5A-A5E087F3569F}"/>
              </a:ext>
            </a:extLst>
          </xdr:cNvPr>
          <xdr:cNvCxnSpPr/>
        </xdr:nvCxnSpPr>
        <xdr:spPr>
          <a:xfrm>
            <a:off x="2162614" y="7492378"/>
            <a:ext cx="3686095" cy="11206"/>
          </a:xfrm>
          <a:prstGeom prst="line">
            <a:avLst/>
          </a:prstGeom>
          <a:ln w="22225"/>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5</xdr:col>
      <xdr:colOff>410052</xdr:colOff>
      <xdr:row>22</xdr:row>
      <xdr:rowOff>1587</xdr:rowOff>
    </xdr:from>
    <xdr:to>
      <xdr:col>10</xdr:col>
      <xdr:colOff>504825</xdr:colOff>
      <xdr:row>40</xdr:row>
      <xdr:rowOff>77448</xdr:rowOff>
    </xdr:to>
    <xdr:grpSp>
      <xdr:nvGrpSpPr>
        <xdr:cNvPr id="5" name="Group 4">
          <a:extLst>
            <a:ext uri="{FF2B5EF4-FFF2-40B4-BE49-F238E27FC236}">
              <a16:creationId xmlns:a16="http://schemas.microsoft.com/office/drawing/2014/main" id="{81FC5BFC-7092-46C2-AA93-C549B8E77487}"/>
            </a:ext>
          </a:extLst>
        </xdr:cNvPr>
        <xdr:cNvGrpSpPr/>
      </xdr:nvGrpSpPr>
      <xdr:grpSpPr>
        <a:xfrm>
          <a:off x="5105877" y="6516687"/>
          <a:ext cx="4476273" cy="2990511"/>
          <a:chOff x="6547437" y="5056415"/>
          <a:chExt cx="4690382" cy="2879272"/>
        </a:xfrm>
      </xdr:grpSpPr>
      <xdr:graphicFrame macro="">
        <xdr:nvGraphicFramePr>
          <xdr:cNvPr id="6" name="Chart 2">
            <a:extLst>
              <a:ext uri="{FF2B5EF4-FFF2-40B4-BE49-F238E27FC236}">
                <a16:creationId xmlns:a16="http://schemas.microsoft.com/office/drawing/2014/main" id="{CCDF4468-1104-DD7A-E20F-6A90E8F92B9F}"/>
              </a:ext>
              <a:ext uri="{147F2762-F138-4A5C-976F-8EAC2B608ADB}">
                <a16:predDERef xmlns:a16="http://schemas.microsoft.com/office/drawing/2014/main" pred="{AB67C59B-30AC-F1AD-6DE5-47406AF56681}"/>
              </a:ext>
            </a:extLst>
          </xdr:cNvPr>
          <xdr:cNvGraphicFramePr>
            <a:graphicFrameLocks/>
          </xdr:cNvGraphicFramePr>
        </xdr:nvGraphicFramePr>
        <xdr:xfrm>
          <a:off x="6547437" y="5056415"/>
          <a:ext cx="4690382" cy="2879272"/>
        </xdr:xfrm>
        <a:graphic>
          <a:graphicData uri="http://schemas.openxmlformats.org/drawingml/2006/chart">
            <c:chart xmlns:c="http://schemas.openxmlformats.org/drawingml/2006/chart" xmlns:r="http://schemas.openxmlformats.org/officeDocument/2006/relationships" r:id="rId2"/>
          </a:graphicData>
        </a:graphic>
      </xdr:graphicFrame>
      <xdr:cxnSp macro="">
        <xdr:nvCxnSpPr>
          <xdr:cNvPr id="7" name="Straight Connector 12">
            <a:extLst>
              <a:ext uri="{FF2B5EF4-FFF2-40B4-BE49-F238E27FC236}">
                <a16:creationId xmlns:a16="http://schemas.microsoft.com/office/drawing/2014/main" id="{A3B8E204-28D0-D3B4-C045-A37DE57BF6FB}"/>
              </a:ext>
            </a:extLst>
          </xdr:cNvPr>
          <xdr:cNvCxnSpPr/>
        </xdr:nvCxnSpPr>
        <xdr:spPr>
          <a:xfrm>
            <a:off x="7040585" y="6491668"/>
            <a:ext cx="3899650" cy="5603"/>
          </a:xfrm>
          <a:prstGeom prst="line">
            <a:avLst/>
          </a:prstGeom>
          <a:ln w="22225"/>
        </xdr:spPr>
        <xdr:style>
          <a:lnRef idx="1">
            <a:schemeClr val="accent6"/>
          </a:lnRef>
          <a:fillRef idx="0">
            <a:schemeClr val="accent6"/>
          </a:fillRef>
          <a:effectRef idx="0">
            <a:schemeClr val="accent6"/>
          </a:effectRef>
          <a:fontRef idx="minor">
            <a:schemeClr val="tx1"/>
          </a:fontRef>
        </xdr:style>
      </xdr:cxnSp>
    </xdr:grpSp>
    <xdr:clientData/>
  </xdr:twoCellAnchor>
  <xdr:twoCellAnchor>
    <xdr:from>
      <xdr:col>16</xdr:col>
      <xdr:colOff>19867</xdr:colOff>
      <xdr:row>21</xdr:row>
      <xdr:rowOff>116545</xdr:rowOff>
    </xdr:from>
    <xdr:to>
      <xdr:col>19</xdr:col>
      <xdr:colOff>684302</xdr:colOff>
      <xdr:row>40</xdr:row>
      <xdr:rowOff>56695</xdr:rowOff>
    </xdr:to>
    <xdr:grpSp>
      <xdr:nvGrpSpPr>
        <xdr:cNvPr id="11" name="Group 10">
          <a:extLst>
            <a:ext uri="{FF2B5EF4-FFF2-40B4-BE49-F238E27FC236}">
              <a16:creationId xmlns:a16="http://schemas.microsoft.com/office/drawing/2014/main" id="{9D889BF3-96BD-4326-A77F-B98A4121E1B2}"/>
            </a:ext>
          </a:extLst>
        </xdr:cNvPr>
        <xdr:cNvGrpSpPr/>
      </xdr:nvGrpSpPr>
      <xdr:grpSpPr>
        <a:xfrm>
          <a:off x="14354992" y="6469720"/>
          <a:ext cx="3379060" cy="3016725"/>
          <a:chOff x="17964150" y="7124700"/>
          <a:chExt cx="5035550" cy="3086100"/>
        </a:xfrm>
      </xdr:grpSpPr>
      <xdr:graphicFrame macro="">
        <xdr:nvGraphicFramePr>
          <xdr:cNvPr id="12" name="Chart 11">
            <a:extLst>
              <a:ext uri="{FF2B5EF4-FFF2-40B4-BE49-F238E27FC236}">
                <a16:creationId xmlns:a16="http://schemas.microsoft.com/office/drawing/2014/main" id="{4E28A407-E4B4-8691-ACFB-19CA30C4EDA2}"/>
              </a:ext>
            </a:extLst>
          </xdr:cNvPr>
          <xdr:cNvGraphicFramePr/>
        </xdr:nvGraphicFramePr>
        <xdr:xfrm>
          <a:off x="17964150" y="7124700"/>
          <a:ext cx="5035550" cy="3086100"/>
        </xdr:xfrm>
        <a:graphic>
          <a:graphicData uri="http://schemas.openxmlformats.org/drawingml/2006/chart">
            <c:chart xmlns:c="http://schemas.openxmlformats.org/drawingml/2006/chart" xmlns:r="http://schemas.openxmlformats.org/officeDocument/2006/relationships" r:id="rId3"/>
          </a:graphicData>
        </a:graphic>
      </xdr:graphicFrame>
      <xdr:cxnSp macro="">
        <xdr:nvCxnSpPr>
          <xdr:cNvPr id="13" name="Straight Connector 12">
            <a:extLst>
              <a:ext uri="{FF2B5EF4-FFF2-40B4-BE49-F238E27FC236}">
                <a16:creationId xmlns:a16="http://schemas.microsoft.com/office/drawing/2014/main" id="{F8B2D0DD-9C75-ABF7-E30F-C065AD55D7BB}"/>
              </a:ext>
            </a:extLst>
          </xdr:cNvPr>
          <xdr:cNvCxnSpPr/>
        </xdr:nvCxnSpPr>
        <xdr:spPr>
          <a:xfrm>
            <a:off x="18805452" y="9569721"/>
            <a:ext cx="4152900" cy="0"/>
          </a:xfrm>
          <a:prstGeom prst="line">
            <a:avLst/>
          </a:prstGeom>
          <a:ln w="19050">
            <a:solidFill>
              <a:schemeClr val="accent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41</xdr:row>
      <xdr:rowOff>0</xdr:rowOff>
    </xdr:from>
    <xdr:to>
      <xdr:col>5</xdr:col>
      <xdr:colOff>469900</xdr:colOff>
      <xdr:row>60</xdr:row>
      <xdr:rowOff>25400</xdr:rowOff>
    </xdr:to>
    <xdr:graphicFrame macro="">
      <xdr:nvGraphicFramePr>
        <xdr:cNvPr id="10" name="Chart 9">
          <a:extLst>
            <a:ext uri="{FF2B5EF4-FFF2-40B4-BE49-F238E27FC236}">
              <a16:creationId xmlns:a16="http://schemas.microsoft.com/office/drawing/2014/main" id="{176F17C1-E5D0-4DA8-BAF7-C0DA37E775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554037</xdr:colOff>
      <xdr:row>41</xdr:row>
      <xdr:rowOff>16329</xdr:rowOff>
    </xdr:from>
    <xdr:to>
      <xdr:col>10</xdr:col>
      <xdr:colOff>647699</xdr:colOff>
      <xdr:row>60</xdr:row>
      <xdr:rowOff>46490</xdr:rowOff>
    </xdr:to>
    <xdr:graphicFrame macro="">
      <xdr:nvGraphicFramePr>
        <xdr:cNvPr id="14" name="Chart 13">
          <a:extLst>
            <a:ext uri="{FF2B5EF4-FFF2-40B4-BE49-F238E27FC236}">
              <a16:creationId xmlns:a16="http://schemas.microsoft.com/office/drawing/2014/main" id="{09716EF8-ED97-4E90-A2C6-1E32545E5EA1}"/>
            </a:ext>
            <a:ext uri="{147F2762-F138-4A5C-976F-8EAC2B608ADB}">
              <a16:predDERef xmlns:a16="http://schemas.microsoft.com/office/drawing/2014/main" pred="{176F17C1-E5D0-4DA8-BAF7-C0DA37E775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800100</xdr:colOff>
      <xdr:row>40</xdr:row>
      <xdr:rowOff>101600</xdr:rowOff>
    </xdr:from>
    <xdr:to>
      <xdr:col>15</xdr:col>
      <xdr:colOff>893762</xdr:colOff>
      <xdr:row>59</xdr:row>
      <xdr:rowOff>131762</xdr:rowOff>
    </xdr:to>
    <xdr:graphicFrame macro="">
      <xdr:nvGraphicFramePr>
        <xdr:cNvPr id="15" name="Chart 14">
          <a:extLst>
            <a:ext uri="{FF2B5EF4-FFF2-40B4-BE49-F238E27FC236}">
              <a16:creationId xmlns:a16="http://schemas.microsoft.com/office/drawing/2014/main" id="{2ACC22E9-B4DD-4A74-A5B2-A2C1006B1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114300</xdr:colOff>
      <xdr:row>40</xdr:row>
      <xdr:rowOff>114300</xdr:rowOff>
    </xdr:from>
    <xdr:to>
      <xdr:col>19</xdr:col>
      <xdr:colOff>1985962</xdr:colOff>
      <xdr:row>59</xdr:row>
      <xdr:rowOff>144462</xdr:rowOff>
    </xdr:to>
    <xdr:graphicFrame macro="">
      <xdr:nvGraphicFramePr>
        <xdr:cNvPr id="16" name="Chart 15">
          <a:extLst>
            <a:ext uri="{FF2B5EF4-FFF2-40B4-BE49-F238E27FC236}">
              <a16:creationId xmlns:a16="http://schemas.microsoft.com/office/drawing/2014/main" id="{BE828B3F-8EC9-4D92-9F3B-0F79265DA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22</xdr:row>
      <xdr:rowOff>0</xdr:rowOff>
    </xdr:from>
    <xdr:to>
      <xdr:col>15</xdr:col>
      <xdr:colOff>773655</xdr:colOff>
      <xdr:row>40</xdr:row>
      <xdr:rowOff>105251</xdr:rowOff>
    </xdr:to>
    <xdr:grpSp>
      <xdr:nvGrpSpPr>
        <xdr:cNvPr id="8" name="Group 7">
          <a:extLst>
            <a:ext uri="{FF2B5EF4-FFF2-40B4-BE49-F238E27FC236}">
              <a16:creationId xmlns:a16="http://schemas.microsoft.com/office/drawing/2014/main" id="{4543B9B4-846C-4B3C-B239-256B386CB6F7}"/>
            </a:ext>
          </a:extLst>
        </xdr:cNvPr>
        <xdr:cNvGrpSpPr/>
      </xdr:nvGrpSpPr>
      <xdr:grpSpPr>
        <a:xfrm>
          <a:off x="9953625" y="6515100"/>
          <a:ext cx="4278855" cy="3019901"/>
          <a:chOff x="17964150" y="7124700"/>
          <a:chExt cx="5035550" cy="3086100"/>
        </a:xfrm>
      </xdr:grpSpPr>
      <xdr:graphicFrame macro="">
        <xdr:nvGraphicFramePr>
          <xdr:cNvPr id="17" name="Chart 16">
            <a:extLst>
              <a:ext uri="{FF2B5EF4-FFF2-40B4-BE49-F238E27FC236}">
                <a16:creationId xmlns:a16="http://schemas.microsoft.com/office/drawing/2014/main" id="{3B57C05F-FEF9-CF81-E6E4-C7D7702450DC}"/>
              </a:ext>
            </a:extLst>
          </xdr:cNvPr>
          <xdr:cNvGraphicFramePr/>
        </xdr:nvGraphicFramePr>
        <xdr:xfrm>
          <a:off x="17964150" y="7124700"/>
          <a:ext cx="5035550" cy="3086100"/>
        </xdr:xfrm>
        <a:graphic>
          <a:graphicData uri="http://schemas.openxmlformats.org/drawingml/2006/chart">
            <c:chart xmlns:c="http://schemas.openxmlformats.org/drawingml/2006/chart" xmlns:r="http://schemas.openxmlformats.org/officeDocument/2006/relationships" r:id="rId8"/>
          </a:graphicData>
        </a:graphic>
      </xdr:graphicFrame>
      <xdr:cxnSp macro="">
        <xdr:nvCxnSpPr>
          <xdr:cNvPr id="18" name="Straight Connector 17">
            <a:extLst>
              <a:ext uri="{FF2B5EF4-FFF2-40B4-BE49-F238E27FC236}">
                <a16:creationId xmlns:a16="http://schemas.microsoft.com/office/drawing/2014/main" id="{3DB6DC7B-B63B-F99A-0E6B-2C83909C8048}"/>
              </a:ext>
            </a:extLst>
          </xdr:cNvPr>
          <xdr:cNvCxnSpPr/>
        </xdr:nvCxnSpPr>
        <xdr:spPr>
          <a:xfrm>
            <a:off x="18833579" y="8142625"/>
            <a:ext cx="4152900" cy="0"/>
          </a:xfrm>
          <a:prstGeom prst="line">
            <a:avLst/>
          </a:prstGeom>
          <a:ln w="19050">
            <a:solidFill>
              <a:schemeClr val="accent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349702</xdr:colOff>
      <xdr:row>22</xdr:row>
      <xdr:rowOff>25627</xdr:rowOff>
    </xdr:from>
    <xdr:to>
      <xdr:col>28</xdr:col>
      <xdr:colOff>222703</xdr:colOff>
      <xdr:row>55</xdr:row>
      <xdr:rowOff>100013</xdr:rowOff>
    </xdr:to>
    <xdr:graphicFrame macro="">
      <xdr:nvGraphicFramePr>
        <xdr:cNvPr id="23" name="Chart 18">
          <a:extLst>
            <a:ext uri="{FF2B5EF4-FFF2-40B4-BE49-F238E27FC236}">
              <a16:creationId xmlns:a16="http://schemas.microsoft.com/office/drawing/2014/main" id="{3D3F5EAF-A7F9-9426-1960-E90E5E7E26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20B4E32-1BE4-48A8-8C2A-E982BDFCD20A}" name="Table25" displayName="Table25" ref="B27:C50" totalsRowShown="0" headerRowDxfId="45" headerRowCellStyle="Normal 2">
  <autoFilter ref="B27:C50" xr:uid="{FEF77FAD-B650-49CD-8044-E64A79EDAC1E}"/>
  <tableColumns count="2">
    <tableColumn id="1" xr3:uid="{5E199E2C-D2F1-41E2-93B8-4CF65596652F}" name="Tab name" dataDxfId="44"/>
    <tableColumn id="2" xr3:uid="{0DC49B31-B66E-445D-98DD-38E21C11F14A}" name="Description" dataDxfId="4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B7372C-6846-4459-904E-BA1B446838BF}" name="Table1" displayName="Table1" ref="A4:K160" totalsRowShown="0" headerRowDxfId="42" dataDxfId="41" tableBorderDxfId="40">
  <tableColumns count="11">
    <tableColumn id="1" xr3:uid="{18CAF2C8-A5D8-4C56-84D8-4E97638C2142}" name="Acronym" dataDxfId="39">
      <calculatedColumnFormula>F_Inputs!A7</calculatedColumnFormula>
    </tableColumn>
    <tableColumn id="2" xr3:uid="{18575800-ABA7-4DC7-BDAA-77D29E276A88}" name="BON code" dataDxfId="38">
      <calculatedColumnFormula>F_Inputs!B7</calculatedColumnFormula>
    </tableColumn>
    <tableColumn id="3" xr3:uid="{DF601B23-D19C-493B-89F8-37DC18976F66}" name="Item Description" dataDxfId="37">
      <calculatedColumnFormula>F_Inputs!C7</calculatedColumnFormula>
    </tableColumn>
    <tableColumn id="4" xr3:uid="{8C38D765-FA5C-4963-AE6A-5707D58E6FD7}" name="Item Unit" dataDxfId="36">
      <calculatedColumnFormula>F_Inputs!D8</calculatedColumnFormula>
    </tableColumn>
    <tableColumn id="5" xr3:uid="{E004698E-3FD4-40D7-B139-9333B6FAFC28}" name="2023-24" dataDxfId="35">
      <calculatedColumnFormula>SUMIFS('F_Inputs adjusted'!R:R,'F_Inputs adjusted'!$A:$A,$A5,'F_Inputs adjusted'!$B:$B,$B5)</calculatedColumnFormula>
    </tableColumn>
    <tableColumn id="6" xr3:uid="{DF6735A1-6E01-4235-A2A4-60073A80E394}" name="2024-25" dataDxfId="34">
      <calculatedColumnFormula>SUMIFS('F_Inputs adjusted'!S:S,'F_Inputs adjusted'!$A:$A,$A5,'F_Inputs adjusted'!$B:$B,$B5)</calculatedColumnFormula>
    </tableColumn>
    <tableColumn id="7" xr3:uid="{33341CA6-C395-41DF-AF2B-4549160E2DA0}" name="2025-26" dataDxfId="33">
      <calculatedColumnFormula>SUMIFS('F_Inputs adjusted'!T:T,'F_Inputs adjusted'!$A:$A,$A5,'F_Inputs adjusted'!$B:$B,$B5)</calculatedColumnFormula>
    </tableColumn>
    <tableColumn id="8" xr3:uid="{7A049C81-F456-444F-A7C3-986E63F02EEB}" name="2026-27" dataDxfId="32">
      <calculatedColumnFormula>SUMIFS('F_Inputs adjusted'!U:U,'F_Inputs adjusted'!$A:$A,$A5,'F_Inputs adjusted'!$B:$B,$B5)</calculatedColumnFormula>
    </tableColumn>
    <tableColumn id="9" xr3:uid="{134C3CE2-BCE9-48CA-A40A-E877F4409ED9}" name="2027-28" dataDxfId="31">
      <calculatedColumnFormula>SUMIFS('F_Inputs adjusted'!V:V,'F_Inputs adjusted'!$A:$A,$A5,'F_Inputs adjusted'!$B:$B,$B5)</calculatedColumnFormula>
    </tableColumn>
    <tableColumn id="10" xr3:uid="{6375A3A8-CB80-4BFE-B04C-C638C7A57A01}" name="2028-29" dataDxfId="30">
      <calculatedColumnFormula>SUMIFS('F_Inputs adjusted'!W:W,'F_Inputs adjusted'!$A:$A,$A5,'F_Inputs adjusted'!$B:$B,$B5)</calculatedColumnFormula>
    </tableColumn>
    <tableColumn id="11" xr3:uid="{57DC6DB1-B7EA-4B2C-9FE7-D577DB20B5EF}" name="2029-30" dataDxfId="29">
      <calculatedColumnFormula>SUMIFS('F_Inputs adjusted'!X:X,'F_Inputs adjusted'!$A:$A,$A5,'F_Inputs adjusted'!$B:$B,$B5)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E56A5BD-A285-43AA-9A0D-00E675499AB3}" name="Table2" displayName="Table2" ref="A4:K160" totalsRowShown="0" headerRowDxfId="28" dataDxfId="27" tableBorderDxfId="26">
  <tableColumns count="11">
    <tableColumn id="1" xr3:uid="{2D5CA2FF-E2EE-4360-B151-30CD21265BA4}" name="Company Acronym" dataDxfId="25">
      <calculatedColumnFormula>Table1[[#This Row],[Acronym]]</calculatedColumnFormula>
    </tableColumn>
    <tableColumn id="2" xr3:uid="{DC88738C-214F-44F2-9EBF-D0BA3016404B}" name="Item Code" dataDxfId="24">
      <calculatedColumnFormula>Table1[[#This Row],[BON code]]</calculatedColumnFormula>
    </tableColumn>
    <tableColumn id="3" xr3:uid="{CE3907F8-9FA5-44BE-ACD5-23E791BA20DA}" name="Item Description" dataDxfId="23">
      <calculatedColumnFormula>Table1[[#This Row],[Item Description]]</calculatedColumnFormula>
    </tableColumn>
    <tableColumn id="4" xr3:uid="{7B448592-AFA8-4A1A-B228-BC871646F258}" name="Item Unit" dataDxfId="22"/>
    <tableColumn id="5" xr3:uid="{F05CA2D2-88C8-46F6-8DE0-8C2579634FFC}" name="2023-24" dataDxfId="21"/>
    <tableColumn id="6" xr3:uid="{CB937FD5-1BC9-4F9F-B707-F383A1B7103D}" name="2024-25" dataDxfId="20"/>
    <tableColumn id="7" xr3:uid="{BFCC8370-A0AF-4BEB-A5CE-6973CFDCBB5D}" name="2025-26" dataDxfId="19"/>
    <tableColumn id="8" xr3:uid="{52C6056B-76E9-4A9D-9C20-A18172C397A3}" name="2026-27" dataDxfId="18"/>
    <tableColumn id="9" xr3:uid="{A044B502-0FC1-4B1C-8506-D2214745E64D}" name="2027-28" dataDxfId="17"/>
    <tableColumn id="10" xr3:uid="{CC0DA99B-46E1-4EA8-BA62-914F924ED32E}" name="2028-29" dataDxfId="16"/>
    <tableColumn id="11" xr3:uid="{D7CDEEE7-FF83-419E-9E90-5319DE960917}" name="2029-30" dataDxfId="1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69300B-F5BE-4A53-A715-B5D61BC2D84E}" name="Table3" displayName="Table3" ref="A4:L162" totalsRowShown="0" headerRowDxfId="14" dataDxfId="13" tableBorderDxfId="12">
  <tableColumns count="12">
    <tableColumn id="1" xr3:uid="{C004AA39-2B06-46B4-8B93-5317DCFE53EC}" name="Acronym" dataDxfId="11">
      <calculatedColumnFormula>Table1[[#This Row],[Acronym]]</calculatedColumnFormula>
    </tableColumn>
    <tableColumn id="2" xr3:uid="{7C61AF8B-2D01-4375-8CAC-A94E72F39F33}" name="BON code" dataDxfId="10">
      <calculatedColumnFormula>Table1[[#This Row],[BON code]]</calculatedColumnFormula>
    </tableColumn>
    <tableColumn id="3" xr3:uid="{B6F6D568-A1F8-4937-B35F-611B7E3E1894}" name="Item Description" dataDxfId="9">
      <calculatedColumnFormula>Table1[[#This Row],[Item Description]]</calculatedColumnFormula>
    </tableColumn>
    <tableColumn id="4" xr3:uid="{BA19788E-6BD5-4557-AA7E-16ADE2FD4C71}" name="Item Unit" dataDxfId="8"/>
    <tableColumn id="5" xr3:uid="{135091CB-4DE9-4123-B2AC-F0DAFA87792A}" name="2023-24" dataDxfId="7">
      <calculatedColumnFormula>IF('F_Input Override'!E5="",'Consolidated Input'!E5,'F_Input Override'!E5)</calculatedColumnFormula>
    </tableColumn>
    <tableColumn id="6" xr3:uid="{6B3C588E-7FA5-49A2-9E53-0C5D4296345D}" name="2024-25" dataDxfId="6">
      <calculatedColumnFormula>IF('F_Input Override'!F5="",'Consolidated Input'!F5,'F_Input Override'!F5)</calculatedColumnFormula>
    </tableColumn>
    <tableColumn id="7" xr3:uid="{24E79B77-C5FD-48D5-9CFD-211BA8B6999E}" name="2025-26" dataDxfId="5">
      <calculatedColumnFormula>IF('F_Input Override'!G5="",'Consolidated Input'!G5,'F_Input Override'!G5)</calculatedColumnFormula>
    </tableColumn>
    <tableColumn id="8" xr3:uid="{6E7F9E5E-7A0D-4A7B-A285-8EEEB395C945}" name="2026-27" dataDxfId="4">
      <calculatedColumnFormula>IF('F_Input Override'!H5="",'Consolidated Input'!H5,'F_Input Override'!H5)</calculatedColumnFormula>
    </tableColumn>
    <tableColumn id="9" xr3:uid="{F8A030C9-25B7-45AA-A746-46CBBA7B77D4}" name="2027-28" dataDxfId="3">
      <calculatedColumnFormula>IF('F_Input Override'!I5="",'Consolidated Input'!I5,'F_Input Override'!I5)</calculatedColumnFormula>
    </tableColumn>
    <tableColumn id="10" xr3:uid="{1E2FBFCF-890D-4745-A97C-0B38BF4D4159}" name="2028-29" dataDxfId="2">
      <calculatedColumnFormula>IF('F_Input Override'!J5="",'Consolidated Input'!J5,'F_Input Override'!J5)</calculatedColumnFormula>
    </tableColumn>
    <tableColumn id="11" xr3:uid="{1BE7F6A9-DBC2-4C6F-9FF1-2AF91195834E}" name="2029-30" dataDxfId="1">
      <calculatedColumnFormula>IF('F_Input Override'!K5="",'Consolidated Input'!K5,'F_Input Override'!K5)</calculatedColumnFormula>
    </tableColumn>
    <tableColumn id="12" xr3:uid="{38386258-D84C-4375-B946-33D7843758FB}" name="PR24 total" dataDxfId="0">
      <calculatedColumnFormula>SUM(Table3[[#This Row],[2023-24]:[2029-30]])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22433-B79D-4939-8656-5381ACD46CF3}">
  <sheetPr>
    <tabColor rgb="FFCCCCCE"/>
    <outlinePr summaryBelow="0" summaryRight="0"/>
  </sheetPr>
  <dimension ref="A1:J96"/>
  <sheetViews>
    <sheetView showGridLines="0" tabSelected="1" zoomScale="80" zoomScaleNormal="80" workbookViewId="0"/>
  </sheetViews>
  <sheetFormatPr defaultColWidth="0" defaultRowHeight="0" customHeight="1" zeroHeight="1"/>
  <cols>
    <col min="1" max="1" width="8.140625" style="89" customWidth="1"/>
    <col min="2" max="2" width="36.28515625" style="89" customWidth="1"/>
    <col min="3" max="3" width="92.7109375" style="89" customWidth="1"/>
    <col min="4" max="4" width="15.42578125" style="89" customWidth="1"/>
    <col min="5" max="10" width="8.85546875" style="89" customWidth="1"/>
    <col min="11" max="16384" width="8.5703125" style="89" hidden="1"/>
  </cols>
  <sheetData>
    <row r="1" spans="1:4" ht="47.65">
      <c r="A1" s="290" t="e">
        <f ca="1" xml:space="preserve"> RIGHT(CELL("filename", $A$1), LEN(CELL("filename", $A$1)) - SEARCH("]", CELL("filename", $A$1)))</f>
        <v>#VALUE!</v>
      </c>
      <c r="B1" s="69"/>
      <c r="C1" s="88"/>
      <c r="D1" s="88"/>
    </row>
    <row r="2" spans="1:4" ht="20.25"/>
    <row r="3" spans="1:4" s="90" customFormat="1" ht="35.65">
      <c r="B3" s="91" t="s">
        <v>0</v>
      </c>
    </row>
    <row r="4" spans="1:4" ht="20.25"/>
    <row r="5" spans="1:4" ht="20.25">
      <c r="B5" s="89" t="s">
        <v>1</v>
      </c>
      <c r="C5" s="89" t="s">
        <v>2</v>
      </c>
    </row>
    <row r="6" spans="1:4" ht="20.25">
      <c r="B6" s="89" t="s">
        <v>3</v>
      </c>
      <c r="C6" s="92">
        <v>2</v>
      </c>
    </row>
    <row r="7" spans="1:4" ht="20.25">
      <c r="B7" s="89" t="s">
        <v>4</v>
      </c>
      <c r="C7" s="93" t="e">
        <f ca="1" xml:space="preserve"> MID(CELL("filename"), FIND("[", CELL("filename"), 1) + 1, FIND("]", CELL("filename"), 1) - FIND("[", CELL("filename"), 1) - 1)</f>
        <v>#VALUE!</v>
      </c>
    </row>
    <row r="8" spans="1:4" ht="20.25">
      <c r="B8" s="89" t="s">
        <v>5</v>
      </c>
      <c r="C8" s="94">
        <v>45717</v>
      </c>
    </row>
    <row r="9" spans="1:4" ht="20.25"/>
    <row r="10" spans="1:4" ht="20.25">
      <c r="B10" s="89" t="s">
        <v>6</v>
      </c>
      <c r="C10" s="95" t="s">
        <v>7</v>
      </c>
    </row>
    <row r="11" spans="1:4" ht="20.25"/>
    <row r="12" spans="1:4" ht="20.25">
      <c r="C12" s="96"/>
    </row>
    <row r="13" spans="1:4" ht="20.25">
      <c r="C13" s="96"/>
    </row>
    <row r="14" spans="1:4" ht="20.25">
      <c r="C14" s="96"/>
    </row>
    <row r="15" spans="1:4" ht="20.25"/>
    <row r="16" spans="1:4" ht="20.25"/>
    <row r="17" spans="2:3" ht="20.25"/>
    <row r="18" spans="2:3" ht="20.25"/>
    <row r="19" spans="2:3" ht="20.25"/>
    <row r="20" spans="2:3" ht="20.25"/>
    <row r="21" spans="2:3" ht="20.25"/>
    <row r="22" spans="2:3" ht="20.25"/>
    <row r="23" spans="2:3" ht="20.25"/>
    <row r="24" spans="2:3" ht="20.25"/>
    <row r="25" spans="2:3" ht="22.15">
      <c r="B25" s="97" t="s">
        <v>8</v>
      </c>
    </row>
    <row r="26" spans="2:3" ht="6" customHeight="1"/>
    <row r="27" spans="2:3" ht="20.25">
      <c r="B27" s="98" t="s">
        <v>9</v>
      </c>
      <c r="C27" s="98" t="s">
        <v>10</v>
      </c>
    </row>
    <row r="28" spans="2:3" ht="20.25">
      <c r="B28" s="216" t="s">
        <v>11</v>
      </c>
      <c r="C28" s="218" t="s">
        <v>12</v>
      </c>
    </row>
    <row r="29" spans="2:3" ht="20.25">
      <c r="B29" s="217" t="s">
        <v>13</v>
      </c>
      <c r="C29" s="219" t="s">
        <v>14</v>
      </c>
    </row>
    <row r="30" spans="2:3" ht="20.25">
      <c r="B30" s="216" t="s">
        <v>15</v>
      </c>
      <c r="C30" s="218" t="s">
        <v>16</v>
      </c>
    </row>
    <row r="31" spans="2:3" ht="20.25">
      <c r="B31" s="217" t="s">
        <v>17</v>
      </c>
      <c r="C31" s="219" t="s">
        <v>18</v>
      </c>
    </row>
    <row r="32" spans="2:3" ht="40.5">
      <c r="B32" s="216" t="s">
        <v>19</v>
      </c>
      <c r="C32" s="218" t="s">
        <v>20</v>
      </c>
    </row>
    <row r="33" spans="2:3" ht="40.5">
      <c r="B33" s="217" t="s">
        <v>21</v>
      </c>
      <c r="C33" s="219" t="s">
        <v>22</v>
      </c>
    </row>
    <row r="34" spans="2:3" ht="20.25">
      <c r="B34" s="216" t="s">
        <v>23</v>
      </c>
      <c r="C34" s="218" t="s">
        <v>24</v>
      </c>
    </row>
    <row r="35" spans="2:3" ht="20.25">
      <c r="B35" s="217" t="s">
        <v>25</v>
      </c>
      <c r="C35" s="219" t="s">
        <v>26</v>
      </c>
    </row>
    <row r="36" spans="2:3" ht="21" customHeight="1">
      <c r="B36" s="216" t="s">
        <v>27</v>
      </c>
      <c r="C36" s="218" t="s">
        <v>28</v>
      </c>
    </row>
    <row r="37" spans="2:3" ht="20.25">
      <c r="B37" s="217" t="s">
        <v>29</v>
      </c>
      <c r="C37" s="219" t="s">
        <v>30</v>
      </c>
    </row>
    <row r="38" spans="2:3" ht="20.25">
      <c r="B38" s="216" t="s">
        <v>31</v>
      </c>
      <c r="C38" s="218" t="s">
        <v>32</v>
      </c>
    </row>
    <row r="39" spans="2:3" ht="20.25">
      <c r="B39" s="217" t="s">
        <v>33</v>
      </c>
      <c r="C39" s="219" t="s">
        <v>34</v>
      </c>
    </row>
    <row r="40" spans="2:3" ht="20.25">
      <c r="B40" s="216" t="s">
        <v>35</v>
      </c>
      <c r="C40" s="218" t="s">
        <v>16</v>
      </c>
    </row>
    <row r="41" spans="2:3" ht="20.25">
      <c r="B41" s="217" t="s">
        <v>36</v>
      </c>
      <c r="C41" s="219" t="s">
        <v>37</v>
      </c>
    </row>
    <row r="42" spans="2:3" ht="40.5">
      <c r="B42" s="216" t="s">
        <v>38</v>
      </c>
      <c r="C42" s="218" t="s">
        <v>39</v>
      </c>
    </row>
    <row r="43" spans="2:3" ht="20.25">
      <c r="B43" s="217" t="s">
        <v>40</v>
      </c>
      <c r="C43" s="219" t="s">
        <v>41</v>
      </c>
    </row>
    <row r="44" spans="2:3" ht="40.5">
      <c r="B44" s="216" t="s">
        <v>42</v>
      </c>
      <c r="C44" s="218" t="s">
        <v>43</v>
      </c>
    </row>
    <row r="45" spans="2:3" ht="20.25">
      <c r="B45" s="217" t="s">
        <v>44</v>
      </c>
      <c r="C45" s="219" t="s">
        <v>16</v>
      </c>
    </row>
    <row r="46" spans="2:3" ht="20.25">
      <c r="B46" s="216" t="s">
        <v>45</v>
      </c>
      <c r="C46" s="218" t="s">
        <v>46</v>
      </c>
    </row>
    <row r="47" spans="2:3" ht="40.5">
      <c r="B47" s="217" t="s">
        <v>47</v>
      </c>
      <c r="C47" s="219" t="s">
        <v>48</v>
      </c>
    </row>
    <row r="48" spans="2:3" ht="20.25">
      <c r="B48" s="216" t="s">
        <v>49</v>
      </c>
      <c r="C48" s="218" t="s">
        <v>50</v>
      </c>
    </row>
    <row r="49" spans="2:3" ht="21" customHeight="1">
      <c r="B49" s="217" t="s">
        <v>51</v>
      </c>
      <c r="C49" s="219" t="s">
        <v>52</v>
      </c>
    </row>
    <row r="50" spans="2:3" ht="20.25">
      <c r="B50" s="216" t="s">
        <v>53</v>
      </c>
      <c r="C50" s="218" t="s">
        <v>54</v>
      </c>
    </row>
    <row r="51" spans="2:3" ht="13.5" customHeight="1"/>
    <row r="52" spans="2:3" ht="13.5" customHeight="1"/>
    <row r="53" spans="2:3" ht="13.5" customHeight="1"/>
    <row r="54" spans="2:3" ht="13.5" customHeight="1"/>
    <row r="55" spans="2:3" ht="13.5" customHeight="1"/>
    <row r="56" spans="2:3" ht="13.5" customHeight="1"/>
    <row r="57" spans="2:3" ht="13.5" customHeight="1"/>
    <row r="58" spans="2:3" ht="13.5" customHeight="1"/>
    <row r="59" spans="2:3" ht="13.5" customHeight="1"/>
    <row r="60" spans="2:3" ht="13.5" customHeight="1"/>
    <row r="61" spans="2:3" ht="13.5" customHeight="1"/>
    <row r="62" spans="2:3" ht="13.5" customHeight="1"/>
    <row r="63" spans="2:3" ht="13.5" customHeight="1"/>
    <row r="64" spans="2:3"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sheetData>
  <hyperlinks>
    <hyperlink ref="C10" r:id="rId1" xr:uid="{4255F898-B924-44E8-A810-A588F85F11F8}"/>
  </hyperlinks>
  <pageMargins left="0.7" right="0.7" top="0.75" bottom="0.75" header="0.3" footer="0.3"/>
  <pageSetup paperSize="9" orientation="portrait" r:id="rId2"/>
  <drawing r:id="rId3"/>
  <tableParts count="1">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36DB-AFC3-42E8-8FD0-FA8774970FE8}">
  <sheetPr>
    <tabColor rgb="FFFFDB8E"/>
  </sheetPr>
  <dimension ref="A1:I19"/>
  <sheetViews>
    <sheetView showGridLines="0" zoomScale="80" zoomScaleNormal="80" workbookViewId="0"/>
  </sheetViews>
  <sheetFormatPr defaultRowHeight="12.75"/>
  <cols>
    <col min="3" max="3" width="24.28515625" customWidth="1"/>
    <col min="4" max="4" width="50.85546875" customWidth="1"/>
    <col min="7" max="7" width="16.5703125" customWidth="1"/>
  </cols>
  <sheetData>
    <row r="1" spans="1:9" ht="30.75">
      <c r="A1" s="1" t="e">
        <f ca="1" xml:space="preserve"> RIGHT(CELL("filename", $A$1), LEN(CELL("filename", $A$1)) - SEARCH("]", CELL("filename", $A$1)))</f>
        <v>#VALUE!</v>
      </c>
      <c r="B1" s="1"/>
      <c r="C1" s="1"/>
      <c r="D1" s="1"/>
      <c r="E1" s="1"/>
      <c r="F1" s="1"/>
      <c r="G1" s="1"/>
      <c r="H1" s="1"/>
      <c r="I1" s="1"/>
    </row>
    <row r="3" spans="1:9" ht="13.15">
      <c r="B3" s="3"/>
      <c r="C3" s="3"/>
      <c r="D3" s="294" t="s">
        <v>133</v>
      </c>
      <c r="E3" s="3"/>
      <c r="F3" s="294" t="s">
        <v>134</v>
      </c>
      <c r="G3" s="3"/>
    </row>
    <row r="4" spans="1:9" ht="13.15">
      <c r="B4" s="304" t="s">
        <v>67</v>
      </c>
      <c r="C4" s="304" t="s">
        <v>68</v>
      </c>
      <c r="D4" s="304" t="s">
        <v>69</v>
      </c>
      <c r="E4" s="304" t="s">
        <v>70</v>
      </c>
      <c r="F4" s="304" t="s">
        <v>71</v>
      </c>
      <c r="G4" s="304" t="s">
        <v>135</v>
      </c>
    </row>
    <row r="5" spans="1:9" ht="13.15">
      <c r="B5" s="3"/>
      <c r="C5" s="3"/>
      <c r="D5" s="3"/>
      <c r="E5" s="3"/>
      <c r="F5" s="3"/>
      <c r="G5" s="3"/>
    </row>
    <row r="6" spans="1:9" ht="13.15">
      <c r="B6" s="3"/>
      <c r="C6" s="3"/>
      <c r="D6" s="3"/>
      <c r="E6" s="3"/>
      <c r="F6" s="3"/>
      <c r="G6" s="304" t="s">
        <v>79</v>
      </c>
    </row>
    <row r="7" spans="1:9" ht="13.15">
      <c r="B7" s="3"/>
      <c r="C7" s="3"/>
      <c r="D7" s="3"/>
      <c r="E7" s="3"/>
      <c r="F7" s="3"/>
      <c r="G7" s="304" t="s">
        <v>80</v>
      </c>
    </row>
    <row r="8" spans="1:9" ht="13.15">
      <c r="B8" s="3"/>
      <c r="C8" s="3"/>
      <c r="D8" s="3"/>
      <c r="E8" s="3"/>
      <c r="F8" s="3"/>
      <c r="G8" s="304" t="s">
        <v>81</v>
      </c>
    </row>
    <row r="9" spans="1:9" ht="13.15">
      <c r="B9" s="3" t="s">
        <v>82</v>
      </c>
      <c r="C9" s="3" t="s">
        <v>136</v>
      </c>
      <c r="D9" s="3" t="s">
        <v>137</v>
      </c>
      <c r="E9" s="3" t="s">
        <v>85</v>
      </c>
      <c r="F9" s="3" t="s">
        <v>79</v>
      </c>
      <c r="G9" s="302">
        <v>6050.1790000000001</v>
      </c>
    </row>
    <row r="10" spans="1:9" ht="13.15">
      <c r="B10" s="3" t="s">
        <v>106</v>
      </c>
      <c r="C10" s="3" t="s">
        <v>136</v>
      </c>
      <c r="D10" s="3" t="s">
        <v>137</v>
      </c>
      <c r="E10" s="3" t="s">
        <v>85</v>
      </c>
      <c r="F10" s="3" t="s">
        <v>79</v>
      </c>
      <c r="G10" s="302">
        <v>3318.1689999999999</v>
      </c>
    </row>
    <row r="11" spans="1:9" ht="13.15">
      <c r="B11" s="3" t="s">
        <v>107</v>
      </c>
      <c r="C11" s="3" t="s">
        <v>136</v>
      </c>
      <c r="D11" s="3" t="s">
        <v>137</v>
      </c>
      <c r="E11" s="3" t="s">
        <v>85</v>
      </c>
      <c r="F11" s="3" t="s">
        <v>79</v>
      </c>
      <c r="G11" s="303">
        <v>61.302999999999997</v>
      </c>
    </row>
    <row r="12" spans="1:9" ht="13.15">
      <c r="B12" s="3" t="s">
        <v>108</v>
      </c>
      <c r="C12" s="3" t="s">
        <v>136</v>
      </c>
      <c r="D12" s="3" t="s">
        <v>137</v>
      </c>
      <c r="E12" s="3" t="s">
        <v>85</v>
      </c>
      <c r="F12" s="3" t="s">
        <v>79</v>
      </c>
      <c r="G12" s="302">
        <v>3207.9270000000001</v>
      </c>
    </row>
    <row r="13" spans="1:9" ht="13.15">
      <c r="B13" s="3" t="s">
        <v>109</v>
      </c>
      <c r="C13" s="3" t="s">
        <v>136</v>
      </c>
      <c r="D13" s="3" t="s">
        <v>137</v>
      </c>
      <c r="E13" s="3" t="s">
        <v>85</v>
      </c>
      <c r="F13" s="3" t="s">
        <v>79</v>
      </c>
      <c r="G13" s="302">
        <v>8618.7119999999995</v>
      </c>
    </row>
    <row r="14" spans="1:9" ht="13.15">
      <c r="B14" s="3" t="s">
        <v>110</v>
      </c>
      <c r="C14" s="3" t="s">
        <v>136</v>
      </c>
      <c r="D14" s="3" t="s">
        <v>137</v>
      </c>
      <c r="E14" s="3" t="s">
        <v>85</v>
      </c>
      <c r="F14" s="3" t="s">
        <v>79</v>
      </c>
      <c r="G14" s="302">
        <v>2220.3789999999999</v>
      </c>
    </row>
    <row r="15" spans="1:9" ht="13.15">
      <c r="B15" s="3" t="s">
        <v>111</v>
      </c>
      <c r="C15" s="3" t="s">
        <v>136</v>
      </c>
      <c r="D15" s="3" t="s">
        <v>137</v>
      </c>
      <c r="E15" s="3" t="s">
        <v>85</v>
      </c>
      <c r="F15" s="3" t="s">
        <v>79</v>
      </c>
      <c r="G15" s="302">
        <v>5114.1959999999999</v>
      </c>
    </row>
    <row r="16" spans="1:9" ht="13.15">
      <c r="B16" s="3" t="s">
        <v>112</v>
      </c>
      <c r="C16" s="3" t="s">
        <v>136</v>
      </c>
      <c r="D16" s="3" t="s">
        <v>137</v>
      </c>
      <c r="E16" s="3" t="s">
        <v>85</v>
      </c>
      <c r="F16" s="3" t="s">
        <v>79</v>
      </c>
      <c r="G16" s="302">
        <v>12775.474</v>
      </c>
    </row>
    <row r="17" spans="2:7" ht="13.15">
      <c r="B17" s="3" t="s">
        <v>113</v>
      </c>
      <c r="C17" s="3" t="s">
        <v>136</v>
      </c>
      <c r="D17" s="3" t="s">
        <v>137</v>
      </c>
      <c r="E17" s="3" t="s">
        <v>85</v>
      </c>
      <c r="F17" s="3" t="s">
        <v>79</v>
      </c>
      <c r="G17" s="302">
        <v>8993.18</v>
      </c>
    </row>
    <row r="18" spans="2:7" ht="13.15">
      <c r="B18" s="3" t="s">
        <v>114</v>
      </c>
      <c r="C18" s="3" t="s">
        <v>136</v>
      </c>
      <c r="D18" s="3" t="s">
        <v>137</v>
      </c>
      <c r="E18" s="3" t="s">
        <v>85</v>
      </c>
      <c r="F18" s="3" t="s">
        <v>79</v>
      </c>
      <c r="G18" s="302">
        <v>3717.8809999999999</v>
      </c>
    </row>
    <row r="19" spans="2:7" ht="13.15">
      <c r="B19" s="3" t="s">
        <v>115</v>
      </c>
      <c r="C19" s="3" t="s">
        <v>136</v>
      </c>
      <c r="D19" s="3" t="s">
        <v>137</v>
      </c>
      <c r="E19" s="3" t="s">
        <v>85</v>
      </c>
      <c r="F19" s="3" t="s">
        <v>79</v>
      </c>
      <c r="G19" s="302">
        <v>4605.5680000000002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03544-E186-4531-BCBB-96FE6E9A4A2D}">
  <sheetPr>
    <tabColor rgb="FFFFDB8E"/>
  </sheetPr>
  <dimension ref="A1:M17"/>
  <sheetViews>
    <sheetView showGridLines="0" zoomScale="80" zoomScaleNormal="80" workbookViewId="0"/>
  </sheetViews>
  <sheetFormatPr defaultRowHeight="12.75"/>
  <cols>
    <col min="3" max="3" width="25.28515625" customWidth="1"/>
  </cols>
  <sheetData>
    <row r="1" spans="1:13" ht="30.75">
      <c r="A1" s="1" t="e">
        <f ca="1" xml:space="preserve"> RIGHT(CELL("filename", $A$1), LEN(CELL("filename", $A$1)) - SEARCH("]", CELL("filename", $A$1)))</f>
        <v>#VALUE!</v>
      </c>
      <c r="B1" s="1"/>
      <c r="C1" s="1"/>
      <c r="D1" s="1"/>
      <c r="E1" s="1"/>
      <c r="F1" s="1"/>
      <c r="G1" s="1"/>
      <c r="H1" s="1"/>
      <c r="I1" s="1"/>
      <c r="J1" s="1"/>
      <c r="K1" s="1"/>
      <c r="L1" s="1"/>
      <c r="M1" s="1"/>
    </row>
    <row r="2" spans="1:13" s="2" customFormat="1" ht="14.25">
      <c r="A2" s="5"/>
      <c r="D2" s="294" t="s">
        <v>138</v>
      </c>
      <c r="E2" s="3"/>
      <c r="F2" s="294" t="s">
        <v>139</v>
      </c>
    </row>
    <row r="3" spans="1:13" s="2" customFormat="1" ht="14.25">
      <c r="A3" s="5"/>
      <c r="B3" s="295" t="s">
        <v>120</v>
      </c>
      <c r="C3" s="295" t="s">
        <v>121</v>
      </c>
      <c r="D3" s="295" t="s">
        <v>118</v>
      </c>
      <c r="E3" s="295" t="s">
        <v>119</v>
      </c>
      <c r="F3" s="295" t="s">
        <v>140</v>
      </c>
      <c r="G3" s="295" t="s">
        <v>72</v>
      </c>
      <c r="H3" s="295" t="s">
        <v>73</v>
      </c>
      <c r="I3" s="295" t="s">
        <v>74</v>
      </c>
      <c r="J3" s="295" t="s">
        <v>75</v>
      </c>
      <c r="K3" s="295" t="s">
        <v>76</v>
      </c>
      <c r="L3" s="295" t="s">
        <v>77</v>
      </c>
      <c r="M3" s="295" t="s">
        <v>78</v>
      </c>
    </row>
    <row r="4" spans="1:13" s="2" customFormat="1" ht="14.25">
      <c r="A4" s="5"/>
      <c r="B4" s="295" t="s">
        <v>120</v>
      </c>
      <c r="C4" s="295" t="s">
        <v>121</v>
      </c>
      <c r="D4" s="295" t="s">
        <v>118</v>
      </c>
      <c r="E4" s="295" t="s">
        <v>119</v>
      </c>
      <c r="F4" s="295" t="s">
        <v>140</v>
      </c>
      <c r="G4" s="295" t="s">
        <v>72</v>
      </c>
      <c r="H4" s="295" t="s">
        <v>73</v>
      </c>
      <c r="I4" s="295" t="s">
        <v>141</v>
      </c>
      <c r="J4" s="295" t="s">
        <v>141</v>
      </c>
      <c r="K4" s="295" t="s">
        <v>141</v>
      </c>
      <c r="L4" s="295" t="s">
        <v>141</v>
      </c>
      <c r="M4" s="295" t="s">
        <v>141</v>
      </c>
    </row>
    <row r="5" spans="1:13" s="2" customFormat="1" ht="14.25">
      <c r="A5" s="5"/>
      <c r="B5" s="295" t="s">
        <v>120</v>
      </c>
      <c r="C5" s="295" t="s">
        <v>121</v>
      </c>
      <c r="D5" s="295" t="s">
        <v>118</v>
      </c>
      <c r="E5" s="295" t="s">
        <v>119</v>
      </c>
      <c r="F5" s="295" t="s">
        <v>140</v>
      </c>
      <c r="G5" s="295" t="s">
        <v>72</v>
      </c>
      <c r="H5" s="295" t="s">
        <v>73</v>
      </c>
      <c r="I5" s="295" t="s">
        <v>80</v>
      </c>
      <c r="J5" s="295" t="s">
        <v>80</v>
      </c>
      <c r="K5" s="295" t="s">
        <v>80</v>
      </c>
      <c r="L5" s="295" t="s">
        <v>80</v>
      </c>
      <c r="M5" s="295" t="s">
        <v>80</v>
      </c>
    </row>
    <row r="6" spans="1:13" s="2" customFormat="1" ht="14.25">
      <c r="A6" s="5"/>
      <c r="B6" s="295" t="s">
        <v>120</v>
      </c>
      <c r="C6" s="295" t="s">
        <v>121</v>
      </c>
      <c r="D6" s="295" t="s">
        <v>118</v>
      </c>
      <c r="E6" s="295" t="s">
        <v>119</v>
      </c>
      <c r="F6" s="295" t="s">
        <v>140</v>
      </c>
      <c r="G6" s="295" t="s">
        <v>72</v>
      </c>
      <c r="H6" s="295" t="s">
        <v>73</v>
      </c>
      <c r="I6" s="295" t="s">
        <v>81</v>
      </c>
      <c r="J6" s="295" t="s">
        <v>81</v>
      </c>
      <c r="K6" s="295" t="s">
        <v>81</v>
      </c>
      <c r="L6" s="295" t="s">
        <v>81</v>
      </c>
      <c r="M6" s="295" t="s">
        <v>81</v>
      </c>
    </row>
    <row r="7" spans="1:13" s="2" customFormat="1" ht="14.25">
      <c r="A7" s="5"/>
      <c r="B7" s="3" t="s">
        <v>82</v>
      </c>
      <c r="C7" s="3" t="s">
        <v>142</v>
      </c>
      <c r="D7" s="3" t="s">
        <v>143</v>
      </c>
      <c r="E7" s="3" t="s">
        <v>144</v>
      </c>
      <c r="F7" s="3" t="s">
        <v>79</v>
      </c>
      <c r="G7" s="305">
        <v>0</v>
      </c>
      <c r="H7" s="305">
        <v>0</v>
      </c>
      <c r="I7" s="305">
        <v>0</v>
      </c>
      <c r="J7" s="305">
        <v>0</v>
      </c>
      <c r="K7" s="305">
        <v>0</v>
      </c>
      <c r="L7" s="305">
        <v>0</v>
      </c>
      <c r="M7" s="305">
        <v>0</v>
      </c>
    </row>
    <row r="8" spans="1:13" s="2" customFormat="1" ht="14.25">
      <c r="A8" s="5"/>
      <c r="B8" s="3" t="s">
        <v>106</v>
      </c>
      <c r="C8" s="3" t="s">
        <v>142</v>
      </c>
      <c r="D8" s="3" t="s">
        <v>143</v>
      </c>
      <c r="E8" s="3" t="s">
        <v>144</v>
      </c>
      <c r="F8" s="3" t="s">
        <v>79</v>
      </c>
      <c r="G8" s="305">
        <v>0</v>
      </c>
      <c r="H8" s="305">
        <v>0</v>
      </c>
      <c r="I8" s="305">
        <v>0</v>
      </c>
      <c r="J8" s="305">
        <v>0</v>
      </c>
      <c r="K8" s="305">
        <v>0</v>
      </c>
      <c r="L8" s="305">
        <v>0</v>
      </c>
      <c r="M8" s="305">
        <v>0</v>
      </c>
    </row>
    <row r="9" spans="1:13" s="2" customFormat="1" ht="14.25">
      <c r="A9" s="5"/>
      <c r="B9" s="3" t="s">
        <v>107</v>
      </c>
      <c r="C9" s="3" t="s">
        <v>142</v>
      </c>
      <c r="D9" s="3" t="s">
        <v>143</v>
      </c>
      <c r="E9" s="3" t="s">
        <v>144</v>
      </c>
      <c r="F9" s="3" t="s">
        <v>79</v>
      </c>
      <c r="G9" s="305">
        <v>0</v>
      </c>
      <c r="H9" s="305">
        <v>0</v>
      </c>
      <c r="I9" s="305">
        <v>0</v>
      </c>
      <c r="J9" s="305">
        <v>0</v>
      </c>
      <c r="K9" s="305">
        <v>0</v>
      </c>
      <c r="L9" s="305">
        <v>0</v>
      </c>
      <c r="M9" s="305">
        <v>0</v>
      </c>
    </row>
    <row r="10" spans="1:13" s="2" customFormat="1" ht="14.25">
      <c r="A10" s="5"/>
      <c r="B10" s="3" t="s">
        <v>108</v>
      </c>
      <c r="C10" s="3" t="s">
        <v>142</v>
      </c>
      <c r="D10" s="3" t="s">
        <v>143</v>
      </c>
      <c r="E10" s="3" t="s">
        <v>144</v>
      </c>
      <c r="F10" s="3" t="s">
        <v>79</v>
      </c>
      <c r="G10" s="305">
        <v>0.08</v>
      </c>
      <c r="H10" s="305">
        <v>0.08</v>
      </c>
      <c r="I10" s="305">
        <v>0.08</v>
      </c>
      <c r="J10" s="305">
        <v>0.08</v>
      </c>
      <c r="K10" s="305">
        <v>0.08</v>
      </c>
      <c r="L10" s="305">
        <v>0.08</v>
      </c>
      <c r="M10" s="305">
        <v>0.08</v>
      </c>
    </row>
    <row r="11" spans="1:13" s="2" customFormat="1" ht="14.25">
      <c r="A11" s="5"/>
      <c r="B11" s="3" t="s">
        <v>109</v>
      </c>
      <c r="C11" s="3" t="s">
        <v>142</v>
      </c>
      <c r="D11" s="3" t="s">
        <v>143</v>
      </c>
      <c r="E11" s="3" t="s">
        <v>144</v>
      </c>
      <c r="F11" s="3" t="s">
        <v>79</v>
      </c>
      <c r="G11" s="305">
        <v>0.05</v>
      </c>
      <c r="H11" s="305">
        <v>0.05</v>
      </c>
      <c r="I11" s="305">
        <v>0.05</v>
      </c>
      <c r="J11" s="305">
        <v>0.05</v>
      </c>
      <c r="K11" s="305">
        <v>0.05</v>
      </c>
      <c r="L11" s="305">
        <v>0.05</v>
      </c>
      <c r="M11" s="305">
        <v>0.05</v>
      </c>
    </row>
    <row r="12" spans="1:13" s="2" customFormat="1" ht="14.25">
      <c r="A12" s="5"/>
      <c r="B12" s="3" t="s">
        <v>110</v>
      </c>
      <c r="C12" s="3" t="s">
        <v>142</v>
      </c>
      <c r="D12" s="3" t="s">
        <v>143</v>
      </c>
      <c r="E12" s="3" t="s">
        <v>144</v>
      </c>
      <c r="F12" s="3" t="s">
        <v>79</v>
      </c>
      <c r="G12" s="305">
        <v>0.01</v>
      </c>
      <c r="H12" s="305">
        <v>0.01</v>
      </c>
      <c r="I12" s="305">
        <v>0.01</v>
      </c>
      <c r="J12" s="305">
        <v>0.01</v>
      </c>
      <c r="K12" s="305">
        <v>0.01</v>
      </c>
      <c r="L12" s="305">
        <v>0.01</v>
      </c>
      <c r="M12" s="305">
        <v>0.01</v>
      </c>
    </row>
    <row r="13" spans="1:13" s="2" customFormat="1" ht="14.25">
      <c r="A13" s="5"/>
      <c r="B13" s="3" t="s">
        <v>111</v>
      </c>
      <c r="C13" s="3" t="s">
        <v>142</v>
      </c>
      <c r="D13" s="3" t="s">
        <v>143</v>
      </c>
      <c r="E13" s="3" t="s">
        <v>144</v>
      </c>
      <c r="F13" s="3" t="s">
        <v>79</v>
      </c>
      <c r="G13" s="305">
        <v>0.08</v>
      </c>
      <c r="H13" s="305">
        <v>0.08</v>
      </c>
      <c r="I13" s="305">
        <v>0.08</v>
      </c>
      <c r="J13" s="305">
        <v>0.08</v>
      </c>
      <c r="K13" s="305">
        <v>0.08</v>
      </c>
      <c r="L13" s="305">
        <v>0.08</v>
      </c>
      <c r="M13" s="305">
        <v>0.08</v>
      </c>
    </row>
    <row r="14" spans="1:13" s="2" customFormat="1" ht="14.25">
      <c r="A14" s="5"/>
      <c r="B14" s="3" t="s">
        <v>112</v>
      </c>
      <c r="C14" s="3" t="s">
        <v>142</v>
      </c>
      <c r="D14" s="3" t="s">
        <v>143</v>
      </c>
      <c r="E14" s="3" t="s">
        <v>144</v>
      </c>
      <c r="F14" s="3" t="s">
        <v>79</v>
      </c>
      <c r="G14" s="305">
        <v>0.1</v>
      </c>
      <c r="H14" s="305">
        <v>0.1</v>
      </c>
      <c r="I14" s="305">
        <v>0.1</v>
      </c>
      <c r="J14" s="305">
        <v>0.1</v>
      </c>
      <c r="K14" s="305">
        <v>0.1</v>
      </c>
      <c r="L14" s="305">
        <v>0.1</v>
      </c>
      <c r="M14" s="305">
        <v>0.1</v>
      </c>
    </row>
    <row r="15" spans="1:13" s="2" customFormat="1" ht="14.25">
      <c r="A15" s="5"/>
      <c r="B15" s="3" t="s">
        <v>113</v>
      </c>
      <c r="C15" s="3" t="s">
        <v>142</v>
      </c>
      <c r="D15" s="3" t="s">
        <v>143</v>
      </c>
      <c r="E15" s="3" t="s">
        <v>144</v>
      </c>
      <c r="F15" s="3" t="s">
        <v>79</v>
      </c>
      <c r="G15" s="305">
        <v>0.1</v>
      </c>
      <c r="H15" s="305">
        <v>0.1</v>
      </c>
      <c r="I15" s="305">
        <v>0.1</v>
      </c>
      <c r="J15" s="305">
        <v>0.1</v>
      </c>
      <c r="K15" s="305">
        <v>0.1</v>
      </c>
      <c r="L15" s="305">
        <v>0.1</v>
      </c>
      <c r="M15" s="305">
        <v>0.1</v>
      </c>
    </row>
    <row r="16" spans="1:13" s="2" customFormat="1" ht="14.25">
      <c r="A16" s="5"/>
      <c r="B16" s="3" t="s">
        <v>114</v>
      </c>
      <c r="C16" s="3" t="s">
        <v>142</v>
      </c>
      <c r="D16" s="3" t="s">
        <v>143</v>
      </c>
      <c r="E16" s="3" t="s">
        <v>144</v>
      </c>
      <c r="F16" s="3" t="s">
        <v>79</v>
      </c>
      <c r="G16" s="305">
        <v>0.1</v>
      </c>
      <c r="H16" s="305">
        <v>0.1</v>
      </c>
      <c r="I16" s="305">
        <v>0.1</v>
      </c>
      <c r="J16" s="305">
        <v>0.1</v>
      </c>
      <c r="K16" s="305">
        <v>0.1</v>
      </c>
      <c r="L16" s="305">
        <v>0.1</v>
      </c>
      <c r="M16" s="305">
        <v>0.1</v>
      </c>
    </row>
    <row r="17" spans="1:13" s="2" customFormat="1" ht="14.25">
      <c r="A17" s="5"/>
      <c r="B17" s="3" t="s">
        <v>115</v>
      </c>
      <c r="C17" s="3" t="s">
        <v>142</v>
      </c>
      <c r="D17" s="3" t="s">
        <v>143</v>
      </c>
      <c r="E17" s="3" t="s">
        <v>144</v>
      </c>
      <c r="F17" s="3" t="s">
        <v>79</v>
      </c>
      <c r="G17" s="305">
        <v>0.05</v>
      </c>
      <c r="H17" s="305">
        <v>0.05</v>
      </c>
      <c r="I17" s="305">
        <v>0.05</v>
      </c>
      <c r="J17" s="305">
        <v>0.05</v>
      </c>
      <c r="K17" s="305">
        <v>0.05</v>
      </c>
      <c r="L17" s="305">
        <v>0.05</v>
      </c>
      <c r="M17" s="305">
        <v>0.05</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35C45-D96D-4DFF-A67D-0DC7D39B9333}">
  <sheetPr>
    <tabColor rgb="FFFFDB8E"/>
  </sheetPr>
  <dimension ref="A1:M61"/>
  <sheetViews>
    <sheetView showGridLines="0" zoomScale="80" zoomScaleNormal="80" workbookViewId="0"/>
  </sheetViews>
  <sheetFormatPr defaultRowHeight="12.75"/>
  <cols>
    <col min="1" max="1" width="15.5703125" customWidth="1"/>
    <col min="2" max="2" width="21.140625" customWidth="1"/>
    <col min="3" max="9" width="16.140625" customWidth="1"/>
    <col min="10" max="10" width="20.5703125" customWidth="1"/>
    <col min="12" max="12" width="25.42578125" customWidth="1"/>
    <col min="13" max="13" width="28.7109375" customWidth="1"/>
  </cols>
  <sheetData>
    <row r="1" spans="1:13" s="2" customFormat="1" ht="30.75">
      <c r="A1" s="1" t="e">
        <f ca="1" xml:space="preserve"> RIGHT(CELL("filename", $A$1), LEN(CELL("filename", $A$1)) - SEARCH("]", CELL("filename", $A$1)))</f>
        <v>#VALUE!</v>
      </c>
      <c r="B1" s="1"/>
      <c r="C1" s="1"/>
      <c r="D1" s="1"/>
      <c r="E1" s="1"/>
      <c r="F1" s="1"/>
      <c r="G1" s="1"/>
      <c r="H1" s="1"/>
      <c r="I1" s="1"/>
      <c r="J1" s="1"/>
      <c r="K1" s="1"/>
      <c r="L1" s="1"/>
      <c r="M1" s="1"/>
    </row>
    <row r="2" spans="1:13" ht="92.25" customHeight="1">
      <c r="L2" s="345" t="s">
        <v>145</v>
      </c>
      <c r="M2" s="345"/>
    </row>
    <row r="3" spans="1:13" ht="63" customHeight="1">
      <c r="A3" s="3"/>
      <c r="B3" s="344" t="s">
        <v>89</v>
      </c>
      <c r="C3" s="344"/>
      <c r="D3" s="344"/>
      <c r="E3" s="344"/>
      <c r="F3" s="344"/>
      <c r="G3" s="344"/>
      <c r="H3" s="344"/>
      <c r="I3" s="3"/>
      <c r="J3" s="3"/>
      <c r="K3" s="2"/>
      <c r="L3" s="194" t="s">
        <v>146</v>
      </c>
      <c r="M3" s="194" t="s">
        <v>147</v>
      </c>
    </row>
    <row r="4" spans="1:13" ht="69" customHeight="1">
      <c r="A4" s="201" t="s">
        <v>148</v>
      </c>
      <c r="B4" s="194" t="s">
        <v>149</v>
      </c>
      <c r="C4" s="206" t="s">
        <v>72</v>
      </c>
      <c r="D4" s="206" t="s">
        <v>73</v>
      </c>
      <c r="E4" s="206" t="s">
        <v>74</v>
      </c>
      <c r="F4" s="206" t="s">
        <v>75</v>
      </c>
      <c r="G4" s="206" t="s">
        <v>76</v>
      </c>
      <c r="H4" s="206" t="s">
        <v>77</v>
      </c>
      <c r="I4" s="206" t="s">
        <v>78</v>
      </c>
      <c r="J4" s="194" t="s">
        <v>150</v>
      </c>
      <c r="K4" s="2"/>
      <c r="L4" s="306" t="s">
        <v>98</v>
      </c>
      <c r="M4" s="306" t="s">
        <v>101</v>
      </c>
    </row>
    <row r="5" spans="1:13" ht="13.15">
      <c r="A5" s="195" t="s">
        <v>82</v>
      </c>
      <c r="B5" s="202">
        <f>_xlfn.XLOOKUP($A5,PR24_NETTOTEX_WASTE!$B$9:$B$19,PR24_NETTOTEX_WASTE!$G$9:$G$19)</f>
        <v>6050.1790000000001</v>
      </c>
      <c r="C5" s="203">
        <f ca="1">SUMIFS('Final Input'!E:E,'Final Input'!$C:$C,$B$3,'Final Input'!$A:$A,$A5)</f>
        <v>2E-3</v>
      </c>
      <c r="D5" s="204">
        <f ca="1">SUMIFS('Final Input'!F:F,'Final Input'!$C:$C,$B$3,'Final Input'!$A:$A,$A5)</f>
        <v>4.8000000000000008E-2</v>
      </c>
      <c r="E5" s="204">
        <f ca="1">SUMIFS('Final Input'!G:G,'Final Input'!$C:$C,$B$3,'Final Input'!$A:$A,$A5)</f>
        <v>5.0359999999999996</v>
      </c>
      <c r="F5" s="204">
        <f ca="1">SUMIFS('Final Input'!H:H,'Final Input'!$C:$C,$B$3,'Final Input'!$A:$A,$A5)</f>
        <v>8.988999999999999</v>
      </c>
      <c r="G5" s="204">
        <f ca="1">SUMIFS('Final Input'!I:I,'Final Input'!$C:$C,$B$3,'Final Input'!$A:$A,$A5)</f>
        <v>11.135999999999999</v>
      </c>
      <c r="H5" s="204">
        <f ca="1">SUMIFS('Final Input'!J:J,'Final Input'!$C:$C,$B$3,'Final Input'!$A:$A,$A5)</f>
        <v>11.561999999999999</v>
      </c>
      <c r="I5" s="204">
        <f ca="1">SUMIFS('Final Input'!K:K,'Final Input'!$C:$C,$B$3,'Final Input'!$A:$A,$A5)</f>
        <v>11.254</v>
      </c>
      <c r="J5" s="205">
        <f ca="1">SUM(C5:I5)</f>
        <v>48.026999999999994</v>
      </c>
      <c r="K5" s="2"/>
      <c r="L5" s="197">
        <f ca="1">SUMIFS('Final Input'!L:L,'Final Input'!A:A,$A5,'Final Input'!C:C,$L$4)</f>
        <v>1918</v>
      </c>
      <c r="M5" s="197">
        <f ca="1">SUMIFS('Final Input'!L:L,'Final Input'!A:A,$A5,'Final Input'!C:C,$M$4)</f>
        <v>499</v>
      </c>
    </row>
    <row r="6" spans="1:13" ht="13.15">
      <c r="A6" s="195" t="s">
        <v>106</v>
      </c>
      <c r="B6" s="202">
        <f>_xlfn.XLOOKUP($A6,PR24_NETTOTEX_WASTE!$B$9:$B$19,PR24_NETTOTEX_WASTE!$G$9:$G$19)</f>
        <v>3318.1689999999999</v>
      </c>
      <c r="C6" s="66">
        <f ca="1">SUMIFS('Final Input'!E:E,'Final Input'!$C:$C,$B$3,'Final Input'!$A:$A,$A6)</f>
        <v>0</v>
      </c>
      <c r="D6" s="67">
        <f ca="1">SUMIFS('Final Input'!F:F,'Final Input'!$C:$C,$B$3,'Final Input'!$A:$A,$A6)</f>
        <v>0</v>
      </c>
      <c r="E6" s="67">
        <f ca="1">SUMIFS('Final Input'!G:G,'Final Input'!$C:$C,$B$3,'Final Input'!$A:$A,$A6)</f>
        <v>3.9820000000000002</v>
      </c>
      <c r="F6" s="67">
        <f ca="1">SUMIFS('Final Input'!H:H,'Final Input'!$C:$C,$B$3,'Final Input'!$A:$A,$A6)</f>
        <v>5.9680000000000009</v>
      </c>
      <c r="G6" s="67">
        <f ca="1">SUMIFS('Final Input'!I:I,'Final Input'!$C:$C,$B$3,'Final Input'!$A:$A,$A6)</f>
        <v>6.0919999999999996</v>
      </c>
      <c r="H6" s="67">
        <f ca="1">SUMIFS('Final Input'!J:J,'Final Input'!$C:$C,$B$3,'Final Input'!$A:$A,$A6)</f>
        <v>4.4359999999999999</v>
      </c>
      <c r="I6" s="67">
        <f ca="1">SUMIFS('Final Input'!K:K,'Final Input'!$C:$C,$B$3,'Final Input'!$A:$A,$A6)</f>
        <v>0.71399999999999997</v>
      </c>
      <c r="J6" s="196">
        <f t="shared" ref="J6:J15" ca="1" si="0">SUM(C6:I6)</f>
        <v>21.192</v>
      </c>
      <c r="K6" s="2"/>
      <c r="L6" s="197">
        <f ca="1">SUMIFS('Final Input'!L:L,'Final Input'!A:A,$A6,'Final Input'!C:C,$L$4)</f>
        <v>813</v>
      </c>
      <c r="M6" s="197">
        <f ca="1">SUMIFS('Final Input'!L:L,'Final Input'!A:A,$A6,'Final Input'!C:C,$M$4)</f>
        <v>7</v>
      </c>
    </row>
    <row r="7" spans="1:13" ht="13.15">
      <c r="A7" s="195" t="s">
        <v>107</v>
      </c>
      <c r="B7" s="202">
        <f>_xlfn.XLOOKUP($A7,PR24_NETTOTEX_WASTE!$B$9:$B$19,PR24_NETTOTEX_WASTE!$G$9:$G$19)</f>
        <v>61.302999999999997</v>
      </c>
      <c r="C7" s="66">
        <f ca="1">SUMIFS('Final Input'!E:E,'Final Input'!$C:$C,$B$3,'Final Input'!$A:$A,$A7)</f>
        <v>0</v>
      </c>
      <c r="D7" s="67">
        <f ca="1">SUMIFS('Final Input'!F:F,'Final Input'!$C:$C,$B$3,'Final Input'!$A:$A,$A7)</f>
        <v>0</v>
      </c>
      <c r="E7" s="67">
        <f ca="1">SUMIFS('Final Input'!G:G,'Final Input'!$C:$C,$B$3,'Final Input'!$A:$A,$A7)</f>
        <v>5.5E-2</v>
      </c>
      <c r="F7" s="67">
        <f ca="1">SUMIFS('Final Input'!H:H,'Final Input'!$C:$C,$B$3,'Final Input'!$A:$A,$A7)</f>
        <v>5.5E-2</v>
      </c>
      <c r="G7" s="67">
        <f ca="1">SUMIFS('Final Input'!I:I,'Final Input'!$C:$C,$B$3,'Final Input'!$A:$A,$A7)</f>
        <v>0.13900000000000001</v>
      </c>
      <c r="H7" s="67">
        <f ca="1">SUMIFS('Final Input'!J:J,'Final Input'!$C:$C,$B$3,'Final Input'!$A:$A,$A7)</f>
        <v>0.17100000000000001</v>
      </c>
      <c r="I7" s="67">
        <f ca="1">SUMIFS('Final Input'!K:K,'Final Input'!$C:$C,$B$3,'Final Input'!$A:$A,$A7)</f>
        <v>0.14599999999999999</v>
      </c>
      <c r="J7" s="196">
        <f t="shared" ca="1" si="0"/>
        <v>0.56600000000000006</v>
      </c>
      <c r="K7" s="2"/>
      <c r="L7" s="197">
        <f ca="1">SUMIFS('Final Input'!L:L,'Final Input'!A:A,$A7,'Final Input'!C:C,$L$4)</f>
        <v>5</v>
      </c>
      <c r="M7" s="197">
        <f ca="1">SUMIFS('Final Input'!L:L,'Final Input'!A:A,$A7,'Final Input'!C:C,$M$4)</f>
        <v>4</v>
      </c>
    </row>
    <row r="8" spans="1:13" ht="13.15">
      <c r="A8" s="195" t="s">
        <v>108</v>
      </c>
      <c r="B8" s="202">
        <f>_xlfn.XLOOKUP($A8,PR24_NETTOTEX_WASTE!$B$9:$B$19,PR24_NETTOTEX_WASTE!$G$9:$G$19)</f>
        <v>3207.9270000000001</v>
      </c>
      <c r="C8" s="66">
        <f ca="1">SUMIFS('Final Input'!E:E,'Final Input'!$C:$C,$B$3,'Final Input'!$A:$A,$A8)</f>
        <v>0</v>
      </c>
      <c r="D8" s="67">
        <f ca="1">SUMIFS('Final Input'!F:F,'Final Input'!$C:$C,$B$3,'Final Input'!$A:$A,$A8)</f>
        <v>0</v>
      </c>
      <c r="E8" s="67">
        <f ca="1">SUMIFS('Final Input'!G:G,'Final Input'!$C:$C,$B$3,'Final Input'!$A:$A,$A8)</f>
        <v>6.7145999999999999</v>
      </c>
      <c r="F8" s="67">
        <f ca="1">SUMIFS('Final Input'!H:H,'Final Input'!$C:$C,$B$3,'Final Input'!$A:$A,$A8)</f>
        <v>8.0918500000000009</v>
      </c>
      <c r="G8" s="67">
        <f ca="1">SUMIFS('Final Input'!I:I,'Final Input'!$C:$C,$B$3,'Final Input'!$A:$A,$A8)</f>
        <v>8.0918500000000009</v>
      </c>
      <c r="H8" s="67">
        <f ca="1">SUMIFS('Final Input'!J:J,'Final Input'!$C:$C,$B$3,'Final Input'!$A:$A,$A8)</f>
        <v>8.0918500000000009</v>
      </c>
      <c r="I8" s="67">
        <f ca="1">SUMIFS('Final Input'!K:K,'Final Input'!$C:$C,$B$3,'Final Input'!$A:$A,$A8)</f>
        <v>8.0918500000000009</v>
      </c>
      <c r="J8" s="196">
        <f t="shared" ca="1" si="0"/>
        <v>39.082000000000008</v>
      </c>
      <c r="K8" s="2"/>
      <c r="L8" s="197">
        <f ca="1">SUMIFS('Final Input'!L:L,'Final Input'!A:A,$A8,'Final Input'!C:C,$L$4)</f>
        <v>149</v>
      </c>
      <c r="M8" s="197">
        <f ca="1">SUMIFS('Final Input'!L:L,'Final Input'!A:A,$A8,'Final Input'!C:C,$M$4)</f>
        <v>64</v>
      </c>
    </row>
    <row r="9" spans="1:13" ht="13.15">
      <c r="A9" s="195" t="s">
        <v>109</v>
      </c>
      <c r="B9" s="202">
        <f>_xlfn.XLOOKUP($A9,PR24_NETTOTEX_WASTE!$B$9:$B$19,PR24_NETTOTEX_WASTE!$G$9:$G$19)</f>
        <v>8618.7119999999995</v>
      </c>
      <c r="C9" s="66">
        <f ca="1">SUMIFS('Final Input'!E:E,'Final Input'!$C:$C,$B$3,'Final Input'!$A:$A,$A9)</f>
        <v>0</v>
      </c>
      <c r="D9" s="67">
        <f ca="1">SUMIFS('Final Input'!F:F,'Final Input'!$C:$C,$B$3,'Final Input'!$A:$A,$A9)</f>
        <v>5.643126094345547E-2</v>
      </c>
      <c r="E9" s="67">
        <f ca="1">SUMIFS('Final Input'!G:G,'Final Input'!$C:$C,$B$3,'Final Input'!$A:$A,$A9)</f>
        <v>2.4456396816332191</v>
      </c>
      <c r="F9" s="67">
        <f ca="1">SUMIFS('Final Input'!H:H,'Final Input'!$C:$C,$B$3,'Final Input'!$A:$A,$A9)</f>
        <v>2.5956780450566521</v>
      </c>
      <c r="G9" s="67">
        <f ca="1">SUMIFS('Final Input'!I:I,'Final Input'!$C:$C,$B$3,'Final Input'!$A:$A,$A9)</f>
        <v>4.0118995193230811</v>
      </c>
      <c r="H9" s="67">
        <f ca="1">SUMIFS('Final Input'!J:J,'Final Input'!$C:$C,$B$3,'Final Input'!$A:$A,$A9)</f>
        <v>7.1805980452856897</v>
      </c>
      <c r="I9" s="67">
        <f ca="1">SUMIFS('Final Input'!K:K,'Final Input'!$C:$C,$B$3,'Final Input'!$A:$A,$A9)</f>
        <v>9.963315354160132</v>
      </c>
      <c r="J9" s="196">
        <f t="shared" ca="1" si="0"/>
        <v>26.253561906402226</v>
      </c>
      <c r="K9" s="2"/>
      <c r="L9" s="197">
        <f ca="1">SUMIFS('Final Input'!L:L,'Final Input'!A:A,$A9,'Final Input'!C:C,$L$4)</f>
        <v>366</v>
      </c>
      <c r="M9" s="197">
        <f ca="1">SUMIFS('Final Input'!L:L,'Final Input'!A:A,$A9,'Final Input'!C:C,$M$4)</f>
        <v>238</v>
      </c>
    </row>
    <row r="10" spans="1:13" ht="13.15">
      <c r="A10" s="195" t="s">
        <v>110</v>
      </c>
      <c r="B10" s="202">
        <f>_xlfn.XLOOKUP($A10,PR24_NETTOTEX_WASTE!$B$9:$B$19,PR24_NETTOTEX_WASTE!$G$9:$G$19)</f>
        <v>2220.3789999999999</v>
      </c>
      <c r="C10" s="66">
        <f ca="1">SUMIFS('Final Input'!E:E,'Final Input'!$C:$C,$B$3,'Final Input'!$A:$A,$A10)</f>
        <v>0</v>
      </c>
      <c r="D10" s="67">
        <f ca="1">SUMIFS('Final Input'!F:F,'Final Input'!$C:$C,$B$3,'Final Input'!$A:$A,$A10)</f>
        <v>0</v>
      </c>
      <c r="E10" s="67">
        <f ca="1">SUMIFS('Final Input'!G:G,'Final Input'!$C:$C,$B$3,'Final Input'!$A:$A,$A10)</f>
        <v>2.04</v>
      </c>
      <c r="F10" s="67">
        <f ca="1">SUMIFS('Final Input'!H:H,'Final Input'!$C:$C,$B$3,'Final Input'!$A:$A,$A10)</f>
        <v>2.04</v>
      </c>
      <c r="G10" s="67">
        <f ca="1">SUMIFS('Final Input'!I:I,'Final Input'!$C:$C,$B$3,'Final Input'!$A:$A,$A10)</f>
        <v>2.04</v>
      </c>
      <c r="H10" s="67">
        <f ca="1">SUMIFS('Final Input'!J:J,'Final Input'!$C:$C,$B$3,'Final Input'!$A:$A,$A10)</f>
        <v>2.04</v>
      </c>
      <c r="I10" s="67">
        <f ca="1">SUMIFS('Final Input'!K:K,'Final Input'!$C:$C,$B$3,'Final Input'!$A:$A,$A10)</f>
        <v>2.04</v>
      </c>
      <c r="J10" s="196">
        <f t="shared" ca="1" si="0"/>
        <v>10.199999999999999</v>
      </c>
      <c r="K10" s="2"/>
      <c r="L10" s="197">
        <f ca="1">SUMIFS('Final Input'!L:L,'Final Input'!A:A,$A10,'Final Input'!C:C,$L$4)</f>
        <v>193</v>
      </c>
      <c r="M10" s="197">
        <f ca="1">SUMIFS('Final Input'!L:L,'Final Input'!A:A,$A10,'Final Input'!C:C,$M$4)</f>
        <v>185</v>
      </c>
    </row>
    <row r="11" spans="1:13" ht="13.15">
      <c r="A11" s="195" t="s">
        <v>111</v>
      </c>
      <c r="B11" s="202">
        <f>_xlfn.XLOOKUP($A11,PR24_NETTOTEX_WASTE!$B$9:$B$19,PR24_NETTOTEX_WASTE!$G$9:$G$19)</f>
        <v>5114.1959999999999</v>
      </c>
      <c r="C11" s="66">
        <f ca="1">SUMIFS('Final Input'!E:E,'Final Input'!$C:$C,$B$3,'Final Input'!$A:$A,$A11)</f>
        <v>0</v>
      </c>
      <c r="D11" s="67">
        <f ca="1">SUMIFS('Final Input'!F:F,'Final Input'!$C:$C,$B$3,'Final Input'!$A:$A,$A11)</f>
        <v>0</v>
      </c>
      <c r="E11" s="67">
        <f ca="1">SUMIFS('Final Input'!G:G,'Final Input'!$C:$C,$B$3,'Final Input'!$A:$A,$A11)</f>
        <v>11.583953408718866</v>
      </c>
      <c r="F11" s="67">
        <f ca="1">SUMIFS('Final Input'!H:H,'Final Input'!$C:$C,$B$3,'Final Input'!$A:$A,$A11)</f>
        <v>13.3213125897197</v>
      </c>
      <c r="G11" s="67">
        <f ca="1">SUMIFS('Final Input'!I:I,'Final Input'!$C:$C,$B$3,'Final Input'!$A:$A,$A11)</f>
        <v>13.627630291888082</v>
      </c>
      <c r="H11" s="67">
        <f ca="1">SUMIFS('Final Input'!J:J,'Final Input'!$C:$C,$B$3,'Final Input'!$A:$A,$A11)</f>
        <v>14.979169466340947</v>
      </c>
      <c r="I11" s="67">
        <f ca="1">SUMIFS('Final Input'!K:K,'Final Input'!$C:$C,$B$3,'Final Input'!$A:$A,$A11)</f>
        <v>39.334934243332413</v>
      </c>
      <c r="J11" s="196">
        <f t="shared" ca="1" si="0"/>
        <v>92.847000000000008</v>
      </c>
      <c r="K11" s="2"/>
      <c r="L11" s="197">
        <f ca="1">SUMIFS('Final Input'!L:L,'Final Input'!A:A,$A11,'Final Input'!C:C,$L$4)</f>
        <v>30</v>
      </c>
      <c r="M11" s="197">
        <f ca="1">SUMIFS('Final Input'!L:L,'Final Input'!A:A,$A11,'Final Input'!C:C,$M$4)</f>
        <v>98</v>
      </c>
    </row>
    <row r="12" spans="1:13" ht="13.15">
      <c r="A12" s="195" t="s">
        <v>112</v>
      </c>
      <c r="B12" s="202">
        <f>_xlfn.XLOOKUP($A12,PR24_NETTOTEX_WASTE!$B$9:$B$19,PR24_NETTOTEX_WASTE!$G$9:$G$19)</f>
        <v>12775.474</v>
      </c>
      <c r="C12" s="66">
        <f ca="1">SUMIFS('Final Input'!E:E,'Final Input'!$C:$C,$B$3,'Final Input'!$A:$A,$A12)</f>
        <v>0</v>
      </c>
      <c r="D12" s="67">
        <f ca="1">SUMIFS('Final Input'!F:F,'Final Input'!$C:$C,$B$3,'Final Input'!$A:$A,$A12)</f>
        <v>0</v>
      </c>
      <c r="E12" s="67">
        <f ca="1">SUMIFS('Final Input'!G:G,'Final Input'!$C:$C,$B$3,'Final Input'!$A:$A,$A12)</f>
        <v>4.6950000000000003</v>
      </c>
      <c r="F12" s="67">
        <f ca="1">SUMIFS('Final Input'!H:H,'Final Input'!$C:$C,$B$3,'Final Input'!$A:$A,$A12)</f>
        <v>4.7160000000000002</v>
      </c>
      <c r="G12" s="67">
        <f ca="1">SUMIFS('Final Input'!I:I,'Final Input'!$C:$C,$B$3,'Final Input'!$A:$A,$A12)</f>
        <v>1.1839999999999999</v>
      </c>
      <c r="H12" s="67">
        <f ca="1">SUMIFS('Final Input'!J:J,'Final Input'!$C:$C,$B$3,'Final Input'!$A:$A,$A12)</f>
        <v>0.59499999999999997</v>
      </c>
      <c r="I12" s="67">
        <f ca="1">SUMIFS('Final Input'!K:K,'Final Input'!$C:$C,$B$3,'Final Input'!$A:$A,$A12)</f>
        <v>0.59799999999999998</v>
      </c>
      <c r="J12" s="196">
        <f ca="1">SUM(C12:I12)</f>
        <v>11.788000000000002</v>
      </c>
      <c r="K12" s="2"/>
      <c r="L12" s="197">
        <f ca="1">SUMIFS('Final Input'!L:L,'Final Input'!A:A,$A12,'Final Input'!C:C,$L$4)</f>
        <v>74</v>
      </c>
      <c r="M12" s="197">
        <f ca="1">SUMIFS('Final Input'!L:L,'Final Input'!A:A,$A12,'Final Input'!C:C,$M$4)</f>
        <v>297</v>
      </c>
    </row>
    <row r="13" spans="1:13" ht="13.15">
      <c r="A13" s="195" t="s">
        <v>113</v>
      </c>
      <c r="B13" s="202">
        <f>_xlfn.XLOOKUP($A13,PR24_NETTOTEX_WASTE!$B$9:$B$19,PR24_NETTOTEX_WASTE!$G$9:$G$19)</f>
        <v>8993.18</v>
      </c>
      <c r="C13" s="66">
        <f ca="1">SUMIFS('Final Input'!E:E,'Final Input'!$C:$C,$B$3,'Final Input'!$A:$A,$A13)</f>
        <v>0</v>
      </c>
      <c r="D13" s="67">
        <f ca="1">SUMIFS('Final Input'!F:F,'Final Input'!$C:$C,$B$3,'Final Input'!$A:$A,$A13)</f>
        <v>0</v>
      </c>
      <c r="E13" s="67">
        <f ca="1">SUMIFS('Final Input'!G:G,'Final Input'!$C:$C,$B$3,'Final Input'!$A:$A,$A13)</f>
        <v>4.7015982999999997</v>
      </c>
      <c r="F13" s="67">
        <f ca="1">SUMIFS('Final Input'!H:H,'Final Input'!$C:$C,$B$3,'Final Input'!$A:$A,$A13)</f>
        <v>4.7747054000000002</v>
      </c>
      <c r="G13" s="67">
        <f ca="1">SUMIFS('Final Input'!I:I,'Final Input'!$C:$C,$B$3,'Final Input'!$A:$A,$A13)</f>
        <v>4.7215366000000003</v>
      </c>
      <c r="H13" s="67">
        <f ca="1">SUMIFS('Final Input'!J:J,'Final Input'!$C:$C,$B$3,'Final Input'!$A:$A,$A13)</f>
        <v>21.828598</v>
      </c>
      <c r="I13" s="67">
        <f ca="1">SUMIFS('Final Input'!K:K,'Final Input'!$C:$C,$B$3,'Final Input'!$A:$A,$A13)</f>
        <v>33.904561700000002</v>
      </c>
      <c r="J13" s="196">
        <f t="shared" ca="1" si="0"/>
        <v>69.930999999999997</v>
      </c>
      <c r="K13" s="2"/>
      <c r="L13" s="197">
        <f ca="1">SUMIFS('Final Input'!L:L,'Final Input'!A:A,$A13,'Final Input'!C:C,$L$4)</f>
        <v>237</v>
      </c>
      <c r="M13" s="197">
        <f ca="1">SUMIFS('Final Input'!L:L,'Final Input'!A:A,$A13,'Final Input'!C:C,$M$4)</f>
        <v>90</v>
      </c>
    </row>
    <row r="14" spans="1:13" ht="13.15">
      <c r="A14" s="195" t="s">
        <v>114</v>
      </c>
      <c r="B14" s="202">
        <f>_xlfn.XLOOKUP($A14,PR24_NETTOTEX_WASTE!$B$9:$B$19,PR24_NETTOTEX_WASTE!$G$9:$G$19)</f>
        <v>3717.8809999999999</v>
      </c>
      <c r="C14" s="66">
        <f ca="1">SUMIFS('Final Input'!E:E,'Final Input'!$C:$C,$B$3,'Final Input'!$A:$A,$A14)</f>
        <v>0</v>
      </c>
      <c r="D14" s="67">
        <f ca="1">SUMIFS('Final Input'!F:F,'Final Input'!$C:$C,$B$3,'Final Input'!$A:$A,$A14)</f>
        <v>0</v>
      </c>
      <c r="E14" s="67">
        <f ca="1">SUMIFS('Final Input'!G:G,'Final Input'!$C:$C,$B$3,'Final Input'!$A:$A,$A14)</f>
        <v>3.3440496</v>
      </c>
      <c r="F14" s="67">
        <f ca="1">SUMIFS('Final Input'!H:H,'Final Input'!$C:$C,$B$3,'Final Input'!$A:$A,$A14)</f>
        <v>3.4504185999999999</v>
      </c>
      <c r="G14" s="67">
        <f ca="1">SUMIFS('Final Input'!I:I,'Final Input'!$C:$C,$B$3,'Final Input'!$A:$A,$A14)</f>
        <v>4.3470070999999999</v>
      </c>
      <c r="H14" s="67">
        <f ca="1">SUMIFS('Final Input'!J:J,'Final Input'!$C:$C,$B$3,'Final Input'!$A:$A,$A14)</f>
        <v>4.3691122</v>
      </c>
      <c r="I14" s="67">
        <f ca="1">SUMIFS('Final Input'!K:K,'Final Input'!$C:$C,$B$3,'Final Input'!$A:$A,$A14)</f>
        <v>4.4644124999999999</v>
      </c>
      <c r="J14" s="196">
        <f t="shared" ca="1" si="0"/>
        <v>19.975000000000001</v>
      </c>
      <c r="K14" s="2"/>
      <c r="L14" s="197">
        <f ca="1">SUMIFS('Final Input'!L:L,'Final Input'!A:A,$A14,'Final Input'!C:C,$L$4)</f>
        <v>49</v>
      </c>
      <c r="M14" s="197">
        <f ca="1">SUMIFS('Final Input'!L:L,'Final Input'!A:A,$A14,'Final Input'!C:C,$M$4)</f>
        <v>102</v>
      </c>
    </row>
    <row r="15" spans="1:13" ht="13.15">
      <c r="A15" s="195" t="s">
        <v>115</v>
      </c>
      <c r="B15" s="202">
        <f>_xlfn.XLOOKUP($A15,PR24_NETTOTEX_WASTE!$B$9:$B$19,PR24_NETTOTEX_WASTE!$G$9:$G$19)</f>
        <v>4605.5680000000002</v>
      </c>
      <c r="C15" s="66">
        <f ca="1">SUMIFS('Final Input'!E:E,'Final Input'!$C:$C,$B$3,'Final Input'!$A:$A,$A15)</f>
        <v>0</v>
      </c>
      <c r="D15" s="67">
        <f ca="1">SUMIFS('Final Input'!F:F,'Final Input'!$C:$C,$B$3,'Final Input'!$A:$A,$A15)</f>
        <v>0</v>
      </c>
      <c r="E15" s="67">
        <f ca="1">SUMIFS('Final Input'!G:G,'Final Input'!$C:$C,$B$3,'Final Input'!$A:$A,$A15)</f>
        <v>6.6800070000000007</v>
      </c>
      <c r="F15" s="67">
        <f ca="1">SUMIFS('Final Input'!H:H,'Final Input'!$C:$C,$B$3,'Final Input'!$A:$A,$A15)</f>
        <v>8.998875</v>
      </c>
      <c r="G15" s="67">
        <f ca="1">SUMIFS('Final Input'!I:I,'Final Input'!$C:$C,$B$3,'Final Input'!$A:$A,$A15)</f>
        <v>9.3815639999999991</v>
      </c>
      <c r="H15" s="67">
        <f ca="1">SUMIFS('Final Input'!J:J,'Final Input'!$C:$C,$B$3,'Final Input'!$A:$A,$A15)</f>
        <v>7.8545970000000009</v>
      </c>
      <c r="I15" s="67">
        <f ca="1">SUMIFS('Final Input'!K:K,'Final Input'!$C:$C,$B$3,'Final Input'!$A:$A,$A15)</f>
        <v>5.3411680000000006</v>
      </c>
      <c r="J15" s="198">
        <f t="shared" ca="1" si="0"/>
        <v>38.256211</v>
      </c>
      <c r="K15" s="2"/>
      <c r="L15" s="197">
        <f ca="1">SUMIFS('Final Input'!L:L,'Final Input'!A:A,$A15,'Final Input'!C:C,$L$4)</f>
        <v>379</v>
      </c>
      <c r="M15" s="197">
        <f ca="1">SUMIFS('Final Input'!L:L,'Final Input'!A:A,$A15,'Final Input'!C:C,$M$4)</f>
        <v>361</v>
      </c>
    </row>
    <row r="16" spans="1:13" ht="13.15">
      <c r="A16" s="2"/>
      <c r="B16" s="2"/>
      <c r="C16" s="199"/>
      <c r="D16" s="199"/>
      <c r="E16" s="199"/>
      <c r="F16" s="199"/>
      <c r="G16" s="199"/>
      <c r="H16" s="199"/>
      <c r="I16" s="199"/>
      <c r="J16" s="200">
        <f ca="1">SUM(J5:J15)</f>
        <v>378.11777290640225</v>
      </c>
      <c r="K16" s="2"/>
      <c r="L16" s="139">
        <f ca="1">SUM(L5:L15)</f>
        <v>4213</v>
      </c>
      <c r="M16" s="139">
        <f ca="1">SUM(M5:M15)</f>
        <v>1945</v>
      </c>
    </row>
    <row r="61" ht="24.75" customHeight="1"/>
  </sheetData>
  <mergeCells count="2">
    <mergeCell ref="B3:H3"/>
    <mergeCell ref="L2:M2"/>
  </mergeCells>
  <phoneticPr fontId="48"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E12FC-1419-4F4D-A177-173F0BA3DC98}">
  <sheetPr>
    <tabColor rgb="FFFFDB8E"/>
  </sheetPr>
  <dimension ref="A1:M769"/>
  <sheetViews>
    <sheetView zoomScale="80" zoomScaleNormal="80" workbookViewId="0"/>
  </sheetViews>
  <sheetFormatPr defaultRowHeight="12.75"/>
  <cols>
    <col min="2" max="2" width="50" bestFit="1" customWidth="1"/>
    <col min="13" max="13" width="9.28515625" bestFit="1" customWidth="1"/>
  </cols>
  <sheetData>
    <row r="1" spans="1:13" ht="30.75">
      <c r="A1" s="1" t="e">
        <f ca="1" xml:space="preserve"> RIGHT(CELL("filename", $A$1), LEN(CELL("filename", $A$1)) - SEARCH("]", CELL("filename", $A$1)))</f>
        <v>#VALUE!</v>
      </c>
      <c r="B1" s="1"/>
      <c r="C1" s="1"/>
      <c r="D1" s="1"/>
      <c r="E1" s="1"/>
      <c r="F1" s="1"/>
      <c r="G1" s="1"/>
      <c r="H1" s="1"/>
      <c r="I1" s="1"/>
      <c r="J1" s="1"/>
      <c r="K1" s="1"/>
      <c r="L1" s="1"/>
      <c r="M1" s="1"/>
    </row>
    <row r="2" spans="1:13" ht="14.25">
      <c r="A2" s="2" t="s">
        <v>151</v>
      </c>
      <c r="C2" s="270" t="s">
        <v>152</v>
      </c>
      <c r="E2" s="270" t="s">
        <v>153</v>
      </c>
      <c r="M2" s="5"/>
    </row>
    <row r="3" spans="1:13" ht="14.25">
      <c r="M3" s="5"/>
    </row>
    <row r="4" spans="1:13" ht="13.15">
      <c r="A4" s="295" t="s">
        <v>120</v>
      </c>
      <c r="B4" s="295" t="s">
        <v>121</v>
      </c>
      <c r="C4" s="295" t="s">
        <v>118</v>
      </c>
      <c r="D4" s="295" t="s">
        <v>119</v>
      </c>
      <c r="E4" s="295" t="s">
        <v>140</v>
      </c>
      <c r="F4" s="295" t="s">
        <v>72</v>
      </c>
      <c r="G4" s="295" t="s">
        <v>73</v>
      </c>
      <c r="H4" s="295" t="s">
        <v>74</v>
      </c>
      <c r="I4" s="295" t="s">
        <v>75</v>
      </c>
      <c r="J4" s="295" t="s">
        <v>76</v>
      </c>
      <c r="K4" s="295" t="s">
        <v>77</v>
      </c>
      <c r="L4" s="295" t="s">
        <v>78</v>
      </c>
      <c r="M4" s="304" t="s">
        <v>154</v>
      </c>
    </row>
    <row r="5" spans="1:13" ht="13.15">
      <c r="A5" s="2" t="s">
        <v>82</v>
      </c>
      <c r="B5" s="2" t="s">
        <v>155</v>
      </c>
      <c r="C5" s="2" t="s">
        <v>156</v>
      </c>
      <c r="D5" s="2" t="s">
        <v>85</v>
      </c>
      <c r="E5" s="2" t="s">
        <v>79</v>
      </c>
      <c r="F5" s="291">
        <v>2.6006707295150466</v>
      </c>
      <c r="G5" s="291">
        <v>49.761716703240708</v>
      </c>
      <c r="H5" s="291">
        <v>294.71861771174355</v>
      </c>
      <c r="I5" s="291">
        <v>578.99972985522754</v>
      </c>
      <c r="J5" s="291">
        <v>672.22880136540618</v>
      </c>
      <c r="K5" s="291">
        <v>754.70198850771737</v>
      </c>
      <c r="L5" s="291">
        <v>457.11422546866174</v>
      </c>
      <c r="M5" s="307">
        <f t="shared" ref="M5:M68" si="0">SUM(F5:L5)</f>
        <v>2810.1257503415118</v>
      </c>
    </row>
    <row r="6" spans="1:13" ht="13.15">
      <c r="A6" s="2" t="s">
        <v>82</v>
      </c>
      <c r="B6" s="2" t="s">
        <v>157</v>
      </c>
      <c r="C6" s="2" t="s">
        <v>158</v>
      </c>
      <c r="D6" s="2" t="s">
        <v>85</v>
      </c>
      <c r="E6" s="2" t="s">
        <v>79</v>
      </c>
      <c r="F6" s="291">
        <v>1E-3</v>
      </c>
      <c r="G6" s="291">
        <v>8.9569029101495678E-3</v>
      </c>
      <c r="H6" s="291">
        <v>4.9857506832860743</v>
      </c>
      <c r="I6" s="291">
        <v>0.64135210860864778</v>
      </c>
      <c r="J6" s="291">
        <v>7.8330780676334512E-3</v>
      </c>
      <c r="K6" s="291">
        <v>7.7752298213024399E-3</v>
      </c>
      <c r="L6" s="291">
        <v>7.725202115265806E-3</v>
      </c>
      <c r="M6" s="307">
        <f t="shared" si="0"/>
        <v>5.6603932048090728</v>
      </c>
    </row>
    <row r="7" spans="1:13" ht="13.15">
      <c r="A7" s="2" t="s">
        <v>82</v>
      </c>
      <c r="B7" s="2" t="s">
        <v>159</v>
      </c>
      <c r="C7" s="2" t="s">
        <v>160</v>
      </c>
      <c r="D7" s="2" t="s">
        <v>85</v>
      </c>
      <c r="E7" s="2" t="s">
        <v>79</v>
      </c>
      <c r="F7" s="291">
        <v>0.52900000000000003</v>
      </c>
      <c r="G7" s="291">
        <v>10.942349721899388</v>
      </c>
      <c r="H7" s="291">
        <v>20.023226373459384</v>
      </c>
      <c r="I7" s="291">
        <v>11.38966471217293</v>
      </c>
      <c r="J7" s="291">
        <v>0.74022587739136103</v>
      </c>
      <c r="K7" s="291">
        <v>0.87179764371353607</v>
      </c>
      <c r="L7" s="291">
        <v>0.95406246123532701</v>
      </c>
      <c r="M7" s="307">
        <f t="shared" si="0"/>
        <v>45.450326789871923</v>
      </c>
    </row>
    <row r="8" spans="1:13" ht="13.15">
      <c r="A8" s="2" t="s">
        <v>82</v>
      </c>
      <c r="B8" s="2" t="s">
        <v>161</v>
      </c>
      <c r="C8" s="2" t="s">
        <v>162</v>
      </c>
      <c r="D8" s="2" t="s">
        <v>85</v>
      </c>
      <c r="E8" s="2" t="s">
        <v>79</v>
      </c>
      <c r="F8" s="291">
        <v>0</v>
      </c>
      <c r="G8" s="291">
        <v>0</v>
      </c>
      <c r="H8" s="291">
        <v>0</v>
      </c>
      <c r="I8" s="291">
        <v>15.359595532045594</v>
      </c>
      <c r="J8" s="291">
        <v>15.265347992533927</v>
      </c>
      <c r="K8" s="291">
        <v>22.664162525986146</v>
      </c>
      <c r="L8" s="291">
        <v>22.518335831923668</v>
      </c>
      <c r="M8" s="307">
        <f t="shared" si="0"/>
        <v>75.807441882489329</v>
      </c>
    </row>
    <row r="9" spans="1:13" ht="13.15">
      <c r="A9" s="2" t="s">
        <v>82</v>
      </c>
      <c r="B9" s="2" t="s">
        <v>163</v>
      </c>
      <c r="C9" s="2" t="s">
        <v>164</v>
      </c>
      <c r="D9" s="2" t="s">
        <v>85</v>
      </c>
      <c r="E9" s="2" t="s">
        <v>79</v>
      </c>
      <c r="F9" s="291">
        <v>1E-3</v>
      </c>
      <c r="G9" s="291">
        <v>2.3885074427065524E-2</v>
      </c>
      <c r="H9" s="291">
        <v>2.4938657569555684</v>
      </c>
      <c r="I9" s="291">
        <v>4.4278910171145425</v>
      </c>
      <c r="J9" s="291">
        <v>5.4518223350728814</v>
      </c>
      <c r="K9" s="291">
        <v>5.6185754496186755</v>
      </c>
      <c r="L9" s="291">
        <v>5.4337140378250863</v>
      </c>
      <c r="M9" s="307">
        <f t="shared" si="0"/>
        <v>23.450753671013821</v>
      </c>
    </row>
    <row r="10" spans="1:13" ht="13.15">
      <c r="A10" s="2" t="s">
        <v>82</v>
      </c>
      <c r="B10" s="2" t="s">
        <v>165</v>
      </c>
      <c r="C10" s="2" t="s">
        <v>166</v>
      </c>
      <c r="D10" s="2" t="s">
        <v>85</v>
      </c>
      <c r="E10" s="2" t="s">
        <v>79</v>
      </c>
      <c r="F10" s="291">
        <v>0</v>
      </c>
      <c r="G10" s="291">
        <v>0</v>
      </c>
      <c r="H10" s="291">
        <v>0</v>
      </c>
      <c r="I10" s="291">
        <v>0</v>
      </c>
      <c r="J10" s="291">
        <v>0</v>
      </c>
      <c r="K10" s="291">
        <v>0</v>
      </c>
      <c r="L10" s="291">
        <v>0</v>
      </c>
      <c r="M10" s="307">
        <f t="shared" si="0"/>
        <v>0</v>
      </c>
    </row>
    <row r="11" spans="1:13" ht="13.15">
      <c r="A11" s="2" t="s">
        <v>82</v>
      </c>
      <c r="B11" s="2" t="s">
        <v>167</v>
      </c>
      <c r="C11" s="2" t="s">
        <v>168</v>
      </c>
      <c r="D11" s="2" t="s">
        <v>85</v>
      </c>
      <c r="E11" s="2" t="s">
        <v>79</v>
      </c>
      <c r="F11" s="291">
        <v>0.23053427813112193</v>
      </c>
      <c r="G11" s="291">
        <v>12.438863362028282</v>
      </c>
      <c r="H11" s="291">
        <v>100.07170052947899</v>
      </c>
      <c r="I11" s="291">
        <v>187.03139906285645</v>
      </c>
      <c r="J11" s="291">
        <v>147.87858064944902</v>
      </c>
      <c r="K11" s="291">
        <v>148.81867613754298</v>
      </c>
      <c r="L11" s="291">
        <v>93.191397441183824</v>
      </c>
      <c r="M11" s="307">
        <f t="shared" si="0"/>
        <v>689.66115146067068</v>
      </c>
    </row>
    <row r="12" spans="1:13" ht="13.15">
      <c r="A12" s="2" t="s">
        <v>82</v>
      </c>
      <c r="B12" s="2" t="s">
        <v>169</v>
      </c>
      <c r="C12" s="2" t="s">
        <v>170</v>
      </c>
      <c r="D12" s="2" t="s">
        <v>85</v>
      </c>
      <c r="E12" s="2" t="s">
        <v>79</v>
      </c>
      <c r="F12" s="291">
        <v>0</v>
      </c>
      <c r="G12" s="291">
        <v>0</v>
      </c>
      <c r="H12" s="291">
        <v>2.2561660819478893</v>
      </c>
      <c r="I12" s="291">
        <v>7.8745428634545647</v>
      </c>
      <c r="J12" s="291">
        <v>13.146842401764292</v>
      </c>
      <c r="K12" s="291">
        <v>12.603647540331254</v>
      </c>
      <c r="L12" s="291">
        <v>6.4408872636028658</v>
      </c>
      <c r="M12" s="307">
        <f t="shared" si="0"/>
        <v>42.322086151100869</v>
      </c>
    </row>
    <row r="13" spans="1:13" ht="13.15">
      <c r="A13" s="2" t="s">
        <v>82</v>
      </c>
      <c r="B13" s="2" t="s">
        <v>171</v>
      </c>
      <c r="C13" s="2" t="s">
        <v>172</v>
      </c>
      <c r="D13" s="2" t="s">
        <v>85</v>
      </c>
      <c r="E13" s="2" t="s">
        <v>79</v>
      </c>
      <c r="F13" s="291">
        <v>1.7099999999999997E-2</v>
      </c>
      <c r="G13" s="291">
        <v>1.6122425238269223E-2</v>
      </c>
      <c r="H13" s="291">
        <v>4.1422139616025717</v>
      </c>
      <c r="I13" s="291">
        <v>5.8138420868390366</v>
      </c>
      <c r="J13" s="291">
        <v>4.1135409472177065</v>
      </c>
      <c r="K13" s="291">
        <v>4.0910343608510438</v>
      </c>
      <c r="L13" s="291">
        <v>4.3723678322140049</v>
      </c>
      <c r="M13" s="307">
        <f t="shared" si="0"/>
        <v>22.566221613962632</v>
      </c>
    </row>
    <row r="14" spans="1:13" ht="13.15">
      <c r="A14" s="2" t="s">
        <v>82</v>
      </c>
      <c r="B14" s="2" t="s">
        <v>173</v>
      </c>
      <c r="C14" s="2" t="s">
        <v>174</v>
      </c>
      <c r="D14" s="2" t="s">
        <v>85</v>
      </c>
      <c r="E14" s="2" t="s">
        <v>79</v>
      </c>
      <c r="F14" s="291">
        <v>0</v>
      </c>
      <c r="G14" s="291">
        <v>0</v>
      </c>
      <c r="H14" s="291">
        <v>6.1980190258252374</v>
      </c>
      <c r="I14" s="291">
        <v>8.6419979980262038</v>
      </c>
      <c r="J14" s="291">
        <v>16.303572863020573</v>
      </c>
      <c r="K14" s="291">
        <v>18.844241375654125</v>
      </c>
      <c r="L14" s="291">
        <v>12.80645380658189</v>
      </c>
      <c r="M14" s="307">
        <f t="shared" si="0"/>
        <v>62.794285069108035</v>
      </c>
    </row>
    <row r="15" spans="1:13" ht="13.15">
      <c r="A15" s="2" t="s">
        <v>82</v>
      </c>
      <c r="B15" s="2" t="s">
        <v>175</v>
      </c>
      <c r="C15" s="2" t="s">
        <v>176</v>
      </c>
      <c r="D15" s="2" t="s">
        <v>85</v>
      </c>
      <c r="E15" s="2" t="s">
        <v>79</v>
      </c>
      <c r="F15" s="291">
        <v>0</v>
      </c>
      <c r="G15" s="291">
        <v>0</v>
      </c>
      <c r="H15" s="291">
        <v>1.7282747203683351</v>
      </c>
      <c r="I15" s="291">
        <v>4.0392375503770444</v>
      </c>
      <c r="J15" s="291">
        <v>0.59433479838168801</v>
      </c>
      <c r="K15" s="291">
        <v>0.25852639155830615</v>
      </c>
      <c r="L15" s="291">
        <v>0.2587942708614045</v>
      </c>
      <c r="M15" s="307">
        <f t="shared" si="0"/>
        <v>6.8791677315467785</v>
      </c>
    </row>
    <row r="16" spans="1:13" ht="13.15">
      <c r="A16" s="2" t="s">
        <v>82</v>
      </c>
      <c r="B16" s="2" t="s">
        <v>177</v>
      </c>
      <c r="C16" s="2" t="s">
        <v>178</v>
      </c>
      <c r="D16" s="2" t="s">
        <v>85</v>
      </c>
      <c r="E16" s="2" t="s">
        <v>79</v>
      </c>
      <c r="F16" s="291">
        <v>1.1293968144251929</v>
      </c>
      <c r="G16" s="291">
        <v>18.732181380877655</v>
      </c>
      <c r="H16" s="291">
        <v>46.968527226671625</v>
      </c>
      <c r="I16" s="291">
        <v>127.48780001536285</v>
      </c>
      <c r="J16" s="291">
        <v>241.77450945740324</v>
      </c>
      <c r="K16" s="291">
        <v>318.07312139841122</v>
      </c>
      <c r="L16" s="291">
        <v>175.13466719426216</v>
      </c>
      <c r="M16" s="307">
        <f t="shared" si="0"/>
        <v>929.30020348741402</v>
      </c>
    </row>
    <row r="17" spans="1:13" ht="13.15">
      <c r="A17" s="2" t="s">
        <v>82</v>
      </c>
      <c r="B17" s="2" t="s">
        <v>179</v>
      </c>
      <c r="C17" s="2" t="s">
        <v>180</v>
      </c>
      <c r="D17" s="2" t="s">
        <v>85</v>
      </c>
      <c r="E17" s="2" t="s">
        <v>79</v>
      </c>
      <c r="F17" s="291">
        <v>2.4713952545122691E-2</v>
      </c>
      <c r="G17" s="291">
        <v>0.35636303383754442</v>
      </c>
      <c r="H17" s="291">
        <v>3.8189679523302651</v>
      </c>
      <c r="I17" s="291">
        <v>8.7624627621568649</v>
      </c>
      <c r="J17" s="291">
        <v>4.3755885637703935</v>
      </c>
      <c r="K17" s="291">
        <v>4.658731488149348</v>
      </c>
      <c r="L17" s="291">
        <v>1.9097331188884898</v>
      </c>
      <c r="M17" s="307">
        <f t="shared" si="0"/>
        <v>23.906560871678025</v>
      </c>
    </row>
    <row r="18" spans="1:13" ht="13.15">
      <c r="A18" s="2" t="s">
        <v>82</v>
      </c>
      <c r="B18" s="2" t="s">
        <v>181</v>
      </c>
      <c r="C18" s="2" t="s">
        <v>182</v>
      </c>
      <c r="D18" s="2" t="s">
        <v>85</v>
      </c>
      <c r="E18" s="2" t="s">
        <v>79</v>
      </c>
      <c r="F18" s="291">
        <v>0.57765472081181202</v>
      </c>
      <c r="G18" s="291">
        <v>3.2651273704442807</v>
      </c>
      <c r="H18" s="291">
        <v>1.7052720521171871</v>
      </c>
      <c r="I18" s="291">
        <v>4.0125936751283415</v>
      </c>
      <c r="J18" s="291">
        <v>8.5278511024641848</v>
      </c>
      <c r="K18" s="291">
        <v>11.515325136523812</v>
      </c>
      <c r="L18" s="291">
        <v>6.1643001168704785</v>
      </c>
      <c r="M18" s="307">
        <f t="shared" si="0"/>
        <v>35.768124174360096</v>
      </c>
    </row>
    <row r="19" spans="1:13" ht="13.15">
      <c r="A19" s="2" t="s">
        <v>82</v>
      </c>
      <c r="B19" s="2" t="s">
        <v>183</v>
      </c>
      <c r="C19" s="2" t="s">
        <v>184</v>
      </c>
      <c r="D19" s="2" t="s">
        <v>85</v>
      </c>
      <c r="E19" s="2" t="s">
        <v>79</v>
      </c>
      <c r="F19" s="291">
        <v>0</v>
      </c>
      <c r="G19" s="291">
        <v>0</v>
      </c>
      <c r="H19" s="291">
        <v>0</v>
      </c>
      <c r="I19" s="291">
        <v>0</v>
      </c>
      <c r="J19" s="291">
        <v>0</v>
      </c>
      <c r="K19" s="291">
        <v>0</v>
      </c>
      <c r="L19" s="291">
        <v>0</v>
      </c>
      <c r="M19" s="307">
        <f t="shared" si="0"/>
        <v>0</v>
      </c>
    </row>
    <row r="20" spans="1:13" ht="13.15">
      <c r="A20" s="2" t="s">
        <v>82</v>
      </c>
      <c r="B20" s="2" t="s">
        <v>185</v>
      </c>
      <c r="C20" s="2" t="s">
        <v>186</v>
      </c>
      <c r="D20" s="2" t="s">
        <v>85</v>
      </c>
      <c r="E20" s="2" t="s">
        <v>79</v>
      </c>
      <c r="F20" s="291">
        <v>0</v>
      </c>
      <c r="G20" s="291">
        <v>0</v>
      </c>
      <c r="H20" s="291">
        <v>0</v>
      </c>
      <c r="I20" s="291">
        <v>0</v>
      </c>
      <c r="J20" s="291">
        <v>0</v>
      </c>
      <c r="K20" s="291">
        <v>0</v>
      </c>
      <c r="L20" s="291">
        <v>0</v>
      </c>
      <c r="M20" s="307">
        <f t="shared" si="0"/>
        <v>0</v>
      </c>
    </row>
    <row r="21" spans="1:13" ht="13.15">
      <c r="A21" s="2" t="s">
        <v>82</v>
      </c>
      <c r="B21" s="2" t="s">
        <v>187</v>
      </c>
      <c r="C21" s="2" t="s">
        <v>188</v>
      </c>
      <c r="D21" s="2" t="s">
        <v>85</v>
      </c>
      <c r="E21" s="2" t="s">
        <v>79</v>
      </c>
      <c r="F21" s="291">
        <v>0</v>
      </c>
      <c r="G21" s="291">
        <v>0</v>
      </c>
      <c r="H21" s="291">
        <v>0</v>
      </c>
      <c r="I21" s="291">
        <v>0</v>
      </c>
      <c r="J21" s="291">
        <v>0</v>
      </c>
      <c r="K21" s="291">
        <v>0</v>
      </c>
      <c r="L21" s="291">
        <v>0</v>
      </c>
      <c r="M21" s="307">
        <f t="shared" si="0"/>
        <v>0</v>
      </c>
    </row>
    <row r="22" spans="1:13" ht="13.15">
      <c r="A22" s="2" t="s">
        <v>82</v>
      </c>
      <c r="B22" s="2" t="s">
        <v>189</v>
      </c>
      <c r="C22" s="2" t="s">
        <v>190</v>
      </c>
      <c r="D22" s="2" t="s">
        <v>85</v>
      </c>
      <c r="E22" s="2" t="s">
        <v>79</v>
      </c>
      <c r="F22" s="291">
        <v>0</v>
      </c>
      <c r="G22" s="291">
        <v>0</v>
      </c>
      <c r="H22" s="291">
        <v>0</v>
      </c>
      <c r="I22" s="291">
        <v>0.9290246365867203</v>
      </c>
      <c r="J22" s="291">
        <v>7.2455972125609419E-2</v>
      </c>
      <c r="K22" s="291">
        <v>2.2353785736244514E-2</v>
      </c>
      <c r="L22" s="291">
        <v>3.862601057632903E-3</v>
      </c>
      <c r="M22" s="307">
        <f t="shared" si="0"/>
        <v>1.0276969955062072</v>
      </c>
    </row>
    <row r="23" spans="1:13" ht="13.15">
      <c r="A23" s="2" t="s">
        <v>82</v>
      </c>
      <c r="B23" s="2" t="s">
        <v>191</v>
      </c>
      <c r="C23" s="2" t="s">
        <v>192</v>
      </c>
      <c r="D23" s="2" t="s">
        <v>85</v>
      </c>
      <c r="E23" s="2" t="s">
        <v>79</v>
      </c>
      <c r="F23" s="291">
        <v>9.0270963601796733E-2</v>
      </c>
      <c r="G23" s="291">
        <v>8.7204681076915938E-2</v>
      </c>
      <c r="H23" s="291">
        <v>38.435108332066108</v>
      </c>
      <c r="I23" s="291">
        <v>49.111579403037133</v>
      </c>
      <c r="J23" s="291">
        <v>38.91175980932244</v>
      </c>
      <c r="K23" s="291">
        <v>37.173783615573413</v>
      </c>
      <c r="L23" s="291">
        <v>16.954828178992678</v>
      </c>
      <c r="M23" s="307">
        <f t="shared" si="0"/>
        <v>180.7645349836705</v>
      </c>
    </row>
    <row r="24" spans="1:13" ht="13.15">
      <c r="A24" s="2" t="s">
        <v>82</v>
      </c>
      <c r="B24" s="2" t="s">
        <v>193</v>
      </c>
      <c r="C24" s="2" t="s">
        <v>194</v>
      </c>
      <c r="D24" s="2" t="s">
        <v>85</v>
      </c>
      <c r="E24" s="2" t="s">
        <v>79</v>
      </c>
      <c r="F24" s="291">
        <v>0</v>
      </c>
      <c r="G24" s="291">
        <v>0</v>
      </c>
      <c r="H24" s="291">
        <v>0</v>
      </c>
      <c r="I24" s="291">
        <v>0</v>
      </c>
      <c r="J24" s="291">
        <v>0</v>
      </c>
      <c r="K24" s="291">
        <v>0</v>
      </c>
      <c r="L24" s="291">
        <v>0</v>
      </c>
      <c r="M24" s="307">
        <f t="shared" si="0"/>
        <v>0</v>
      </c>
    </row>
    <row r="25" spans="1:13" ht="13.15">
      <c r="A25" s="2" t="s">
        <v>82</v>
      </c>
      <c r="B25" s="2" t="s">
        <v>195</v>
      </c>
      <c r="C25" s="2" t="s">
        <v>196</v>
      </c>
      <c r="D25" s="2" t="s">
        <v>85</v>
      </c>
      <c r="E25" s="2" t="s">
        <v>79</v>
      </c>
      <c r="F25" s="291">
        <v>0</v>
      </c>
      <c r="G25" s="291">
        <v>0</v>
      </c>
      <c r="H25" s="291">
        <v>0</v>
      </c>
      <c r="I25" s="291">
        <v>0</v>
      </c>
      <c r="J25" s="291">
        <v>0</v>
      </c>
      <c r="K25" s="291">
        <v>0</v>
      </c>
      <c r="L25" s="291">
        <v>0</v>
      </c>
      <c r="M25" s="307">
        <f t="shared" si="0"/>
        <v>0</v>
      </c>
    </row>
    <row r="26" spans="1:13" ht="13.15">
      <c r="A26" s="2" t="s">
        <v>82</v>
      </c>
      <c r="B26" s="2" t="s">
        <v>197</v>
      </c>
      <c r="C26" s="2" t="s">
        <v>198</v>
      </c>
      <c r="D26" s="2" t="s">
        <v>85</v>
      </c>
      <c r="E26" s="2" t="s">
        <v>79</v>
      </c>
      <c r="F26" s="291">
        <v>0</v>
      </c>
      <c r="G26" s="291">
        <v>0</v>
      </c>
      <c r="H26" s="291">
        <v>0</v>
      </c>
      <c r="I26" s="291">
        <v>0</v>
      </c>
      <c r="J26" s="291">
        <v>0</v>
      </c>
      <c r="K26" s="291">
        <v>0</v>
      </c>
      <c r="L26" s="291">
        <v>0</v>
      </c>
      <c r="M26" s="307">
        <f t="shared" si="0"/>
        <v>0</v>
      </c>
    </row>
    <row r="27" spans="1:13" ht="13.15">
      <c r="A27" s="2" t="s">
        <v>82</v>
      </c>
      <c r="B27" s="2" t="s">
        <v>199</v>
      </c>
      <c r="C27" s="2" t="s">
        <v>200</v>
      </c>
      <c r="D27" s="2" t="s">
        <v>85</v>
      </c>
      <c r="E27" s="2" t="s">
        <v>79</v>
      </c>
      <c r="F27" s="291">
        <v>0</v>
      </c>
      <c r="G27" s="291">
        <v>3.8906627505011464</v>
      </c>
      <c r="H27" s="291">
        <v>12.56172350178413</v>
      </c>
      <c r="I27" s="291">
        <v>9.6529218653285138</v>
      </c>
      <c r="J27" s="291">
        <v>0.37794954517685808</v>
      </c>
      <c r="K27" s="291">
        <v>2.1315814842819214E-3</v>
      </c>
      <c r="L27" s="291">
        <v>0</v>
      </c>
      <c r="M27" s="307">
        <f t="shared" si="0"/>
        <v>26.485389244274927</v>
      </c>
    </row>
    <row r="28" spans="1:13" ht="13.15">
      <c r="A28" s="2" t="s">
        <v>82</v>
      </c>
      <c r="B28" s="2" t="s">
        <v>201</v>
      </c>
      <c r="C28" s="2" t="s">
        <v>202</v>
      </c>
      <c r="D28" s="2" t="s">
        <v>85</v>
      </c>
      <c r="E28" s="2" t="s">
        <v>79</v>
      </c>
      <c r="F28" s="291">
        <v>0</v>
      </c>
      <c r="G28" s="291">
        <v>0</v>
      </c>
      <c r="H28" s="291">
        <v>0</v>
      </c>
      <c r="I28" s="291">
        <v>0</v>
      </c>
      <c r="J28" s="291">
        <v>0</v>
      </c>
      <c r="K28" s="291">
        <v>0</v>
      </c>
      <c r="L28" s="291">
        <v>0</v>
      </c>
      <c r="M28" s="307">
        <f t="shared" si="0"/>
        <v>0</v>
      </c>
    </row>
    <row r="29" spans="1:13" ht="13.15">
      <c r="A29" s="2" t="s">
        <v>82</v>
      </c>
      <c r="B29" s="2" t="s">
        <v>203</v>
      </c>
      <c r="C29" s="2" t="s">
        <v>204</v>
      </c>
      <c r="D29" s="2" t="s">
        <v>85</v>
      </c>
      <c r="E29" s="2" t="s">
        <v>79</v>
      </c>
      <c r="F29" s="291">
        <v>0</v>
      </c>
      <c r="G29" s="291">
        <v>0</v>
      </c>
      <c r="H29" s="291">
        <v>0</v>
      </c>
      <c r="I29" s="291">
        <v>0</v>
      </c>
      <c r="J29" s="291">
        <v>0</v>
      </c>
      <c r="K29" s="291">
        <v>0</v>
      </c>
      <c r="L29" s="291">
        <v>0</v>
      </c>
      <c r="M29" s="307">
        <f t="shared" si="0"/>
        <v>0</v>
      </c>
    </row>
    <row r="30" spans="1:13" ht="13.15">
      <c r="A30" s="2" t="s">
        <v>82</v>
      </c>
      <c r="B30" s="2" t="s">
        <v>205</v>
      </c>
      <c r="C30" s="2" t="s">
        <v>206</v>
      </c>
      <c r="D30" s="2" t="s">
        <v>85</v>
      </c>
      <c r="E30" s="2" t="s">
        <v>79</v>
      </c>
      <c r="F30" s="291">
        <v>0</v>
      </c>
      <c r="G30" s="291">
        <v>0</v>
      </c>
      <c r="H30" s="291">
        <v>0</v>
      </c>
      <c r="I30" s="291">
        <v>0</v>
      </c>
      <c r="J30" s="291">
        <v>0</v>
      </c>
      <c r="K30" s="291">
        <v>0</v>
      </c>
      <c r="L30" s="291">
        <v>0</v>
      </c>
      <c r="M30" s="307">
        <f t="shared" si="0"/>
        <v>0</v>
      </c>
    </row>
    <row r="31" spans="1:13" ht="13.15">
      <c r="A31" s="2" t="s">
        <v>82</v>
      </c>
      <c r="B31" s="2" t="s">
        <v>207</v>
      </c>
      <c r="C31" s="2" t="s">
        <v>208</v>
      </c>
      <c r="D31" s="2" t="s">
        <v>85</v>
      </c>
      <c r="E31" s="2" t="s">
        <v>79</v>
      </c>
      <c r="F31" s="291">
        <v>0</v>
      </c>
      <c r="G31" s="291">
        <v>0</v>
      </c>
      <c r="H31" s="291">
        <v>0</v>
      </c>
      <c r="I31" s="291">
        <v>0</v>
      </c>
      <c r="J31" s="291">
        <v>0</v>
      </c>
      <c r="K31" s="291">
        <v>0</v>
      </c>
      <c r="L31" s="291">
        <v>0</v>
      </c>
      <c r="M31" s="307">
        <f t="shared" si="0"/>
        <v>0</v>
      </c>
    </row>
    <row r="32" spans="1:13" ht="13.15">
      <c r="A32" s="2" t="s">
        <v>82</v>
      </c>
      <c r="B32" s="2" t="s">
        <v>209</v>
      </c>
      <c r="C32" s="2" t="s">
        <v>210</v>
      </c>
      <c r="D32" s="2" t="s">
        <v>85</v>
      </c>
      <c r="E32" s="2" t="s">
        <v>79</v>
      </c>
      <c r="F32" s="291">
        <v>0</v>
      </c>
      <c r="G32" s="291">
        <v>0</v>
      </c>
      <c r="H32" s="291">
        <v>5.2056228826681767</v>
      </c>
      <c r="I32" s="291">
        <v>5.1781055036053036</v>
      </c>
      <c r="J32" s="291">
        <v>5.1463322904351774</v>
      </c>
      <c r="K32" s="291">
        <v>5.1083259925957032</v>
      </c>
      <c r="L32" s="291">
        <v>5.0754577897296347</v>
      </c>
      <c r="M32" s="307">
        <f t="shared" si="0"/>
        <v>25.713844459033993</v>
      </c>
    </row>
    <row r="33" spans="1:13" ht="13.15">
      <c r="A33" s="2" t="s">
        <v>82</v>
      </c>
      <c r="B33" s="2" t="s">
        <v>211</v>
      </c>
      <c r="C33" s="2" t="s">
        <v>212</v>
      </c>
      <c r="D33" s="2" t="s">
        <v>85</v>
      </c>
      <c r="E33" s="2" t="s">
        <v>79</v>
      </c>
      <c r="F33" s="291">
        <v>0</v>
      </c>
      <c r="G33" s="291">
        <v>0</v>
      </c>
      <c r="H33" s="291">
        <v>0</v>
      </c>
      <c r="I33" s="291">
        <v>0</v>
      </c>
      <c r="J33" s="291">
        <v>0</v>
      </c>
      <c r="K33" s="291">
        <v>0</v>
      </c>
      <c r="L33" s="291">
        <v>0</v>
      </c>
      <c r="M33" s="307">
        <f t="shared" si="0"/>
        <v>0</v>
      </c>
    </row>
    <row r="34" spans="1:13" ht="13.15">
      <c r="A34" s="2" t="s">
        <v>82</v>
      </c>
      <c r="B34" s="2" t="s">
        <v>213</v>
      </c>
      <c r="C34" s="2" t="s">
        <v>214</v>
      </c>
      <c r="D34" s="2" t="s">
        <v>85</v>
      </c>
      <c r="E34" s="2" t="s">
        <v>79</v>
      </c>
      <c r="F34" s="291">
        <v>0</v>
      </c>
      <c r="G34" s="291">
        <v>0</v>
      </c>
      <c r="H34" s="291">
        <v>1.3848006925340051E-2</v>
      </c>
      <c r="I34" s="291">
        <v>7.3603075154690618</v>
      </c>
      <c r="J34" s="291">
        <v>16.255589872889942</v>
      </c>
      <c r="K34" s="291">
        <v>14.876991330320456</v>
      </c>
      <c r="L34" s="291">
        <v>2.7637664182717101</v>
      </c>
      <c r="M34" s="307">
        <f t="shared" si="0"/>
        <v>41.27050314387651</v>
      </c>
    </row>
    <row r="35" spans="1:13" ht="13.15">
      <c r="A35" s="2" t="s">
        <v>82</v>
      </c>
      <c r="B35" s="2" t="s">
        <v>215</v>
      </c>
      <c r="C35" s="2" t="s">
        <v>216</v>
      </c>
      <c r="D35" s="2" t="s">
        <v>85</v>
      </c>
      <c r="E35" s="2" t="s">
        <v>79</v>
      </c>
      <c r="F35" s="291">
        <v>0</v>
      </c>
      <c r="G35" s="291">
        <v>0</v>
      </c>
      <c r="H35" s="291">
        <v>0</v>
      </c>
      <c r="I35" s="291">
        <v>0</v>
      </c>
      <c r="J35" s="291">
        <v>0</v>
      </c>
      <c r="K35" s="291">
        <v>0</v>
      </c>
      <c r="L35" s="291">
        <v>0</v>
      </c>
      <c r="M35" s="307">
        <f t="shared" si="0"/>
        <v>0</v>
      </c>
    </row>
    <row r="36" spans="1:13" ht="13.15">
      <c r="A36" s="2" t="s">
        <v>82</v>
      </c>
      <c r="B36" s="2" t="s">
        <v>217</v>
      </c>
      <c r="C36" s="2" t="s">
        <v>218</v>
      </c>
      <c r="D36" s="2" t="s">
        <v>85</v>
      </c>
      <c r="E36" s="2" t="s">
        <v>79</v>
      </c>
      <c r="F36" s="291">
        <v>0</v>
      </c>
      <c r="G36" s="291">
        <v>0</v>
      </c>
      <c r="H36" s="291">
        <v>0</v>
      </c>
      <c r="I36" s="291">
        <v>1.3117769172526026</v>
      </c>
      <c r="J36" s="291">
        <v>3.6934310023073662</v>
      </c>
      <c r="K36" s="291">
        <v>6.6708010382633161</v>
      </c>
      <c r="L36" s="291">
        <v>4.8363505696262887</v>
      </c>
      <c r="M36" s="307">
        <f t="shared" si="0"/>
        <v>16.512359527449576</v>
      </c>
    </row>
    <row r="37" spans="1:13" ht="13.15">
      <c r="A37" s="2" t="s">
        <v>82</v>
      </c>
      <c r="B37" s="2" t="s">
        <v>219</v>
      </c>
      <c r="C37" s="2" t="s">
        <v>220</v>
      </c>
      <c r="D37" s="2" t="s">
        <v>85</v>
      </c>
      <c r="E37" s="2" t="s">
        <v>79</v>
      </c>
      <c r="F37" s="291">
        <v>0</v>
      </c>
      <c r="G37" s="291">
        <v>0</v>
      </c>
      <c r="H37" s="291">
        <v>1.2364291897625044</v>
      </c>
      <c r="I37" s="291">
        <v>1.2291762717884205</v>
      </c>
      <c r="J37" s="291">
        <v>1.221049656938431</v>
      </c>
      <c r="K37" s="291">
        <v>1.2116392469963884</v>
      </c>
      <c r="L37" s="291">
        <v>1.2033117460256491</v>
      </c>
      <c r="M37" s="307">
        <f t="shared" si="0"/>
        <v>6.1016061115113924</v>
      </c>
    </row>
    <row r="38" spans="1:13" ht="13.15">
      <c r="A38" s="2" t="s">
        <v>82</v>
      </c>
      <c r="B38" s="2" t="s">
        <v>221</v>
      </c>
      <c r="C38" s="2" t="s">
        <v>222</v>
      </c>
      <c r="D38" s="2" t="s">
        <v>85</v>
      </c>
      <c r="E38" s="2" t="s">
        <v>79</v>
      </c>
      <c r="F38" s="291">
        <v>0</v>
      </c>
      <c r="G38" s="291">
        <v>0</v>
      </c>
      <c r="H38" s="291">
        <v>0</v>
      </c>
      <c r="I38" s="291">
        <v>0</v>
      </c>
      <c r="J38" s="291">
        <v>0</v>
      </c>
      <c r="K38" s="291">
        <v>0</v>
      </c>
      <c r="L38" s="291">
        <v>0</v>
      </c>
      <c r="M38" s="307">
        <f t="shared" si="0"/>
        <v>0</v>
      </c>
    </row>
    <row r="39" spans="1:13" ht="13.15">
      <c r="A39" s="2" t="s">
        <v>82</v>
      </c>
      <c r="B39" s="2" t="s">
        <v>223</v>
      </c>
      <c r="C39" s="2" t="s">
        <v>224</v>
      </c>
      <c r="D39" s="2" t="s">
        <v>85</v>
      </c>
      <c r="E39" s="2" t="s">
        <v>79</v>
      </c>
      <c r="F39" s="291">
        <v>0</v>
      </c>
      <c r="G39" s="291">
        <v>0</v>
      </c>
      <c r="H39" s="291">
        <v>12.649592934651391</v>
      </c>
      <c r="I39" s="291">
        <v>42.424556910624496</v>
      </c>
      <c r="J39" s="291">
        <v>72.87370097563381</v>
      </c>
      <c r="K39" s="291">
        <v>87.665139324526123</v>
      </c>
      <c r="L39" s="291">
        <v>57.658045238099142</v>
      </c>
      <c r="M39" s="307">
        <f t="shared" si="0"/>
        <v>273.27103538353498</v>
      </c>
    </row>
    <row r="40" spans="1:13" ht="13.15">
      <c r="A40" s="2" t="s">
        <v>82</v>
      </c>
      <c r="B40" s="2" t="s">
        <v>225</v>
      </c>
      <c r="C40" s="2" t="s">
        <v>226</v>
      </c>
      <c r="D40" s="2" t="s">
        <v>85</v>
      </c>
      <c r="E40" s="2" t="s">
        <v>79</v>
      </c>
      <c r="F40" s="291">
        <v>0</v>
      </c>
      <c r="G40" s="291">
        <v>0</v>
      </c>
      <c r="H40" s="291">
        <v>4.216819013659407</v>
      </c>
      <c r="I40" s="291">
        <v>15.861027288568156</v>
      </c>
      <c r="J40" s="291">
        <v>15.953507956266543</v>
      </c>
      <c r="K40" s="291">
        <v>10.924447228076755</v>
      </c>
      <c r="L40" s="291">
        <v>11.431329135954559</v>
      </c>
      <c r="M40" s="307">
        <f t="shared" si="0"/>
        <v>58.387130622525419</v>
      </c>
    </row>
    <row r="41" spans="1:13" ht="13.15">
      <c r="A41" s="2" t="s">
        <v>82</v>
      </c>
      <c r="B41" s="2" t="s">
        <v>227</v>
      </c>
      <c r="C41" s="2" t="s">
        <v>228</v>
      </c>
      <c r="D41" s="2" t="s">
        <v>85</v>
      </c>
      <c r="E41" s="2" t="s">
        <v>79</v>
      </c>
      <c r="F41" s="291">
        <v>0</v>
      </c>
      <c r="G41" s="291">
        <v>0</v>
      </c>
      <c r="H41" s="291">
        <v>0</v>
      </c>
      <c r="I41" s="291">
        <v>0</v>
      </c>
      <c r="J41" s="291">
        <v>0</v>
      </c>
      <c r="K41" s="291">
        <v>0</v>
      </c>
      <c r="L41" s="291">
        <v>0</v>
      </c>
      <c r="M41" s="307">
        <f t="shared" si="0"/>
        <v>0</v>
      </c>
    </row>
    <row r="42" spans="1:13" ht="13.15">
      <c r="A42" s="2" t="s">
        <v>82</v>
      </c>
      <c r="B42" s="2" t="s">
        <v>229</v>
      </c>
      <c r="C42" s="2" t="s">
        <v>230</v>
      </c>
      <c r="D42" s="2" t="s">
        <v>85</v>
      </c>
      <c r="E42" s="2" t="s">
        <v>79</v>
      </c>
      <c r="F42" s="291">
        <v>0</v>
      </c>
      <c r="G42" s="291">
        <v>0</v>
      </c>
      <c r="H42" s="291">
        <v>3.2619501654103606</v>
      </c>
      <c r="I42" s="291">
        <v>3.244707210780541</v>
      </c>
      <c r="J42" s="291">
        <v>3.2247974631303635</v>
      </c>
      <c r="K42" s="291">
        <v>3.2009819366663019</v>
      </c>
      <c r="L42" s="291">
        <v>3.1803860459934148</v>
      </c>
      <c r="M42" s="307">
        <f t="shared" si="0"/>
        <v>16.112822821980981</v>
      </c>
    </row>
    <row r="43" spans="1:13" ht="13.15">
      <c r="A43" s="2" t="s">
        <v>82</v>
      </c>
      <c r="B43" s="2" t="s">
        <v>231</v>
      </c>
      <c r="C43" s="2" t="s">
        <v>232</v>
      </c>
      <c r="D43" s="2" t="s">
        <v>85</v>
      </c>
      <c r="E43" s="2" t="s">
        <v>79</v>
      </c>
      <c r="F43" s="291">
        <v>0</v>
      </c>
      <c r="G43" s="291">
        <v>0</v>
      </c>
      <c r="H43" s="291">
        <v>3.2238018422916506</v>
      </c>
      <c r="I43" s="291">
        <v>5.0204767211515655</v>
      </c>
      <c r="J43" s="291">
        <v>3.3780149166669262</v>
      </c>
      <c r="K43" s="291">
        <v>0.8329214946070238</v>
      </c>
      <c r="L43" s="291">
        <v>0.44709607242100857</v>
      </c>
      <c r="M43" s="307">
        <f t="shared" si="0"/>
        <v>12.902311047138175</v>
      </c>
    </row>
    <row r="44" spans="1:13" ht="13.15">
      <c r="A44" s="2" t="s">
        <v>82</v>
      </c>
      <c r="B44" s="2" t="s">
        <v>233</v>
      </c>
      <c r="C44" s="2" t="s">
        <v>234</v>
      </c>
      <c r="D44" s="2" t="s">
        <v>85</v>
      </c>
      <c r="E44" s="2" t="s">
        <v>79</v>
      </c>
      <c r="F44" s="291">
        <v>0</v>
      </c>
      <c r="G44" s="291">
        <v>0</v>
      </c>
      <c r="H44" s="291">
        <v>0</v>
      </c>
      <c r="I44" s="291">
        <v>0</v>
      </c>
      <c r="J44" s="291">
        <v>0</v>
      </c>
      <c r="K44" s="291">
        <v>0</v>
      </c>
      <c r="L44" s="291">
        <v>0</v>
      </c>
      <c r="M44" s="307">
        <f t="shared" si="0"/>
        <v>0</v>
      </c>
    </row>
    <row r="45" spans="1:13" ht="13.15">
      <c r="A45" s="2" t="s">
        <v>82</v>
      </c>
      <c r="B45" s="2" t="s">
        <v>235</v>
      </c>
      <c r="C45" s="2" t="s">
        <v>236</v>
      </c>
      <c r="D45" s="2" t="s">
        <v>85</v>
      </c>
      <c r="E45" s="2" t="s">
        <v>79</v>
      </c>
      <c r="F45" s="291">
        <v>0</v>
      </c>
      <c r="G45" s="291">
        <v>0</v>
      </c>
      <c r="H45" s="291">
        <v>2.414423346334849</v>
      </c>
      <c r="I45" s="291">
        <v>8.8567848488394585</v>
      </c>
      <c r="J45" s="291">
        <v>20.853563500890441</v>
      </c>
      <c r="K45" s="291">
        <v>25.935712364538585</v>
      </c>
      <c r="L45" s="291">
        <v>15.540434267090566</v>
      </c>
      <c r="M45" s="307">
        <f t="shared" si="0"/>
        <v>73.60091832769389</v>
      </c>
    </row>
    <row r="46" spans="1:13" ht="13.15">
      <c r="A46" s="2" t="s">
        <v>82</v>
      </c>
      <c r="B46" s="2" t="s">
        <v>237</v>
      </c>
      <c r="C46" s="2" t="s">
        <v>238</v>
      </c>
      <c r="D46" s="2" t="s">
        <v>85</v>
      </c>
      <c r="E46" s="2" t="s">
        <v>79</v>
      </c>
      <c r="F46" s="291">
        <v>0</v>
      </c>
      <c r="G46" s="291">
        <v>0</v>
      </c>
      <c r="H46" s="291">
        <v>0.67087528533639518</v>
      </c>
      <c r="I46" s="291">
        <v>1.0447131589939569</v>
      </c>
      <c r="J46" s="291">
        <v>1.0332138430488962</v>
      </c>
      <c r="K46" s="291">
        <v>0.61443059139068257</v>
      </c>
      <c r="L46" s="291">
        <v>0.15911904880786498</v>
      </c>
      <c r="M46" s="307">
        <f t="shared" si="0"/>
        <v>3.5223519275777955</v>
      </c>
    </row>
    <row r="47" spans="1:13" ht="13.15">
      <c r="A47" s="2" t="s">
        <v>82</v>
      </c>
      <c r="B47" s="2" t="s">
        <v>239</v>
      </c>
      <c r="C47" s="2" t="s">
        <v>240</v>
      </c>
      <c r="D47" s="2" t="s">
        <v>85</v>
      </c>
      <c r="E47" s="2" t="s">
        <v>79</v>
      </c>
      <c r="F47" s="291">
        <v>0</v>
      </c>
      <c r="G47" s="291">
        <v>0</v>
      </c>
      <c r="H47" s="291">
        <v>14.718049467752078</v>
      </c>
      <c r="I47" s="291">
        <v>40.573802840000489</v>
      </c>
      <c r="J47" s="291">
        <v>29.334995114978327</v>
      </c>
      <c r="K47" s="291">
        <v>10.718324919722438</v>
      </c>
      <c r="L47" s="291">
        <v>6.949410399969187</v>
      </c>
      <c r="M47" s="307">
        <f t="shared" si="0"/>
        <v>102.29458274242251</v>
      </c>
    </row>
    <row r="48" spans="1:13" ht="13.15">
      <c r="A48" s="2" t="s">
        <v>106</v>
      </c>
      <c r="B48" s="2" t="s">
        <v>155</v>
      </c>
      <c r="C48" s="2" t="s">
        <v>156</v>
      </c>
      <c r="D48" s="2" t="s">
        <v>85</v>
      </c>
      <c r="E48" s="2" t="s">
        <v>79</v>
      </c>
      <c r="F48" s="291">
        <v>0</v>
      </c>
      <c r="G48" s="291">
        <v>0</v>
      </c>
      <c r="H48" s="291">
        <v>245.05218233216024</v>
      </c>
      <c r="I48" s="291">
        <v>375.5950399137518</v>
      </c>
      <c r="J48" s="291">
        <v>464.10447148957854</v>
      </c>
      <c r="K48" s="291">
        <v>440.16799365815331</v>
      </c>
      <c r="L48" s="291">
        <v>296.02944640673411</v>
      </c>
      <c r="M48" s="307">
        <f t="shared" si="0"/>
        <v>1820.9491338003781</v>
      </c>
    </row>
    <row r="49" spans="1:13" ht="13.15">
      <c r="A49" s="2" t="s">
        <v>106</v>
      </c>
      <c r="B49" s="2" t="s">
        <v>157</v>
      </c>
      <c r="C49" s="2" t="s">
        <v>158</v>
      </c>
      <c r="D49" s="2" t="s">
        <v>85</v>
      </c>
      <c r="E49" s="2" t="s">
        <v>79</v>
      </c>
      <c r="F49" s="291">
        <v>0</v>
      </c>
      <c r="G49" s="291">
        <v>0</v>
      </c>
      <c r="H49" s="291">
        <v>2.4304791769535212</v>
      </c>
      <c r="I49" s="291">
        <v>2.3565502976833876</v>
      </c>
      <c r="J49" s="291">
        <v>0</v>
      </c>
      <c r="K49" s="291">
        <v>0</v>
      </c>
      <c r="L49" s="291">
        <v>0</v>
      </c>
      <c r="M49" s="307">
        <f t="shared" si="0"/>
        <v>4.7870294746369089</v>
      </c>
    </row>
    <row r="50" spans="1:13" ht="13.15">
      <c r="A50" s="2" t="s">
        <v>106</v>
      </c>
      <c r="B50" s="2" t="s">
        <v>159</v>
      </c>
      <c r="C50" s="2" t="s">
        <v>160</v>
      </c>
      <c r="D50" s="2" t="s">
        <v>85</v>
      </c>
      <c r="E50" s="2" t="s">
        <v>79</v>
      </c>
      <c r="F50" s="291">
        <v>0</v>
      </c>
      <c r="G50" s="291">
        <v>0</v>
      </c>
      <c r="H50" s="291">
        <v>0.18817890938107945</v>
      </c>
      <c r="I50" s="291">
        <v>0.18225827971213493</v>
      </c>
      <c r="J50" s="291">
        <v>0</v>
      </c>
      <c r="K50" s="291">
        <v>0</v>
      </c>
      <c r="L50" s="291">
        <v>0</v>
      </c>
      <c r="M50" s="307">
        <f t="shared" si="0"/>
        <v>0.37043718909321438</v>
      </c>
    </row>
    <row r="51" spans="1:13" ht="13.15">
      <c r="A51" s="2" t="s">
        <v>106</v>
      </c>
      <c r="B51" s="2" t="s">
        <v>161</v>
      </c>
      <c r="C51" s="2" t="s">
        <v>162</v>
      </c>
      <c r="D51" s="2" t="s">
        <v>85</v>
      </c>
      <c r="E51" s="2" t="s">
        <v>79</v>
      </c>
      <c r="F51" s="291">
        <v>0</v>
      </c>
      <c r="G51" s="291">
        <v>0</v>
      </c>
      <c r="H51" s="291">
        <v>3.0069008888471429</v>
      </c>
      <c r="I51" s="291">
        <v>2.991006147059684</v>
      </c>
      <c r="J51" s="291">
        <v>0</v>
      </c>
      <c r="K51" s="291">
        <v>0</v>
      </c>
      <c r="L51" s="291">
        <v>0</v>
      </c>
      <c r="M51" s="307">
        <f t="shared" si="0"/>
        <v>5.9979070359068274</v>
      </c>
    </row>
    <row r="52" spans="1:13" ht="13.15">
      <c r="A52" s="2" t="s">
        <v>106</v>
      </c>
      <c r="B52" s="2" t="s">
        <v>163</v>
      </c>
      <c r="C52" s="2" t="s">
        <v>164</v>
      </c>
      <c r="D52" s="2" t="s">
        <v>85</v>
      </c>
      <c r="E52" s="2" t="s">
        <v>79</v>
      </c>
      <c r="F52" s="291">
        <v>0</v>
      </c>
      <c r="G52" s="291">
        <v>0</v>
      </c>
      <c r="H52" s="291">
        <v>3.1550670196019306</v>
      </c>
      <c r="I52" s="291">
        <v>4.7036428684195526</v>
      </c>
      <c r="J52" s="291">
        <v>4.7719111588022987</v>
      </c>
      <c r="K52" s="291">
        <v>3.4490919487297624</v>
      </c>
      <c r="L52" s="291">
        <v>0.55157943102997864</v>
      </c>
      <c r="M52" s="307">
        <f t="shared" si="0"/>
        <v>16.631292426583521</v>
      </c>
    </row>
    <row r="53" spans="1:13" ht="13.15">
      <c r="A53" s="2" t="s">
        <v>106</v>
      </c>
      <c r="B53" s="2" t="s">
        <v>165</v>
      </c>
      <c r="C53" s="2" t="s">
        <v>166</v>
      </c>
      <c r="D53" s="2" t="s">
        <v>85</v>
      </c>
      <c r="E53" s="2" t="s">
        <v>79</v>
      </c>
      <c r="F53" s="291">
        <v>0</v>
      </c>
      <c r="G53" s="291">
        <v>0</v>
      </c>
      <c r="H53" s="291">
        <v>0</v>
      </c>
      <c r="I53" s="291">
        <v>0</v>
      </c>
      <c r="J53" s="291">
        <v>0</v>
      </c>
      <c r="K53" s="291">
        <v>0</v>
      </c>
      <c r="L53" s="291">
        <v>0</v>
      </c>
      <c r="M53" s="307">
        <f t="shared" si="0"/>
        <v>0</v>
      </c>
    </row>
    <row r="54" spans="1:13" ht="13.15">
      <c r="A54" s="2" t="s">
        <v>106</v>
      </c>
      <c r="B54" s="2" t="s">
        <v>167</v>
      </c>
      <c r="C54" s="2" t="s">
        <v>168</v>
      </c>
      <c r="D54" s="2" t="s">
        <v>85</v>
      </c>
      <c r="E54" s="2" t="s">
        <v>79</v>
      </c>
      <c r="F54" s="291">
        <v>0</v>
      </c>
      <c r="G54" s="291">
        <v>0</v>
      </c>
      <c r="H54" s="291">
        <v>109.70807744762634</v>
      </c>
      <c r="I54" s="291">
        <v>196.13912414781248</v>
      </c>
      <c r="J54" s="291">
        <v>285.23835213940322</v>
      </c>
      <c r="K54" s="291">
        <v>279.65119364014527</v>
      </c>
      <c r="L54" s="291">
        <v>201.01550305434287</v>
      </c>
      <c r="M54" s="307">
        <f t="shared" si="0"/>
        <v>1071.7522504293302</v>
      </c>
    </row>
    <row r="55" spans="1:13" ht="13.15">
      <c r="A55" s="2" t="s">
        <v>106</v>
      </c>
      <c r="B55" s="2" t="s">
        <v>169</v>
      </c>
      <c r="C55" s="2" t="s">
        <v>170</v>
      </c>
      <c r="D55" s="2" t="s">
        <v>85</v>
      </c>
      <c r="E55" s="2" t="s">
        <v>79</v>
      </c>
      <c r="F55" s="291">
        <v>0</v>
      </c>
      <c r="G55" s="291">
        <v>0</v>
      </c>
      <c r="H55" s="291">
        <v>0</v>
      </c>
      <c r="I55" s="291">
        <v>0</v>
      </c>
      <c r="J55" s="291">
        <v>0</v>
      </c>
      <c r="K55" s="291">
        <v>0</v>
      </c>
      <c r="L55" s="291">
        <v>0</v>
      </c>
      <c r="M55" s="307">
        <f t="shared" si="0"/>
        <v>0</v>
      </c>
    </row>
    <row r="56" spans="1:13" ht="13.15">
      <c r="A56" s="2" t="s">
        <v>106</v>
      </c>
      <c r="B56" s="2" t="s">
        <v>171</v>
      </c>
      <c r="C56" s="2" t="s">
        <v>172</v>
      </c>
      <c r="D56" s="2" t="s">
        <v>85</v>
      </c>
      <c r="E56" s="2" t="s">
        <v>79</v>
      </c>
      <c r="F56" s="291">
        <v>0</v>
      </c>
      <c r="G56" s="291">
        <v>0</v>
      </c>
      <c r="H56" s="291">
        <v>1.3802432992771263</v>
      </c>
      <c r="I56" s="291">
        <v>1.3382678460470545</v>
      </c>
      <c r="J56" s="291">
        <v>0</v>
      </c>
      <c r="K56" s="291">
        <v>0</v>
      </c>
      <c r="L56" s="291">
        <v>0</v>
      </c>
      <c r="M56" s="307">
        <f t="shared" si="0"/>
        <v>2.7185111453241806</v>
      </c>
    </row>
    <row r="57" spans="1:13" ht="13.15">
      <c r="A57" s="2" t="s">
        <v>106</v>
      </c>
      <c r="B57" s="2" t="s">
        <v>173</v>
      </c>
      <c r="C57" s="2" t="s">
        <v>174</v>
      </c>
      <c r="D57" s="2" t="s">
        <v>85</v>
      </c>
      <c r="E57" s="2" t="s">
        <v>79</v>
      </c>
      <c r="F57" s="291">
        <v>0</v>
      </c>
      <c r="G57" s="291">
        <v>0</v>
      </c>
      <c r="H57" s="291">
        <v>0</v>
      </c>
      <c r="I57" s="291">
        <v>0</v>
      </c>
      <c r="J57" s="291">
        <v>0</v>
      </c>
      <c r="K57" s="291">
        <v>0</v>
      </c>
      <c r="L57" s="291">
        <v>0</v>
      </c>
      <c r="M57" s="307">
        <f t="shared" si="0"/>
        <v>0</v>
      </c>
    </row>
    <row r="58" spans="1:13" ht="13.15">
      <c r="A58" s="2" t="s">
        <v>106</v>
      </c>
      <c r="B58" s="2" t="s">
        <v>175</v>
      </c>
      <c r="C58" s="2" t="s">
        <v>176</v>
      </c>
      <c r="D58" s="2" t="s">
        <v>85</v>
      </c>
      <c r="E58" s="2" t="s">
        <v>79</v>
      </c>
      <c r="F58" s="291">
        <v>0</v>
      </c>
      <c r="G58" s="291">
        <v>0</v>
      </c>
      <c r="H58" s="291">
        <v>0.12380191406649964</v>
      </c>
      <c r="I58" s="291">
        <v>0.12019194662097547</v>
      </c>
      <c r="J58" s="291">
        <v>0</v>
      </c>
      <c r="K58" s="291">
        <v>0</v>
      </c>
      <c r="L58" s="291">
        <v>0</v>
      </c>
      <c r="M58" s="307">
        <f t="shared" si="0"/>
        <v>0.24399386068747511</v>
      </c>
    </row>
    <row r="59" spans="1:13" ht="13.15">
      <c r="A59" s="2" t="s">
        <v>106</v>
      </c>
      <c r="B59" s="2" t="s">
        <v>177</v>
      </c>
      <c r="C59" s="2" t="s">
        <v>178</v>
      </c>
      <c r="D59" s="2" t="s">
        <v>85</v>
      </c>
      <c r="E59" s="2" t="s">
        <v>79</v>
      </c>
      <c r="F59" s="291">
        <v>0</v>
      </c>
      <c r="G59" s="291">
        <v>0</v>
      </c>
      <c r="H59" s="291">
        <v>18.877809887305215</v>
      </c>
      <c r="I59" s="291">
        <v>39.483503681940682</v>
      </c>
      <c r="J59" s="291">
        <v>36.260640689081036</v>
      </c>
      <c r="K59" s="291">
        <v>39.627584436470492</v>
      </c>
      <c r="L59" s="291">
        <v>26.525259686945351</v>
      </c>
      <c r="M59" s="307">
        <f t="shared" si="0"/>
        <v>160.77479838174278</v>
      </c>
    </row>
    <row r="60" spans="1:13" ht="13.15">
      <c r="A60" s="2" t="s">
        <v>106</v>
      </c>
      <c r="B60" s="2" t="s">
        <v>179</v>
      </c>
      <c r="C60" s="2" t="s">
        <v>180</v>
      </c>
      <c r="D60" s="2" t="s">
        <v>85</v>
      </c>
      <c r="E60" s="2" t="s">
        <v>79</v>
      </c>
      <c r="F60" s="291">
        <v>0</v>
      </c>
      <c r="G60" s="291">
        <v>0</v>
      </c>
      <c r="H60" s="291">
        <v>0</v>
      </c>
      <c r="I60" s="291">
        <v>0</v>
      </c>
      <c r="J60" s="291">
        <v>3.6619639966186384</v>
      </c>
      <c r="K60" s="291">
        <v>9.3331914967459184</v>
      </c>
      <c r="L60" s="291">
        <v>6.1840242932702782</v>
      </c>
      <c r="M60" s="307">
        <f t="shared" si="0"/>
        <v>19.179179786634833</v>
      </c>
    </row>
    <row r="61" spans="1:13" ht="13.15">
      <c r="A61" s="2" t="s">
        <v>106</v>
      </c>
      <c r="B61" s="2" t="s">
        <v>181</v>
      </c>
      <c r="C61" s="2" t="s">
        <v>182</v>
      </c>
      <c r="D61" s="2" t="s">
        <v>85</v>
      </c>
      <c r="E61" s="2" t="s">
        <v>79</v>
      </c>
      <c r="F61" s="291">
        <v>0</v>
      </c>
      <c r="G61" s="291">
        <v>0</v>
      </c>
      <c r="H61" s="291">
        <v>45.051995821124564</v>
      </c>
      <c r="I61" s="291">
        <v>54.302942242895412</v>
      </c>
      <c r="J61" s="291">
        <v>23.219220026471437</v>
      </c>
      <c r="K61" s="291">
        <v>13.798595442530019</v>
      </c>
      <c r="L61" s="291">
        <v>11.706691440896025</v>
      </c>
      <c r="M61" s="307">
        <f t="shared" si="0"/>
        <v>148.07944497391748</v>
      </c>
    </row>
    <row r="62" spans="1:13" ht="13.15">
      <c r="A62" s="2" t="s">
        <v>106</v>
      </c>
      <c r="B62" s="2" t="s">
        <v>183</v>
      </c>
      <c r="C62" s="2" t="s">
        <v>184</v>
      </c>
      <c r="D62" s="2" t="s">
        <v>85</v>
      </c>
      <c r="E62" s="2" t="s">
        <v>79</v>
      </c>
      <c r="F62" s="291">
        <v>0</v>
      </c>
      <c r="G62" s="291">
        <v>0</v>
      </c>
      <c r="H62" s="291">
        <v>0</v>
      </c>
      <c r="I62" s="291">
        <v>0</v>
      </c>
      <c r="J62" s="291">
        <v>0</v>
      </c>
      <c r="K62" s="291">
        <v>0</v>
      </c>
      <c r="L62" s="291">
        <v>0</v>
      </c>
      <c r="M62" s="307">
        <f t="shared" si="0"/>
        <v>0</v>
      </c>
    </row>
    <row r="63" spans="1:13" ht="13.15">
      <c r="A63" s="2" t="s">
        <v>106</v>
      </c>
      <c r="B63" s="2" t="s">
        <v>185</v>
      </c>
      <c r="C63" s="2" t="s">
        <v>186</v>
      </c>
      <c r="D63" s="2" t="s">
        <v>85</v>
      </c>
      <c r="E63" s="2" t="s">
        <v>79</v>
      </c>
      <c r="F63" s="291">
        <v>0</v>
      </c>
      <c r="G63" s="291">
        <v>0</v>
      </c>
      <c r="H63" s="291">
        <v>0</v>
      </c>
      <c r="I63" s="291">
        <v>0</v>
      </c>
      <c r="J63" s="291">
        <v>0</v>
      </c>
      <c r="K63" s="291">
        <v>0</v>
      </c>
      <c r="L63" s="291">
        <v>0</v>
      </c>
      <c r="M63" s="307">
        <f t="shared" si="0"/>
        <v>0</v>
      </c>
    </row>
    <row r="64" spans="1:13" ht="13.15">
      <c r="A64" s="2" t="s">
        <v>106</v>
      </c>
      <c r="B64" s="2" t="s">
        <v>187</v>
      </c>
      <c r="C64" s="2" t="s">
        <v>188</v>
      </c>
      <c r="D64" s="2" t="s">
        <v>85</v>
      </c>
      <c r="E64" s="2" t="s">
        <v>79</v>
      </c>
      <c r="F64" s="291">
        <v>0</v>
      </c>
      <c r="G64" s="291">
        <v>0</v>
      </c>
      <c r="H64" s="291">
        <v>0</v>
      </c>
      <c r="I64" s="291">
        <v>0</v>
      </c>
      <c r="J64" s="291">
        <v>0</v>
      </c>
      <c r="K64" s="291">
        <v>0</v>
      </c>
      <c r="L64" s="291">
        <v>0</v>
      </c>
      <c r="M64" s="307">
        <f t="shared" si="0"/>
        <v>0</v>
      </c>
    </row>
    <row r="65" spans="1:13" ht="13.15">
      <c r="A65" s="2" t="s">
        <v>106</v>
      </c>
      <c r="B65" s="2" t="s">
        <v>189</v>
      </c>
      <c r="C65" s="2" t="s">
        <v>190</v>
      </c>
      <c r="D65" s="2" t="s">
        <v>85</v>
      </c>
      <c r="E65" s="2" t="s">
        <v>79</v>
      </c>
      <c r="F65" s="291">
        <v>0</v>
      </c>
      <c r="G65" s="291">
        <v>0</v>
      </c>
      <c r="H65" s="291">
        <v>4.0270286607551</v>
      </c>
      <c r="I65" s="291">
        <v>15.610175362371773</v>
      </c>
      <c r="J65" s="291">
        <v>34.398962334012296</v>
      </c>
      <c r="K65" s="291">
        <v>26.719577280905835</v>
      </c>
      <c r="L65" s="291">
        <v>3.3266651608863378</v>
      </c>
      <c r="M65" s="307">
        <f t="shared" si="0"/>
        <v>84.08240879893134</v>
      </c>
    </row>
    <row r="66" spans="1:13" ht="13.15">
      <c r="A66" s="2" t="s">
        <v>106</v>
      </c>
      <c r="B66" s="2" t="s">
        <v>191</v>
      </c>
      <c r="C66" s="2" t="s">
        <v>192</v>
      </c>
      <c r="D66" s="2" t="s">
        <v>85</v>
      </c>
      <c r="E66" s="2" t="s">
        <v>79</v>
      </c>
      <c r="F66" s="291">
        <v>0</v>
      </c>
      <c r="G66" s="291">
        <v>0</v>
      </c>
      <c r="H66" s="291">
        <v>0</v>
      </c>
      <c r="I66" s="291">
        <v>0</v>
      </c>
      <c r="J66" s="291">
        <v>0</v>
      </c>
      <c r="K66" s="291">
        <v>0</v>
      </c>
      <c r="L66" s="291">
        <v>0</v>
      </c>
      <c r="M66" s="307">
        <f t="shared" si="0"/>
        <v>0</v>
      </c>
    </row>
    <row r="67" spans="1:13" ht="13.15">
      <c r="A67" s="2" t="s">
        <v>106</v>
      </c>
      <c r="B67" s="2" t="s">
        <v>193</v>
      </c>
      <c r="C67" s="2" t="s">
        <v>194</v>
      </c>
      <c r="D67" s="2" t="s">
        <v>85</v>
      </c>
      <c r="E67" s="2" t="s">
        <v>79</v>
      </c>
      <c r="F67" s="291">
        <v>0</v>
      </c>
      <c r="G67" s="291">
        <v>0</v>
      </c>
      <c r="H67" s="291">
        <v>0.74886365790601039</v>
      </c>
      <c r="I67" s="291">
        <v>0.77714472736689411</v>
      </c>
      <c r="J67" s="291">
        <v>0.75045277415056644</v>
      </c>
      <c r="K67" s="291">
        <v>0.5691451683443236</v>
      </c>
      <c r="L67" s="291">
        <v>0.5893221464858871</v>
      </c>
      <c r="M67" s="307">
        <f t="shared" si="0"/>
        <v>3.4349284742536819</v>
      </c>
    </row>
    <row r="68" spans="1:13" ht="13.15">
      <c r="A68" s="2" t="s">
        <v>106</v>
      </c>
      <c r="B68" s="2" t="s">
        <v>195</v>
      </c>
      <c r="C68" s="2" t="s">
        <v>196</v>
      </c>
      <c r="D68" s="2" t="s">
        <v>85</v>
      </c>
      <c r="E68" s="2" t="s">
        <v>79</v>
      </c>
      <c r="F68" s="291">
        <v>0</v>
      </c>
      <c r="G68" s="291">
        <v>0</v>
      </c>
      <c r="H68" s="291">
        <v>0</v>
      </c>
      <c r="I68" s="291">
        <v>0</v>
      </c>
      <c r="J68" s="291">
        <v>0</v>
      </c>
      <c r="K68" s="291">
        <v>0</v>
      </c>
      <c r="L68" s="291">
        <v>0</v>
      </c>
      <c r="M68" s="307">
        <f t="shared" si="0"/>
        <v>0</v>
      </c>
    </row>
    <row r="69" spans="1:13" ht="13.15">
      <c r="A69" s="2" t="s">
        <v>106</v>
      </c>
      <c r="B69" s="2" t="s">
        <v>197</v>
      </c>
      <c r="C69" s="2" t="s">
        <v>198</v>
      </c>
      <c r="D69" s="2" t="s">
        <v>85</v>
      </c>
      <c r="E69" s="2" t="s">
        <v>79</v>
      </c>
      <c r="F69" s="291">
        <v>0</v>
      </c>
      <c r="G69" s="291">
        <v>0</v>
      </c>
      <c r="H69" s="291">
        <v>0</v>
      </c>
      <c r="I69" s="291">
        <v>0</v>
      </c>
      <c r="J69" s="291">
        <v>0</v>
      </c>
      <c r="K69" s="291">
        <v>0</v>
      </c>
      <c r="L69" s="291">
        <v>0</v>
      </c>
      <c r="M69" s="307">
        <f t="shared" ref="M69:M132" si="1">SUM(F69:L69)</f>
        <v>0</v>
      </c>
    </row>
    <row r="70" spans="1:13" ht="13.15">
      <c r="A70" s="2" t="s">
        <v>106</v>
      </c>
      <c r="B70" s="2" t="s">
        <v>199</v>
      </c>
      <c r="C70" s="2" t="s">
        <v>200</v>
      </c>
      <c r="D70" s="2" t="s">
        <v>85</v>
      </c>
      <c r="E70" s="2" t="s">
        <v>79</v>
      </c>
      <c r="F70" s="291">
        <v>0</v>
      </c>
      <c r="G70" s="291">
        <v>0</v>
      </c>
      <c r="H70" s="291">
        <v>9.9797779449929482</v>
      </c>
      <c r="I70" s="291">
        <v>15.595247290374932</v>
      </c>
      <c r="J70" s="291">
        <v>6.0240150267624024</v>
      </c>
      <c r="K70" s="291">
        <v>3.4804461288447128</v>
      </c>
      <c r="L70" s="291">
        <v>2.3951499875320823</v>
      </c>
      <c r="M70" s="307">
        <f t="shared" si="1"/>
        <v>37.474636378507078</v>
      </c>
    </row>
    <row r="71" spans="1:13" ht="13.15">
      <c r="A71" s="2" t="s">
        <v>106</v>
      </c>
      <c r="B71" s="2" t="s">
        <v>201</v>
      </c>
      <c r="C71" s="2" t="s">
        <v>202</v>
      </c>
      <c r="D71" s="2" t="s">
        <v>85</v>
      </c>
      <c r="E71" s="2" t="s">
        <v>79</v>
      </c>
      <c r="F71" s="291">
        <v>0</v>
      </c>
      <c r="G71" s="291">
        <v>0</v>
      </c>
      <c r="H71" s="291">
        <v>0</v>
      </c>
      <c r="I71" s="291">
        <v>0</v>
      </c>
      <c r="J71" s="291">
        <v>0</v>
      </c>
      <c r="K71" s="291">
        <v>0</v>
      </c>
      <c r="L71" s="291">
        <v>0</v>
      </c>
      <c r="M71" s="307">
        <f t="shared" si="1"/>
        <v>0</v>
      </c>
    </row>
    <row r="72" spans="1:13" ht="13.15">
      <c r="A72" s="2" t="s">
        <v>106</v>
      </c>
      <c r="B72" s="2" t="s">
        <v>203</v>
      </c>
      <c r="C72" s="2" t="s">
        <v>204</v>
      </c>
      <c r="D72" s="2" t="s">
        <v>85</v>
      </c>
      <c r="E72" s="2" t="s">
        <v>79</v>
      </c>
      <c r="F72" s="291">
        <v>0</v>
      </c>
      <c r="G72" s="291">
        <v>0</v>
      </c>
      <c r="H72" s="291">
        <v>1.055782723159109</v>
      </c>
      <c r="I72" s="291">
        <v>1.0216315462782914</v>
      </c>
      <c r="J72" s="291">
        <v>0.99773831886481068</v>
      </c>
      <c r="K72" s="291">
        <v>1.0010608394926892</v>
      </c>
      <c r="L72" s="291">
        <v>1.0371083839744346</v>
      </c>
      <c r="M72" s="307">
        <f t="shared" si="1"/>
        <v>5.1133218117693344</v>
      </c>
    </row>
    <row r="73" spans="1:13" ht="13.15">
      <c r="A73" s="2" t="s">
        <v>106</v>
      </c>
      <c r="B73" s="2" t="s">
        <v>205</v>
      </c>
      <c r="C73" s="2" t="s">
        <v>206</v>
      </c>
      <c r="D73" s="2" t="s">
        <v>85</v>
      </c>
      <c r="E73" s="2" t="s">
        <v>79</v>
      </c>
      <c r="F73" s="291">
        <v>0</v>
      </c>
      <c r="G73" s="291">
        <v>0</v>
      </c>
      <c r="H73" s="291">
        <v>0</v>
      </c>
      <c r="I73" s="291">
        <v>0</v>
      </c>
      <c r="J73" s="291">
        <v>0</v>
      </c>
      <c r="K73" s="291">
        <v>0</v>
      </c>
      <c r="L73" s="291">
        <v>0</v>
      </c>
      <c r="M73" s="307">
        <f t="shared" si="1"/>
        <v>0</v>
      </c>
    </row>
    <row r="74" spans="1:13" ht="13.15">
      <c r="A74" s="2" t="s">
        <v>106</v>
      </c>
      <c r="B74" s="2" t="s">
        <v>207</v>
      </c>
      <c r="C74" s="2" t="s">
        <v>208</v>
      </c>
      <c r="D74" s="2" t="s">
        <v>85</v>
      </c>
      <c r="E74" s="2" t="s">
        <v>79</v>
      </c>
      <c r="F74" s="291">
        <v>0</v>
      </c>
      <c r="G74" s="291">
        <v>0</v>
      </c>
      <c r="H74" s="291">
        <v>0</v>
      </c>
      <c r="I74" s="291">
        <v>0</v>
      </c>
      <c r="J74" s="291">
        <v>0</v>
      </c>
      <c r="K74" s="291">
        <v>0</v>
      </c>
      <c r="L74" s="291">
        <v>0</v>
      </c>
      <c r="M74" s="307">
        <f t="shared" si="1"/>
        <v>0</v>
      </c>
    </row>
    <row r="75" spans="1:13" ht="13.15">
      <c r="A75" s="2" t="s">
        <v>106</v>
      </c>
      <c r="B75" s="2" t="s">
        <v>209</v>
      </c>
      <c r="C75" s="2" t="s">
        <v>210</v>
      </c>
      <c r="D75" s="2" t="s">
        <v>85</v>
      </c>
      <c r="E75" s="2" t="s">
        <v>79</v>
      </c>
      <c r="F75" s="291">
        <v>0</v>
      </c>
      <c r="G75" s="291">
        <v>0</v>
      </c>
      <c r="H75" s="291">
        <v>0</v>
      </c>
      <c r="I75" s="291">
        <v>0</v>
      </c>
      <c r="J75" s="291">
        <v>0</v>
      </c>
      <c r="K75" s="291">
        <v>0</v>
      </c>
      <c r="L75" s="291">
        <v>0</v>
      </c>
      <c r="M75" s="307">
        <f t="shared" si="1"/>
        <v>0</v>
      </c>
    </row>
    <row r="76" spans="1:13" ht="13.15">
      <c r="A76" s="2" t="s">
        <v>106</v>
      </c>
      <c r="B76" s="2" t="s">
        <v>211</v>
      </c>
      <c r="C76" s="2" t="s">
        <v>212</v>
      </c>
      <c r="D76" s="2" t="s">
        <v>85</v>
      </c>
      <c r="E76" s="2" t="s">
        <v>79</v>
      </c>
      <c r="F76" s="291">
        <v>0</v>
      </c>
      <c r="G76" s="291">
        <v>0</v>
      </c>
      <c r="H76" s="291">
        <v>2.935064315047931</v>
      </c>
      <c r="I76" s="291">
        <v>5.7092365474664755</v>
      </c>
      <c r="J76" s="291">
        <v>8.4325236124909537</v>
      </c>
      <c r="K76" s="291">
        <v>7.4897120289017485</v>
      </c>
      <c r="L76" s="291">
        <v>5.3623581702840983</v>
      </c>
      <c r="M76" s="307">
        <f t="shared" si="1"/>
        <v>29.928894674191206</v>
      </c>
    </row>
    <row r="77" spans="1:13" ht="13.15">
      <c r="A77" s="2" t="s">
        <v>106</v>
      </c>
      <c r="B77" s="2" t="s">
        <v>213</v>
      </c>
      <c r="C77" s="2" t="s">
        <v>214</v>
      </c>
      <c r="D77" s="2" t="s">
        <v>85</v>
      </c>
      <c r="E77" s="2" t="s">
        <v>79</v>
      </c>
      <c r="F77" s="291">
        <v>0</v>
      </c>
      <c r="G77" s="291">
        <v>0</v>
      </c>
      <c r="H77" s="291">
        <v>2.7926174681174878</v>
      </c>
      <c r="I77" s="291">
        <v>2.7502191979313331</v>
      </c>
      <c r="J77" s="291">
        <v>2.7453755187018247</v>
      </c>
      <c r="K77" s="291">
        <v>2.8011540020943255</v>
      </c>
      <c r="L77" s="291">
        <v>2.9322527616932414</v>
      </c>
      <c r="M77" s="307">
        <f t="shared" si="1"/>
        <v>14.021618948538212</v>
      </c>
    </row>
    <row r="78" spans="1:13" ht="13.15">
      <c r="A78" s="2" t="s">
        <v>106</v>
      </c>
      <c r="B78" s="2" t="s">
        <v>215</v>
      </c>
      <c r="C78" s="2" t="s">
        <v>216</v>
      </c>
      <c r="D78" s="2" t="s">
        <v>85</v>
      </c>
      <c r="E78" s="2" t="s">
        <v>79</v>
      </c>
      <c r="F78" s="291">
        <v>0</v>
      </c>
      <c r="G78" s="291">
        <v>0</v>
      </c>
      <c r="H78" s="291">
        <v>0</v>
      </c>
      <c r="I78" s="291">
        <v>0</v>
      </c>
      <c r="J78" s="291">
        <v>0</v>
      </c>
      <c r="K78" s="291">
        <v>0</v>
      </c>
      <c r="L78" s="291">
        <v>0</v>
      </c>
      <c r="M78" s="307">
        <f t="shared" si="1"/>
        <v>0</v>
      </c>
    </row>
    <row r="79" spans="1:13" ht="13.15">
      <c r="A79" s="2" t="s">
        <v>106</v>
      </c>
      <c r="B79" s="2" t="s">
        <v>217</v>
      </c>
      <c r="C79" s="2" t="s">
        <v>218</v>
      </c>
      <c r="D79" s="2" t="s">
        <v>85</v>
      </c>
      <c r="E79" s="2" t="s">
        <v>79</v>
      </c>
      <c r="F79" s="291">
        <v>0</v>
      </c>
      <c r="G79" s="291">
        <v>0</v>
      </c>
      <c r="H79" s="291">
        <v>1.338409869334116</v>
      </c>
      <c r="I79" s="291">
        <v>2.6026086708339298</v>
      </c>
      <c r="J79" s="291">
        <v>3.8442550559324009</v>
      </c>
      <c r="K79" s="291">
        <v>3.4136239489177451</v>
      </c>
      <c r="L79" s="291">
        <v>2.4447444081653908</v>
      </c>
      <c r="M79" s="307">
        <f t="shared" si="1"/>
        <v>13.643641953183584</v>
      </c>
    </row>
    <row r="80" spans="1:13" ht="13.15">
      <c r="A80" s="2" t="s">
        <v>106</v>
      </c>
      <c r="B80" s="2" t="s">
        <v>219</v>
      </c>
      <c r="C80" s="2" t="s">
        <v>220</v>
      </c>
      <c r="D80" s="2" t="s">
        <v>85</v>
      </c>
      <c r="E80" s="2" t="s">
        <v>79</v>
      </c>
      <c r="F80" s="291">
        <v>0</v>
      </c>
      <c r="G80" s="291">
        <v>0</v>
      </c>
      <c r="H80" s="291">
        <v>0</v>
      </c>
      <c r="I80" s="291">
        <v>0</v>
      </c>
      <c r="J80" s="291">
        <v>0</v>
      </c>
      <c r="K80" s="291">
        <v>0</v>
      </c>
      <c r="L80" s="291">
        <v>0</v>
      </c>
      <c r="M80" s="307">
        <f t="shared" si="1"/>
        <v>0</v>
      </c>
    </row>
    <row r="81" spans="1:13" ht="13.15">
      <c r="A81" s="2" t="s">
        <v>106</v>
      </c>
      <c r="B81" s="2" t="s">
        <v>221</v>
      </c>
      <c r="C81" s="2" t="s">
        <v>222</v>
      </c>
      <c r="D81" s="2" t="s">
        <v>85</v>
      </c>
      <c r="E81" s="2" t="s">
        <v>79</v>
      </c>
      <c r="F81" s="291">
        <v>0</v>
      </c>
      <c r="G81" s="291">
        <v>0</v>
      </c>
      <c r="H81" s="291">
        <v>0.34362840041879528</v>
      </c>
      <c r="I81" s="291">
        <v>1.9868405257188029</v>
      </c>
      <c r="J81" s="291">
        <v>8.1119701328910523</v>
      </c>
      <c r="K81" s="291">
        <v>5.2107272800627893</v>
      </c>
      <c r="L81" s="291">
        <v>2.7828268763287576</v>
      </c>
      <c r="M81" s="307">
        <f t="shared" si="1"/>
        <v>18.435993215420197</v>
      </c>
    </row>
    <row r="82" spans="1:13" ht="13.15">
      <c r="A82" s="2" t="s">
        <v>106</v>
      </c>
      <c r="B82" s="2" t="s">
        <v>223</v>
      </c>
      <c r="C82" s="2" t="s">
        <v>224</v>
      </c>
      <c r="D82" s="2" t="s">
        <v>85</v>
      </c>
      <c r="E82" s="2" t="s">
        <v>79</v>
      </c>
      <c r="F82" s="291">
        <v>0</v>
      </c>
      <c r="G82" s="291">
        <v>0</v>
      </c>
      <c r="H82" s="291">
        <v>12.662261687659075</v>
      </c>
      <c r="I82" s="291">
        <v>13.557651578846032</v>
      </c>
      <c r="J82" s="291">
        <v>23.81764882634965</v>
      </c>
      <c r="K82" s="291">
        <v>21.071261577220678</v>
      </c>
      <c r="L82" s="291">
        <v>14.164930598551383</v>
      </c>
      <c r="M82" s="307">
        <f t="shared" si="1"/>
        <v>85.273754268626817</v>
      </c>
    </row>
    <row r="83" spans="1:13" ht="13.15">
      <c r="A83" s="2" t="s">
        <v>106</v>
      </c>
      <c r="B83" s="2" t="s">
        <v>225</v>
      </c>
      <c r="C83" s="2" t="s">
        <v>226</v>
      </c>
      <c r="D83" s="2" t="s">
        <v>85</v>
      </c>
      <c r="E83" s="2" t="s">
        <v>79</v>
      </c>
      <c r="F83" s="291">
        <v>0</v>
      </c>
      <c r="G83" s="291">
        <v>0</v>
      </c>
      <c r="H83" s="291">
        <v>2.007943398538492</v>
      </c>
      <c r="I83" s="291">
        <v>2.3737795795546823</v>
      </c>
      <c r="J83" s="291">
        <v>1.1175543944565245</v>
      </c>
      <c r="K83" s="291">
        <v>0.70048410256981886</v>
      </c>
      <c r="L83" s="291">
        <v>0.4067865678372814</v>
      </c>
      <c r="M83" s="307">
        <f t="shared" si="1"/>
        <v>6.6065480429567991</v>
      </c>
    </row>
    <row r="84" spans="1:13" ht="13.15">
      <c r="A84" s="2" t="s">
        <v>106</v>
      </c>
      <c r="B84" s="2" t="s">
        <v>227</v>
      </c>
      <c r="C84" s="2" t="s">
        <v>228</v>
      </c>
      <c r="D84" s="2" t="s">
        <v>85</v>
      </c>
      <c r="E84" s="2" t="s">
        <v>79</v>
      </c>
      <c r="F84" s="291">
        <v>0</v>
      </c>
      <c r="G84" s="291">
        <v>0</v>
      </c>
      <c r="H84" s="291">
        <v>5.2690094626702245E-2</v>
      </c>
      <c r="I84" s="291">
        <v>1.6040698974448546</v>
      </c>
      <c r="J84" s="291">
        <v>7.5763489339667647</v>
      </c>
      <c r="K84" s="291">
        <v>5.9413446775754943</v>
      </c>
      <c r="L84" s="291">
        <v>0.12167193331543645</v>
      </c>
      <c r="M84" s="307">
        <f t="shared" si="1"/>
        <v>15.296125536929253</v>
      </c>
    </row>
    <row r="85" spans="1:13" ht="13.15">
      <c r="A85" s="2" t="s">
        <v>106</v>
      </c>
      <c r="B85" s="2" t="s">
        <v>229</v>
      </c>
      <c r="C85" s="2" t="s">
        <v>230</v>
      </c>
      <c r="D85" s="2" t="s">
        <v>85</v>
      </c>
      <c r="E85" s="2" t="s">
        <v>79</v>
      </c>
      <c r="F85" s="291">
        <v>0</v>
      </c>
      <c r="G85" s="291">
        <v>0</v>
      </c>
      <c r="H85" s="291">
        <v>0.7549783488033156</v>
      </c>
      <c r="I85" s="291">
        <v>0.90591145500063719</v>
      </c>
      <c r="J85" s="291">
        <v>2.1467540499651587</v>
      </c>
      <c r="K85" s="291">
        <v>3.4996911127018455</v>
      </c>
      <c r="L85" s="291">
        <v>2.3555210681243732</v>
      </c>
      <c r="M85" s="307">
        <f t="shared" si="1"/>
        <v>9.6628560345953307</v>
      </c>
    </row>
    <row r="86" spans="1:13" ht="13.15">
      <c r="A86" s="2" t="s">
        <v>106</v>
      </c>
      <c r="B86" s="2" t="s">
        <v>231</v>
      </c>
      <c r="C86" s="2" t="s">
        <v>232</v>
      </c>
      <c r="D86" s="2" t="s">
        <v>85</v>
      </c>
      <c r="E86" s="2" t="s">
        <v>79</v>
      </c>
      <c r="F86" s="291">
        <v>0</v>
      </c>
      <c r="G86" s="291">
        <v>0</v>
      </c>
      <c r="H86" s="291">
        <v>0</v>
      </c>
      <c r="I86" s="291">
        <v>0</v>
      </c>
      <c r="J86" s="291">
        <v>0</v>
      </c>
      <c r="K86" s="291">
        <v>0</v>
      </c>
      <c r="L86" s="291">
        <v>0</v>
      </c>
      <c r="M86" s="307">
        <f t="shared" si="1"/>
        <v>0</v>
      </c>
    </row>
    <row r="87" spans="1:13" ht="13.15">
      <c r="A87" s="2" t="s">
        <v>106</v>
      </c>
      <c r="B87" s="2" t="s">
        <v>233</v>
      </c>
      <c r="C87" s="2" t="s">
        <v>234</v>
      </c>
      <c r="D87" s="2" t="s">
        <v>85</v>
      </c>
      <c r="E87" s="2" t="s">
        <v>79</v>
      </c>
      <c r="F87" s="291">
        <v>0</v>
      </c>
      <c r="G87" s="291">
        <v>0</v>
      </c>
      <c r="H87" s="291">
        <v>1.1003514122230487</v>
      </c>
      <c r="I87" s="291">
        <v>1.075816440246764</v>
      </c>
      <c r="J87" s="291">
        <v>1.0711734257488745</v>
      </c>
      <c r="K87" s="291">
        <v>1.0710379078844112</v>
      </c>
      <c r="L87" s="291">
        <v>1.0767000448151718</v>
      </c>
      <c r="M87" s="307">
        <f t="shared" si="1"/>
        <v>5.3950792309182694</v>
      </c>
    </row>
    <row r="88" spans="1:13" ht="13.15">
      <c r="A88" s="2" t="s">
        <v>106</v>
      </c>
      <c r="B88" s="2" t="s">
        <v>235</v>
      </c>
      <c r="C88" s="2" t="s">
        <v>236</v>
      </c>
      <c r="D88" s="2" t="s">
        <v>85</v>
      </c>
      <c r="E88" s="2" t="s">
        <v>79</v>
      </c>
      <c r="F88" s="291">
        <v>0</v>
      </c>
      <c r="G88" s="291">
        <v>0</v>
      </c>
      <c r="H88" s="291">
        <v>6.247482523145548</v>
      </c>
      <c r="I88" s="291">
        <v>7.16797483833379</v>
      </c>
      <c r="J88" s="291">
        <v>7.1125574208660911</v>
      </c>
      <c r="K88" s="291">
        <v>7.1770234168988463</v>
      </c>
      <c r="L88" s="291">
        <v>6.8808236809783736</v>
      </c>
      <c r="M88" s="307">
        <f t="shared" si="1"/>
        <v>34.585861880222652</v>
      </c>
    </row>
    <row r="89" spans="1:13" ht="13.15">
      <c r="A89" s="2" t="s">
        <v>106</v>
      </c>
      <c r="B89" s="2" t="s">
        <v>237</v>
      </c>
      <c r="C89" s="2" t="s">
        <v>238</v>
      </c>
      <c r="D89" s="2" t="s">
        <v>85</v>
      </c>
      <c r="E89" s="2" t="s">
        <v>79</v>
      </c>
      <c r="F89" s="291">
        <v>0</v>
      </c>
      <c r="G89" s="291">
        <v>0</v>
      </c>
      <c r="H89" s="291">
        <v>0.9379975323660722</v>
      </c>
      <c r="I89" s="291">
        <v>1.2392447977912415</v>
      </c>
      <c r="J89" s="291">
        <v>2.8050536540424909</v>
      </c>
      <c r="K89" s="291">
        <v>4.1620472211164845</v>
      </c>
      <c r="L89" s="291">
        <v>4.1695267112772747</v>
      </c>
      <c r="M89" s="307">
        <f t="shared" si="1"/>
        <v>13.313869916593564</v>
      </c>
    </row>
    <row r="90" spans="1:13" ht="13.15">
      <c r="A90" s="2" t="s">
        <v>106</v>
      </c>
      <c r="B90" s="2" t="s">
        <v>239</v>
      </c>
      <c r="C90" s="2" t="s">
        <v>240</v>
      </c>
      <c r="D90" s="2" t="s">
        <v>85</v>
      </c>
      <c r="E90" s="2" t="s">
        <v>79</v>
      </c>
      <c r="F90" s="291">
        <v>0</v>
      </c>
      <c r="G90" s="291">
        <v>0</v>
      </c>
      <c r="H90" s="291">
        <v>14.14474993088305</v>
      </c>
      <c r="I90" s="291">
        <v>0</v>
      </c>
      <c r="J90" s="291">
        <v>0</v>
      </c>
      <c r="K90" s="291">
        <v>0</v>
      </c>
      <c r="L90" s="291">
        <v>0</v>
      </c>
      <c r="M90" s="307">
        <f t="shared" si="1"/>
        <v>14.14474993088305</v>
      </c>
    </row>
    <row r="91" spans="1:13" ht="13.15">
      <c r="A91" s="2" t="s">
        <v>107</v>
      </c>
      <c r="B91" s="2" t="s">
        <v>155</v>
      </c>
      <c r="C91" s="2" t="s">
        <v>156</v>
      </c>
      <c r="D91" s="2" t="s">
        <v>85</v>
      </c>
      <c r="E91" s="2" t="s">
        <v>79</v>
      </c>
      <c r="F91" s="291">
        <v>0</v>
      </c>
      <c r="G91" s="291">
        <v>0</v>
      </c>
      <c r="H91" s="291">
        <v>1.7549806302281359</v>
      </c>
      <c r="I91" s="291">
        <v>3.154733808110731</v>
      </c>
      <c r="J91" s="291">
        <v>7.2597014913090323</v>
      </c>
      <c r="K91" s="291">
        <v>10.155491941599223</v>
      </c>
      <c r="L91" s="291">
        <v>1.9091424302281816</v>
      </c>
      <c r="M91" s="307">
        <f t="shared" si="1"/>
        <v>24.234050301475303</v>
      </c>
    </row>
    <row r="92" spans="1:13" ht="13.15">
      <c r="A92" s="2" t="s">
        <v>107</v>
      </c>
      <c r="B92" s="2" t="s">
        <v>157</v>
      </c>
      <c r="C92" s="2" t="s">
        <v>158</v>
      </c>
      <c r="D92" s="2" t="s">
        <v>85</v>
      </c>
      <c r="E92" s="2" t="s">
        <v>79</v>
      </c>
      <c r="F92" s="291">
        <v>0</v>
      </c>
      <c r="G92" s="291">
        <v>0</v>
      </c>
      <c r="H92" s="291">
        <v>0</v>
      </c>
      <c r="I92" s="291">
        <v>0</v>
      </c>
      <c r="J92" s="291">
        <v>0</v>
      </c>
      <c r="K92" s="291">
        <v>0</v>
      </c>
      <c r="L92" s="291">
        <v>0</v>
      </c>
      <c r="M92" s="307">
        <f t="shared" si="1"/>
        <v>0</v>
      </c>
    </row>
    <row r="93" spans="1:13" ht="13.15">
      <c r="A93" s="2" t="s">
        <v>107</v>
      </c>
      <c r="B93" s="2" t="s">
        <v>159</v>
      </c>
      <c r="C93" s="2" t="s">
        <v>160</v>
      </c>
      <c r="D93" s="2" t="s">
        <v>85</v>
      </c>
      <c r="E93" s="2" t="s">
        <v>79</v>
      </c>
      <c r="F93" s="291">
        <v>0</v>
      </c>
      <c r="G93" s="291">
        <v>0</v>
      </c>
      <c r="H93" s="291">
        <v>2.376996750076793E-2</v>
      </c>
      <c r="I93" s="291">
        <v>1.9703597806717292E-3</v>
      </c>
      <c r="J93" s="291">
        <v>1.9582695169083628E-3</v>
      </c>
      <c r="K93" s="291">
        <v>1.94380745532561E-3</v>
      </c>
      <c r="L93" s="291">
        <v>1.9313005288164515E-3</v>
      </c>
      <c r="M93" s="307">
        <f t="shared" si="1"/>
        <v>3.1573704782490081E-2</v>
      </c>
    </row>
    <row r="94" spans="1:13" ht="13.15">
      <c r="A94" s="2" t="s">
        <v>107</v>
      </c>
      <c r="B94" s="2" t="s">
        <v>161</v>
      </c>
      <c r="C94" s="2" t="s">
        <v>162</v>
      </c>
      <c r="D94" s="2" t="s">
        <v>85</v>
      </c>
      <c r="E94" s="2" t="s">
        <v>79</v>
      </c>
      <c r="F94" s="291">
        <v>0</v>
      </c>
      <c r="G94" s="291">
        <v>0</v>
      </c>
      <c r="H94" s="291">
        <v>0</v>
      </c>
      <c r="I94" s="291">
        <v>0</v>
      </c>
      <c r="J94" s="291">
        <v>0</v>
      </c>
      <c r="K94" s="291">
        <v>0</v>
      </c>
      <c r="L94" s="291">
        <v>0</v>
      </c>
      <c r="M94" s="307">
        <f t="shared" si="1"/>
        <v>0</v>
      </c>
    </row>
    <row r="95" spans="1:13" ht="13.15">
      <c r="A95" s="2" t="s">
        <v>107</v>
      </c>
      <c r="B95" s="2" t="s">
        <v>163</v>
      </c>
      <c r="C95" s="2" t="s">
        <v>164</v>
      </c>
      <c r="D95" s="2" t="s">
        <v>85</v>
      </c>
      <c r="E95" s="2" t="s">
        <v>79</v>
      </c>
      <c r="F95" s="291">
        <v>0</v>
      </c>
      <c r="G95" s="291">
        <v>0</v>
      </c>
      <c r="H95" s="291">
        <v>5.4472842189259851E-2</v>
      </c>
      <c r="I95" s="291">
        <v>5.4184893968472557E-2</v>
      </c>
      <c r="J95" s="291">
        <v>0.13609973142513121</v>
      </c>
      <c r="K95" s="291">
        <v>0.16619553743033966</v>
      </c>
      <c r="L95" s="291">
        <v>0.14098493860360095</v>
      </c>
      <c r="M95" s="307">
        <f t="shared" si="1"/>
        <v>0.55193794361680426</v>
      </c>
    </row>
    <row r="96" spans="1:13" ht="13.15">
      <c r="A96" s="2" t="s">
        <v>107</v>
      </c>
      <c r="B96" s="2" t="s">
        <v>165</v>
      </c>
      <c r="C96" s="2" t="s">
        <v>166</v>
      </c>
      <c r="D96" s="2" t="s">
        <v>85</v>
      </c>
      <c r="E96" s="2" t="s">
        <v>79</v>
      </c>
      <c r="F96" s="291">
        <v>0</v>
      </c>
      <c r="G96" s="291">
        <v>0</v>
      </c>
      <c r="H96" s="291">
        <v>0</v>
      </c>
      <c r="I96" s="291">
        <v>0</v>
      </c>
      <c r="J96" s="291">
        <v>0</v>
      </c>
      <c r="K96" s="291">
        <v>0</v>
      </c>
      <c r="L96" s="291">
        <v>0</v>
      </c>
      <c r="M96" s="307">
        <f t="shared" si="1"/>
        <v>0</v>
      </c>
    </row>
    <row r="97" spans="1:13" ht="13.15">
      <c r="A97" s="2" t="s">
        <v>107</v>
      </c>
      <c r="B97" s="2" t="s">
        <v>167</v>
      </c>
      <c r="C97" s="2" t="s">
        <v>168</v>
      </c>
      <c r="D97" s="2" t="s">
        <v>85</v>
      </c>
      <c r="E97" s="2" t="s">
        <v>79</v>
      </c>
      <c r="F97" s="291">
        <v>0</v>
      </c>
      <c r="G97" s="291">
        <v>0</v>
      </c>
      <c r="H97" s="291">
        <v>0.27038338032123521</v>
      </c>
      <c r="I97" s="291">
        <v>0.88075082196026278</v>
      </c>
      <c r="J97" s="291">
        <v>3.3417869306041208</v>
      </c>
      <c r="K97" s="291">
        <v>5.6409292353549212</v>
      </c>
      <c r="L97" s="291">
        <v>0.91929905171663084</v>
      </c>
      <c r="M97" s="307">
        <f t="shared" si="1"/>
        <v>11.053149419957172</v>
      </c>
    </row>
    <row r="98" spans="1:13" ht="13.15">
      <c r="A98" s="2" t="s">
        <v>107</v>
      </c>
      <c r="B98" s="2" t="s">
        <v>169</v>
      </c>
      <c r="C98" s="2" t="s">
        <v>170</v>
      </c>
      <c r="D98" s="2" t="s">
        <v>85</v>
      </c>
      <c r="E98" s="2" t="s">
        <v>79</v>
      </c>
      <c r="F98" s="291">
        <v>0</v>
      </c>
      <c r="G98" s="291">
        <v>0</v>
      </c>
      <c r="H98" s="291">
        <v>0</v>
      </c>
      <c r="I98" s="291">
        <v>0</v>
      </c>
      <c r="J98" s="291">
        <v>0</v>
      </c>
      <c r="K98" s="291">
        <v>0</v>
      </c>
      <c r="L98" s="291">
        <v>0</v>
      </c>
      <c r="M98" s="307">
        <f t="shared" si="1"/>
        <v>0</v>
      </c>
    </row>
    <row r="99" spans="1:13" ht="13.15">
      <c r="A99" s="2" t="s">
        <v>107</v>
      </c>
      <c r="B99" s="2" t="s">
        <v>171</v>
      </c>
      <c r="C99" s="2" t="s">
        <v>172</v>
      </c>
      <c r="D99" s="2" t="s">
        <v>85</v>
      </c>
      <c r="E99" s="2" t="s">
        <v>79</v>
      </c>
      <c r="F99" s="291">
        <v>0</v>
      </c>
      <c r="G99" s="291">
        <v>0</v>
      </c>
      <c r="H99" s="291">
        <v>0</v>
      </c>
      <c r="I99" s="291">
        <v>0</v>
      </c>
      <c r="J99" s="291">
        <v>0</v>
      </c>
      <c r="K99" s="291">
        <v>0</v>
      </c>
      <c r="L99" s="291">
        <v>0</v>
      </c>
      <c r="M99" s="307">
        <f t="shared" si="1"/>
        <v>0</v>
      </c>
    </row>
    <row r="100" spans="1:13" ht="13.15">
      <c r="A100" s="2" t="s">
        <v>107</v>
      </c>
      <c r="B100" s="2" t="s">
        <v>173</v>
      </c>
      <c r="C100" s="2" t="s">
        <v>174</v>
      </c>
      <c r="D100" s="2" t="s">
        <v>85</v>
      </c>
      <c r="E100" s="2" t="s">
        <v>79</v>
      </c>
      <c r="F100" s="291">
        <v>0</v>
      </c>
      <c r="G100" s="291">
        <v>0</v>
      </c>
      <c r="H100" s="291">
        <v>0</v>
      </c>
      <c r="I100" s="291">
        <v>0</v>
      </c>
      <c r="J100" s="291">
        <v>0</v>
      </c>
      <c r="K100" s="291">
        <v>0</v>
      </c>
      <c r="L100" s="291">
        <v>0</v>
      </c>
      <c r="M100" s="307">
        <f t="shared" si="1"/>
        <v>0</v>
      </c>
    </row>
    <row r="101" spans="1:13" ht="13.15">
      <c r="A101" s="2" t="s">
        <v>107</v>
      </c>
      <c r="B101" s="2" t="s">
        <v>175</v>
      </c>
      <c r="C101" s="2" t="s">
        <v>176</v>
      </c>
      <c r="D101" s="2" t="s">
        <v>85</v>
      </c>
      <c r="E101" s="2" t="s">
        <v>79</v>
      </c>
      <c r="F101" s="291">
        <v>0</v>
      </c>
      <c r="G101" s="291">
        <v>0</v>
      </c>
      <c r="H101" s="291">
        <v>0</v>
      </c>
      <c r="I101" s="291">
        <v>0</v>
      </c>
      <c r="J101" s="291">
        <v>0</v>
      </c>
      <c r="K101" s="291">
        <v>0</v>
      </c>
      <c r="L101" s="291">
        <v>0</v>
      </c>
      <c r="M101" s="307">
        <f t="shared" si="1"/>
        <v>0</v>
      </c>
    </row>
    <row r="102" spans="1:13" ht="13.15">
      <c r="A102" s="2" t="s">
        <v>107</v>
      </c>
      <c r="B102" s="2" t="s">
        <v>177</v>
      </c>
      <c r="C102" s="2" t="s">
        <v>178</v>
      </c>
      <c r="D102" s="2" t="s">
        <v>85</v>
      </c>
      <c r="E102" s="2" t="s">
        <v>79</v>
      </c>
      <c r="F102" s="291">
        <v>0</v>
      </c>
      <c r="G102" s="291">
        <v>0</v>
      </c>
      <c r="H102" s="291">
        <v>0.13697373823951367</v>
      </c>
      <c r="I102" s="291">
        <v>0.70135082748948596</v>
      </c>
      <c r="J102" s="291">
        <v>2.4796236411481987</v>
      </c>
      <c r="K102" s="291">
        <v>3.7558685198394484</v>
      </c>
      <c r="L102" s="291">
        <v>0.74437007959491908</v>
      </c>
      <c r="M102" s="307">
        <f t="shared" si="1"/>
        <v>7.8181868063115658</v>
      </c>
    </row>
    <row r="103" spans="1:13" ht="13.15">
      <c r="A103" s="2" t="s">
        <v>107</v>
      </c>
      <c r="B103" s="2" t="s">
        <v>179</v>
      </c>
      <c r="C103" s="2" t="s">
        <v>180</v>
      </c>
      <c r="D103" s="2" t="s">
        <v>85</v>
      </c>
      <c r="E103" s="2" t="s">
        <v>79</v>
      </c>
      <c r="F103" s="291">
        <v>0</v>
      </c>
      <c r="G103" s="291">
        <v>0</v>
      </c>
      <c r="H103" s="291">
        <v>0</v>
      </c>
      <c r="I103" s="291">
        <v>0</v>
      </c>
      <c r="J103" s="291">
        <v>0</v>
      </c>
      <c r="K103" s="291">
        <v>0</v>
      </c>
      <c r="L103" s="291">
        <v>0</v>
      </c>
      <c r="M103" s="307">
        <f t="shared" si="1"/>
        <v>0</v>
      </c>
    </row>
    <row r="104" spans="1:13" ht="13.15">
      <c r="A104" s="2" t="s">
        <v>107</v>
      </c>
      <c r="B104" s="2" t="s">
        <v>181</v>
      </c>
      <c r="C104" s="2" t="s">
        <v>182</v>
      </c>
      <c r="D104" s="2" t="s">
        <v>85</v>
      </c>
      <c r="E104" s="2" t="s">
        <v>79</v>
      </c>
      <c r="F104" s="291">
        <v>0</v>
      </c>
      <c r="G104" s="291">
        <v>0</v>
      </c>
      <c r="H104" s="291">
        <v>0</v>
      </c>
      <c r="I104" s="291">
        <v>0</v>
      </c>
      <c r="J104" s="291">
        <v>0</v>
      </c>
      <c r="K104" s="291">
        <v>0</v>
      </c>
      <c r="L104" s="291">
        <v>0</v>
      </c>
      <c r="M104" s="307">
        <f t="shared" si="1"/>
        <v>0</v>
      </c>
    </row>
    <row r="105" spans="1:13" ht="13.15">
      <c r="A105" s="2" t="s">
        <v>107</v>
      </c>
      <c r="B105" s="2" t="s">
        <v>183</v>
      </c>
      <c r="C105" s="2" t="s">
        <v>184</v>
      </c>
      <c r="D105" s="2" t="s">
        <v>85</v>
      </c>
      <c r="E105" s="2" t="s">
        <v>79</v>
      </c>
      <c r="F105" s="291">
        <v>0</v>
      </c>
      <c r="G105" s="291">
        <v>0</v>
      </c>
      <c r="H105" s="291">
        <v>0</v>
      </c>
      <c r="I105" s="291">
        <v>0</v>
      </c>
      <c r="J105" s="291">
        <v>0</v>
      </c>
      <c r="K105" s="291">
        <v>0</v>
      </c>
      <c r="L105" s="291">
        <v>0</v>
      </c>
      <c r="M105" s="307">
        <f t="shared" si="1"/>
        <v>0</v>
      </c>
    </row>
    <row r="106" spans="1:13" ht="13.15">
      <c r="A106" s="2" t="s">
        <v>107</v>
      </c>
      <c r="B106" s="2" t="s">
        <v>185</v>
      </c>
      <c r="C106" s="2" t="s">
        <v>186</v>
      </c>
      <c r="D106" s="2" t="s">
        <v>85</v>
      </c>
      <c r="E106" s="2" t="s">
        <v>79</v>
      </c>
      <c r="F106" s="291">
        <v>0</v>
      </c>
      <c r="G106" s="291">
        <v>0</v>
      </c>
      <c r="H106" s="291">
        <v>0</v>
      </c>
      <c r="I106" s="291">
        <v>0</v>
      </c>
      <c r="J106" s="291">
        <v>0</v>
      </c>
      <c r="K106" s="291">
        <v>0</v>
      </c>
      <c r="L106" s="291">
        <v>0</v>
      </c>
      <c r="M106" s="307">
        <f t="shared" si="1"/>
        <v>0</v>
      </c>
    </row>
    <row r="107" spans="1:13" ht="13.15">
      <c r="A107" s="2" t="s">
        <v>107</v>
      </c>
      <c r="B107" s="2" t="s">
        <v>187</v>
      </c>
      <c r="C107" s="2" t="s">
        <v>188</v>
      </c>
      <c r="D107" s="2" t="s">
        <v>85</v>
      </c>
      <c r="E107" s="2" t="s">
        <v>79</v>
      </c>
      <c r="F107" s="291">
        <v>0</v>
      </c>
      <c r="G107" s="291">
        <v>0</v>
      </c>
      <c r="H107" s="291">
        <v>0</v>
      </c>
      <c r="I107" s="291">
        <v>0</v>
      </c>
      <c r="J107" s="291">
        <v>0</v>
      </c>
      <c r="K107" s="291">
        <v>0</v>
      </c>
      <c r="L107" s="291">
        <v>0</v>
      </c>
      <c r="M107" s="307">
        <f t="shared" si="1"/>
        <v>0</v>
      </c>
    </row>
    <row r="108" spans="1:13" ht="13.15">
      <c r="A108" s="2" t="s">
        <v>107</v>
      </c>
      <c r="B108" s="2" t="s">
        <v>189</v>
      </c>
      <c r="C108" s="2" t="s">
        <v>190</v>
      </c>
      <c r="D108" s="2" t="s">
        <v>85</v>
      </c>
      <c r="E108" s="2" t="s">
        <v>79</v>
      </c>
      <c r="F108" s="291">
        <v>0</v>
      </c>
      <c r="G108" s="291">
        <v>0</v>
      </c>
      <c r="H108" s="291">
        <v>0</v>
      </c>
      <c r="I108" s="291">
        <v>0</v>
      </c>
      <c r="J108" s="291">
        <v>0</v>
      </c>
      <c r="K108" s="291">
        <v>0</v>
      </c>
      <c r="L108" s="291">
        <v>0</v>
      </c>
      <c r="M108" s="307">
        <f t="shared" si="1"/>
        <v>0</v>
      </c>
    </row>
    <row r="109" spans="1:13" ht="13.15">
      <c r="A109" s="2" t="s">
        <v>107</v>
      </c>
      <c r="B109" s="2" t="s">
        <v>191</v>
      </c>
      <c r="C109" s="2" t="s">
        <v>192</v>
      </c>
      <c r="D109" s="2" t="s">
        <v>85</v>
      </c>
      <c r="E109" s="2" t="s">
        <v>79</v>
      </c>
      <c r="F109" s="291">
        <v>0</v>
      </c>
      <c r="G109" s="291">
        <v>0</v>
      </c>
      <c r="H109" s="291">
        <v>0</v>
      </c>
      <c r="I109" s="291">
        <v>0</v>
      </c>
      <c r="J109" s="291">
        <v>0</v>
      </c>
      <c r="K109" s="291">
        <v>0</v>
      </c>
      <c r="L109" s="291">
        <v>0</v>
      </c>
      <c r="M109" s="307">
        <f t="shared" si="1"/>
        <v>0</v>
      </c>
    </row>
    <row r="110" spans="1:13" ht="13.15">
      <c r="A110" s="2" t="s">
        <v>107</v>
      </c>
      <c r="B110" s="2" t="s">
        <v>193</v>
      </c>
      <c r="C110" s="2" t="s">
        <v>194</v>
      </c>
      <c r="D110" s="2" t="s">
        <v>85</v>
      </c>
      <c r="E110" s="2" t="s">
        <v>79</v>
      </c>
      <c r="F110" s="291">
        <v>0</v>
      </c>
      <c r="G110" s="291">
        <v>0</v>
      </c>
      <c r="H110" s="291">
        <v>0.2030351390690594</v>
      </c>
      <c r="I110" s="291">
        <v>0.59406347387252623</v>
      </c>
      <c r="J110" s="291">
        <v>0.85674291364740862</v>
      </c>
      <c r="K110" s="291">
        <v>6.8033260936396348E-2</v>
      </c>
      <c r="L110" s="291">
        <v>1.7381704759348061E-2</v>
      </c>
      <c r="M110" s="307">
        <f t="shared" si="1"/>
        <v>1.7392564922847384</v>
      </c>
    </row>
    <row r="111" spans="1:13" ht="13.15">
      <c r="A111" s="2" t="s">
        <v>107</v>
      </c>
      <c r="B111" s="2" t="s">
        <v>195</v>
      </c>
      <c r="C111" s="2" t="s">
        <v>196</v>
      </c>
      <c r="D111" s="2" t="s">
        <v>85</v>
      </c>
      <c r="E111" s="2" t="s">
        <v>79</v>
      </c>
      <c r="F111" s="291">
        <v>0</v>
      </c>
      <c r="G111" s="291">
        <v>0</v>
      </c>
      <c r="H111" s="291">
        <v>0</v>
      </c>
      <c r="I111" s="291">
        <v>0</v>
      </c>
      <c r="J111" s="291">
        <v>0</v>
      </c>
      <c r="K111" s="291">
        <v>0</v>
      </c>
      <c r="L111" s="291">
        <v>0</v>
      </c>
      <c r="M111" s="307">
        <f t="shared" si="1"/>
        <v>0</v>
      </c>
    </row>
    <row r="112" spans="1:13" ht="13.15">
      <c r="A112" s="2" t="s">
        <v>107</v>
      </c>
      <c r="B112" s="2" t="s">
        <v>197</v>
      </c>
      <c r="C112" s="2" t="s">
        <v>198</v>
      </c>
      <c r="D112" s="2" t="s">
        <v>85</v>
      </c>
      <c r="E112" s="2" t="s">
        <v>79</v>
      </c>
      <c r="F112" s="291">
        <v>0</v>
      </c>
      <c r="G112" s="291">
        <v>0</v>
      </c>
      <c r="H112" s="291">
        <v>0</v>
      </c>
      <c r="I112" s="291">
        <v>0</v>
      </c>
      <c r="J112" s="291">
        <v>0</v>
      </c>
      <c r="K112" s="291">
        <v>0</v>
      </c>
      <c r="L112" s="291">
        <v>0</v>
      </c>
      <c r="M112" s="307">
        <f t="shared" si="1"/>
        <v>0</v>
      </c>
    </row>
    <row r="113" spans="1:13" ht="13.15">
      <c r="A113" s="2" t="s">
        <v>107</v>
      </c>
      <c r="B113" s="2" t="s">
        <v>199</v>
      </c>
      <c r="C113" s="2" t="s">
        <v>200</v>
      </c>
      <c r="D113" s="2" t="s">
        <v>85</v>
      </c>
      <c r="E113" s="2" t="s">
        <v>79</v>
      </c>
      <c r="F113" s="291">
        <v>0</v>
      </c>
      <c r="G113" s="291">
        <v>0</v>
      </c>
      <c r="H113" s="291">
        <v>0.38230031063735087</v>
      </c>
      <c r="I113" s="291">
        <v>0.38224979745031545</v>
      </c>
      <c r="J113" s="291">
        <v>0.3505302435265969</v>
      </c>
      <c r="K113" s="291">
        <v>0</v>
      </c>
      <c r="L113" s="291">
        <v>0</v>
      </c>
      <c r="M113" s="307">
        <f t="shared" si="1"/>
        <v>1.1150803516142633</v>
      </c>
    </row>
    <row r="114" spans="1:13" ht="13.15">
      <c r="A114" s="2" t="s">
        <v>107</v>
      </c>
      <c r="B114" s="2" t="s">
        <v>201</v>
      </c>
      <c r="C114" s="2" t="s">
        <v>202</v>
      </c>
      <c r="D114" s="2" t="s">
        <v>85</v>
      </c>
      <c r="E114" s="2" t="s">
        <v>79</v>
      </c>
      <c r="F114" s="291">
        <v>0</v>
      </c>
      <c r="G114" s="291">
        <v>0</v>
      </c>
      <c r="H114" s="291">
        <v>0</v>
      </c>
      <c r="I114" s="291">
        <v>0</v>
      </c>
      <c r="J114" s="291">
        <v>0</v>
      </c>
      <c r="K114" s="291">
        <v>0</v>
      </c>
      <c r="L114" s="291">
        <v>0</v>
      </c>
      <c r="M114" s="307">
        <f t="shared" si="1"/>
        <v>0</v>
      </c>
    </row>
    <row r="115" spans="1:13" ht="13.15">
      <c r="A115" s="2" t="s">
        <v>107</v>
      </c>
      <c r="B115" s="2" t="s">
        <v>203</v>
      </c>
      <c r="C115" s="2" t="s">
        <v>204</v>
      </c>
      <c r="D115" s="2" t="s">
        <v>85</v>
      </c>
      <c r="E115" s="2" t="s">
        <v>79</v>
      </c>
      <c r="F115" s="291">
        <v>0</v>
      </c>
      <c r="G115" s="291">
        <v>0</v>
      </c>
      <c r="H115" s="291">
        <v>0</v>
      </c>
      <c r="I115" s="291">
        <v>0</v>
      </c>
      <c r="J115" s="291">
        <v>0</v>
      </c>
      <c r="K115" s="291">
        <v>0</v>
      </c>
      <c r="L115" s="291">
        <v>0</v>
      </c>
      <c r="M115" s="307">
        <f t="shared" si="1"/>
        <v>0</v>
      </c>
    </row>
    <row r="116" spans="1:13" ht="13.15">
      <c r="A116" s="2" t="s">
        <v>107</v>
      </c>
      <c r="B116" s="2" t="s">
        <v>205</v>
      </c>
      <c r="C116" s="2" t="s">
        <v>206</v>
      </c>
      <c r="D116" s="2" t="s">
        <v>85</v>
      </c>
      <c r="E116" s="2" t="s">
        <v>79</v>
      </c>
      <c r="F116" s="291">
        <v>0</v>
      </c>
      <c r="G116" s="291">
        <v>0</v>
      </c>
      <c r="H116" s="291">
        <v>0</v>
      </c>
      <c r="I116" s="291">
        <v>0</v>
      </c>
      <c r="J116" s="291">
        <v>0</v>
      </c>
      <c r="K116" s="291">
        <v>0</v>
      </c>
      <c r="L116" s="291">
        <v>0</v>
      </c>
      <c r="M116" s="307">
        <f t="shared" si="1"/>
        <v>0</v>
      </c>
    </row>
    <row r="117" spans="1:13" ht="13.15">
      <c r="A117" s="2" t="s">
        <v>107</v>
      </c>
      <c r="B117" s="2" t="s">
        <v>207</v>
      </c>
      <c r="C117" s="2" t="s">
        <v>208</v>
      </c>
      <c r="D117" s="2" t="s">
        <v>85</v>
      </c>
      <c r="E117" s="2" t="s">
        <v>79</v>
      </c>
      <c r="F117" s="291">
        <v>0</v>
      </c>
      <c r="G117" s="291">
        <v>0</v>
      </c>
      <c r="H117" s="291">
        <v>0</v>
      </c>
      <c r="I117" s="291">
        <v>0</v>
      </c>
      <c r="J117" s="291">
        <v>0</v>
      </c>
      <c r="K117" s="291">
        <v>0</v>
      </c>
      <c r="L117" s="291">
        <v>0</v>
      </c>
      <c r="M117" s="307">
        <f t="shared" si="1"/>
        <v>0</v>
      </c>
    </row>
    <row r="118" spans="1:13" ht="13.15">
      <c r="A118" s="2" t="s">
        <v>107</v>
      </c>
      <c r="B118" s="2" t="s">
        <v>209</v>
      </c>
      <c r="C118" s="2" t="s">
        <v>210</v>
      </c>
      <c r="D118" s="2" t="s">
        <v>85</v>
      </c>
      <c r="E118" s="2" t="s">
        <v>79</v>
      </c>
      <c r="F118" s="291">
        <v>0</v>
      </c>
      <c r="G118" s="291">
        <v>0</v>
      </c>
      <c r="H118" s="291">
        <v>0</v>
      </c>
      <c r="I118" s="291">
        <v>0</v>
      </c>
      <c r="J118" s="291">
        <v>0</v>
      </c>
      <c r="K118" s="291">
        <v>0</v>
      </c>
      <c r="L118" s="291">
        <v>0</v>
      </c>
      <c r="M118" s="307">
        <f t="shared" si="1"/>
        <v>0</v>
      </c>
    </row>
    <row r="119" spans="1:13" ht="13.15">
      <c r="A119" s="2" t="s">
        <v>107</v>
      </c>
      <c r="B119" s="2" t="s">
        <v>211</v>
      </c>
      <c r="C119" s="2" t="s">
        <v>212</v>
      </c>
      <c r="D119" s="2" t="s">
        <v>85</v>
      </c>
      <c r="E119" s="2" t="s">
        <v>79</v>
      </c>
      <c r="F119" s="291">
        <v>0</v>
      </c>
      <c r="G119" s="291">
        <v>0</v>
      </c>
      <c r="H119" s="291">
        <v>0</v>
      </c>
      <c r="I119" s="291">
        <v>0</v>
      </c>
      <c r="J119" s="291">
        <v>0</v>
      </c>
      <c r="K119" s="291">
        <v>0</v>
      </c>
      <c r="L119" s="291">
        <v>0</v>
      </c>
      <c r="M119" s="307">
        <f t="shared" si="1"/>
        <v>0</v>
      </c>
    </row>
    <row r="120" spans="1:13" ht="13.15">
      <c r="A120" s="2" t="s">
        <v>107</v>
      </c>
      <c r="B120" s="2" t="s">
        <v>213</v>
      </c>
      <c r="C120" s="2" t="s">
        <v>214</v>
      </c>
      <c r="D120" s="2" t="s">
        <v>85</v>
      </c>
      <c r="E120" s="2" t="s">
        <v>79</v>
      </c>
      <c r="F120" s="291">
        <v>0</v>
      </c>
      <c r="G120" s="291">
        <v>0</v>
      </c>
      <c r="H120" s="291">
        <v>0</v>
      </c>
      <c r="I120" s="291">
        <v>0</v>
      </c>
      <c r="J120" s="291">
        <v>0</v>
      </c>
      <c r="K120" s="291">
        <v>0</v>
      </c>
      <c r="L120" s="291">
        <v>0</v>
      </c>
      <c r="M120" s="307">
        <f t="shared" si="1"/>
        <v>0</v>
      </c>
    </row>
    <row r="121" spans="1:13" ht="13.15">
      <c r="A121" s="2" t="s">
        <v>107</v>
      </c>
      <c r="B121" s="2" t="s">
        <v>215</v>
      </c>
      <c r="C121" s="2" t="s">
        <v>216</v>
      </c>
      <c r="D121" s="2" t="s">
        <v>85</v>
      </c>
      <c r="E121" s="2" t="s">
        <v>79</v>
      </c>
      <c r="F121" s="291">
        <v>0</v>
      </c>
      <c r="G121" s="291">
        <v>0</v>
      </c>
      <c r="H121" s="291">
        <v>0</v>
      </c>
      <c r="I121" s="291">
        <v>0</v>
      </c>
      <c r="J121" s="291">
        <v>0</v>
      </c>
      <c r="K121" s="291">
        <v>0</v>
      </c>
      <c r="L121" s="291">
        <v>0</v>
      </c>
      <c r="M121" s="307">
        <f t="shared" si="1"/>
        <v>0</v>
      </c>
    </row>
    <row r="122" spans="1:13" ht="13.15">
      <c r="A122" s="2" t="s">
        <v>107</v>
      </c>
      <c r="B122" s="2" t="s">
        <v>217</v>
      </c>
      <c r="C122" s="2" t="s">
        <v>218</v>
      </c>
      <c r="D122" s="2" t="s">
        <v>85</v>
      </c>
      <c r="E122" s="2" t="s">
        <v>79</v>
      </c>
      <c r="F122" s="291">
        <v>0</v>
      </c>
      <c r="G122" s="291">
        <v>0</v>
      </c>
      <c r="H122" s="291">
        <v>0</v>
      </c>
      <c r="I122" s="291">
        <v>0</v>
      </c>
      <c r="J122" s="291">
        <v>0</v>
      </c>
      <c r="K122" s="291">
        <v>0</v>
      </c>
      <c r="L122" s="291">
        <v>0</v>
      </c>
      <c r="M122" s="307">
        <f t="shared" si="1"/>
        <v>0</v>
      </c>
    </row>
    <row r="123" spans="1:13" ht="13.15">
      <c r="A123" s="2" t="s">
        <v>107</v>
      </c>
      <c r="B123" s="2" t="s">
        <v>219</v>
      </c>
      <c r="C123" s="2" t="s">
        <v>220</v>
      </c>
      <c r="D123" s="2" t="s">
        <v>85</v>
      </c>
      <c r="E123" s="2" t="s">
        <v>79</v>
      </c>
      <c r="F123" s="291">
        <v>0</v>
      </c>
      <c r="G123" s="291">
        <v>0</v>
      </c>
      <c r="H123" s="291">
        <v>0</v>
      </c>
      <c r="I123" s="291">
        <v>0</v>
      </c>
      <c r="J123" s="291">
        <v>0</v>
      </c>
      <c r="K123" s="291">
        <v>0</v>
      </c>
      <c r="L123" s="291">
        <v>0</v>
      </c>
      <c r="M123" s="307">
        <f t="shared" si="1"/>
        <v>0</v>
      </c>
    </row>
    <row r="124" spans="1:13" ht="13.15">
      <c r="A124" s="2" t="s">
        <v>107</v>
      </c>
      <c r="B124" s="2" t="s">
        <v>221</v>
      </c>
      <c r="C124" s="2" t="s">
        <v>222</v>
      </c>
      <c r="D124" s="2" t="s">
        <v>85</v>
      </c>
      <c r="E124" s="2" t="s">
        <v>79</v>
      </c>
      <c r="F124" s="291">
        <v>0</v>
      </c>
      <c r="G124" s="291">
        <v>0</v>
      </c>
      <c r="H124" s="291">
        <v>0</v>
      </c>
      <c r="I124" s="291">
        <v>0</v>
      </c>
      <c r="J124" s="291">
        <v>0</v>
      </c>
      <c r="K124" s="291">
        <v>0</v>
      </c>
      <c r="L124" s="291">
        <v>0</v>
      </c>
      <c r="M124" s="307">
        <f t="shared" si="1"/>
        <v>0</v>
      </c>
    </row>
    <row r="125" spans="1:13" ht="13.15">
      <c r="A125" s="2" t="s">
        <v>107</v>
      </c>
      <c r="B125" s="2" t="s">
        <v>223</v>
      </c>
      <c r="C125" s="2" t="s">
        <v>224</v>
      </c>
      <c r="D125" s="2" t="s">
        <v>85</v>
      </c>
      <c r="E125" s="2" t="s">
        <v>79</v>
      </c>
      <c r="F125" s="291">
        <v>0</v>
      </c>
      <c r="G125" s="291">
        <v>0</v>
      </c>
      <c r="H125" s="291">
        <v>0.19709264357221593</v>
      </c>
      <c r="I125" s="291">
        <v>0.19703597444656273</v>
      </c>
      <c r="J125" s="291">
        <v>1.4687021106933181E-2</v>
      </c>
      <c r="K125" s="291">
        <v>0.44318809167049117</v>
      </c>
      <c r="L125" s="291">
        <v>9.6565024666403904E-3</v>
      </c>
      <c r="M125" s="307">
        <f t="shared" si="1"/>
        <v>0.86166023326284336</v>
      </c>
    </row>
    <row r="126" spans="1:13" ht="13.15">
      <c r="A126" s="2" t="s">
        <v>107</v>
      </c>
      <c r="B126" s="2" t="s">
        <v>225</v>
      </c>
      <c r="C126" s="2" t="s">
        <v>226</v>
      </c>
      <c r="D126" s="2" t="s">
        <v>85</v>
      </c>
      <c r="E126" s="2" t="s">
        <v>79</v>
      </c>
      <c r="F126" s="291">
        <v>0</v>
      </c>
      <c r="G126" s="291">
        <v>0</v>
      </c>
      <c r="H126" s="291">
        <v>0</v>
      </c>
      <c r="I126" s="291">
        <v>0</v>
      </c>
      <c r="J126" s="291">
        <v>0</v>
      </c>
      <c r="K126" s="291">
        <v>0</v>
      </c>
      <c r="L126" s="291">
        <v>0</v>
      </c>
      <c r="M126" s="307">
        <f t="shared" si="1"/>
        <v>0</v>
      </c>
    </row>
    <row r="127" spans="1:13" ht="13.15">
      <c r="A127" s="2" t="s">
        <v>107</v>
      </c>
      <c r="B127" s="2" t="s">
        <v>227</v>
      </c>
      <c r="C127" s="2" t="s">
        <v>228</v>
      </c>
      <c r="D127" s="2" t="s">
        <v>85</v>
      </c>
      <c r="E127" s="2" t="s">
        <v>79</v>
      </c>
      <c r="F127" s="291">
        <v>0</v>
      </c>
      <c r="G127" s="291">
        <v>0</v>
      </c>
      <c r="H127" s="291">
        <v>0</v>
      </c>
      <c r="I127" s="291">
        <v>0</v>
      </c>
      <c r="J127" s="291">
        <v>0</v>
      </c>
      <c r="K127" s="291">
        <v>0</v>
      </c>
      <c r="L127" s="291">
        <v>0</v>
      </c>
      <c r="M127" s="307">
        <f t="shared" si="1"/>
        <v>0</v>
      </c>
    </row>
    <row r="128" spans="1:13" ht="13.15">
      <c r="A128" s="2" t="s">
        <v>107</v>
      </c>
      <c r="B128" s="2" t="s">
        <v>229</v>
      </c>
      <c r="C128" s="2" t="s">
        <v>230</v>
      </c>
      <c r="D128" s="2" t="s">
        <v>85</v>
      </c>
      <c r="E128" s="2" t="s">
        <v>79</v>
      </c>
      <c r="F128" s="291">
        <v>0</v>
      </c>
      <c r="G128" s="291">
        <v>0</v>
      </c>
      <c r="H128" s="291">
        <v>0</v>
      </c>
      <c r="I128" s="291">
        <v>5.1273007180130413E-2</v>
      </c>
      <c r="J128" s="291">
        <v>5.0958392465178498E-2</v>
      </c>
      <c r="K128" s="291">
        <v>5.0582058460269419E-2</v>
      </c>
      <c r="L128" s="291">
        <v>5.0256601282856458E-2</v>
      </c>
      <c r="M128" s="307">
        <f t="shared" si="1"/>
        <v>0.20307005938843481</v>
      </c>
    </row>
    <row r="129" spans="1:13" ht="13.15">
      <c r="A129" s="2" t="s">
        <v>107</v>
      </c>
      <c r="B129" s="2" t="s">
        <v>231</v>
      </c>
      <c r="C129" s="2" t="s">
        <v>232</v>
      </c>
      <c r="D129" s="2" t="s">
        <v>85</v>
      </c>
      <c r="E129" s="2" t="s">
        <v>79</v>
      </c>
      <c r="F129" s="291">
        <v>0</v>
      </c>
      <c r="G129" s="291">
        <v>0</v>
      </c>
      <c r="H129" s="291">
        <v>0</v>
      </c>
      <c r="I129" s="291">
        <v>0</v>
      </c>
      <c r="J129" s="291">
        <v>0</v>
      </c>
      <c r="K129" s="291">
        <v>0</v>
      </c>
      <c r="L129" s="291">
        <v>0</v>
      </c>
      <c r="M129" s="307">
        <f t="shared" si="1"/>
        <v>0</v>
      </c>
    </row>
    <row r="130" spans="1:13" ht="13.15">
      <c r="A130" s="2" t="s">
        <v>107</v>
      </c>
      <c r="B130" s="2" t="s">
        <v>233</v>
      </c>
      <c r="C130" s="2" t="s">
        <v>234</v>
      </c>
      <c r="D130" s="2" t="s">
        <v>85</v>
      </c>
      <c r="E130" s="2" t="s">
        <v>79</v>
      </c>
      <c r="F130" s="291">
        <v>0</v>
      </c>
      <c r="G130" s="291">
        <v>0</v>
      </c>
      <c r="H130" s="291">
        <v>0</v>
      </c>
      <c r="I130" s="291">
        <v>0</v>
      </c>
      <c r="J130" s="291">
        <v>0</v>
      </c>
      <c r="K130" s="291">
        <v>0</v>
      </c>
      <c r="L130" s="291">
        <v>0</v>
      </c>
      <c r="M130" s="307">
        <f t="shared" si="1"/>
        <v>0</v>
      </c>
    </row>
    <row r="131" spans="1:13" ht="13.15">
      <c r="A131" s="2" t="s">
        <v>107</v>
      </c>
      <c r="B131" s="2" t="s">
        <v>235</v>
      </c>
      <c r="C131" s="2" t="s">
        <v>236</v>
      </c>
      <c r="D131" s="2" t="s">
        <v>85</v>
      </c>
      <c r="E131" s="2" t="s">
        <v>79</v>
      </c>
      <c r="F131" s="291">
        <v>0</v>
      </c>
      <c r="G131" s="291">
        <v>0</v>
      </c>
      <c r="H131" s="291">
        <v>0.48676192930499446</v>
      </c>
      <c r="I131" s="291">
        <v>0.29123214055063834</v>
      </c>
      <c r="J131" s="291">
        <v>2.4956276500346174E-2</v>
      </c>
      <c r="K131" s="291">
        <v>2.4771971324522361E-2</v>
      </c>
      <c r="L131" s="291">
        <v>2.4612582479709599E-2</v>
      </c>
      <c r="M131" s="307">
        <f t="shared" si="1"/>
        <v>0.85233490016021096</v>
      </c>
    </row>
    <row r="132" spans="1:13" ht="13.15">
      <c r="A132" s="2" t="s">
        <v>107</v>
      </c>
      <c r="B132" s="2" t="s">
        <v>237</v>
      </c>
      <c r="C132" s="2" t="s">
        <v>238</v>
      </c>
      <c r="D132" s="2" t="s">
        <v>85</v>
      </c>
      <c r="E132" s="2" t="s">
        <v>79</v>
      </c>
      <c r="F132" s="291">
        <v>0</v>
      </c>
      <c r="G132" s="291">
        <v>0</v>
      </c>
      <c r="H132" s="291">
        <v>1.9067939373852979E-4</v>
      </c>
      <c r="I132" s="291">
        <v>6.2251141166497486E-4</v>
      </c>
      <c r="J132" s="291">
        <v>2.3580713682094701E-3</v>
      </c>
      <c r="K132" s="291">
        <v>3.9794591275107505E-3</v>
      </c>
      <c r="L132" s="291">
        <v>6.4966879565969498E-4</v>
      </c>
      <c r="M132" s="307">
        <f t="shared" si="1"/>
        <v>7.8003900967834206E-3</v>
      </c>
    </row>
    <row r="133" spans="1:13" ht="13.15">
      <c r="A133" s="2" t="s">
        <v>107</v>
      </c>
      <c r="B133" s="2" t="s">
        <v>239</v>
      </c>
      <c r="C133" s="2" t="s">
        <v>240</v>
      </c>
      <c r="D133" s="2" t="s">
        <v>85</v>
      </c>
      <c r="E133" s="2" t="s">
        <v>79</v>
      </c>
      <c r="F133" s="291">
        <v>0</v>
      </c>
      <c r="G133" s="291">
        <v>0</v>
      </c>
      <c r="H133" s="291">
        <v>0</v>
      </c>
      <c r="I133" s="291">
        <v>0</v>
      </c>
      <c r="J133" s="291">
        <v>0</v>
      </c>
      <c r="K133" s="291">
        <v>0</v>
      </c>
      <c r="L133" s="291">
        <v>0</v>
      </c>
      <c r="M133" s="307">
        <f t="shared" ref="M133:M196" si="2">SUM(F133:L133)</f>
        <v>0</v>
      </c>
    </row>
    <row r="134" spans="1:13" ht="13.15">
      <c r="A134" s="2" t="s">
        <v>108</v>
      </c>
      <c r="B134" s="2" t="s">
        <v>155</v>
      </c>
      <c r="C134" s="2" t="s">
        <v>156</v>
      </c>
      <c r="D134" s="2" t="s">
        <v>85</v>
      </c>
      <c r="E134" s="2" t="s">
        <v>79</v>
      </c>
      <c r="F134" s="291">
        <v>15.506465679780835</v>
      </c>
      <c r="G134" s="291">
        <v>56.41881575232479</v>
      </c>
      <c r="H134" s="291">
        <v>317.75380839797759</v>
      </c>
      <c r="I134" s="291">
        <v>332.9282271584446</v>
      </c>
      <c r="J134" s="291">
        <v>313.93844729332881</v>
      </c>
      <c r="K134" s="291">
        <v>287.57163675957304</v>
      </c>
      <c r="L134" s="291">
        <v>264.97398607341546</v>
      </c>
      <c r="M134" s="307">
        <f t="shared" si="2"/>
        <v>1589.0913871148452</v>
      </c>
    </row>
    <row r="135" spans="1:13" ht="13.15">
      <c r="A135" s="2" t="s">
        <v>108</v>
      </c>
      <c r="B135" s="2" t="s">
        <v>157</v>
      </c>
      <c r="C135" s="2" t="s">
        <v>158</v>
      </c>
      <c r="D135" s="2" t="s">
        <v>85</v>
      </c>
      <c r="E135" s="2" t="s">
        <v>79</v>
      </c>
      <c r="F135" s="291">
        <v>0</v>
      </c>
      <c r="G135" s="291">
        <v>0</v>
      </c>
      <c r="H135" s="291">
        <v>0</v>
      </c>
      <c r="I135" s="291">
        <v>0</v>
      </c>
      <c r="J135" s="291">
        <v>0</v>
      </c>
      <c r="K135" s="291">
        <v>0</v>
      </c>
      <c r="L135" s="291">
        <v>0</v>
      </c>
      <c r="M135" s="307">
        <f t="shared" si="2"/>
        <v>0</v>
      </c>
    </row>
    <row r="136" spans="1:13" ht="13.15">
      <c r="A136" s="2" t="s">
        <v>108</v>
      </c>
      <c r="B136" s="2" t="s">
        <v>159</v>
      </c>
      <c r="C136" s="2" t="s">
        <v>160</v>
      </c>
      <c r="D136" s="2" t="s">
        <v>85</v>
      </c>
      <c r="E136" s="2" t="s">
        <v>79</v>
      </c>
      <c r="F136" s="291">
        <v>0</v>
      </c>
      <c r="G136" s="291">
        <v>4.321208048429936</v>
      </c>
      <c r="H136" s="291">
        <v>2.5631948288328088</v>
      </c>
      <c r="I136" s="291">
        <v>0.10245870859492991</v>
      </c>
      <c r="J136" s="291">
        <v>0.10183001487923485</v>
      </c>
      <c r="K136" s="291">
        <v>0.10107798767693171</v>
      </c>
      <c r="L136" s="291">
        <v>0.10042762749845548</v>
      </c>
      <c r="M136" s="307">
        <f t="shared" si="2"/>
        <v>7.290197215912297</v>
      </c>
    </row>
    <row r="137" spans="1:13" ht="13.15">
      <c r="A137" s="2" t="s">
        <v>108</v>
      </c>
      <c r="B137" s="2" t="s">
        <v>161</v>
      </c>
      <c r="C137" s="2" t="s">
        <v>162</v>
      </c>
      <c r="D137" s="2" t="s">
        <v>85</v>
      </c>
      <c r="E137" s="2" t="s">
        <v>79</v>
      </c>
      <c r="F137" s="291">
        <v>0</v>
      </c>
      <c r="G137" s="291">
        <v>0</v>
      </c>
      <c r="H137" s="291">
        <v>0</v>
      </c>
      <c r="I137" s="291">
        <v>12.734023646225836</v>
      </c>
      <c r="J137" s="291">
        <v>12.786359856994229</v>
      </c>
      <c r="K137" s="291">
        <v>12.562421514403752</v>
      </c>
      <c r="L137" s="291">
        <v>12.610268065877255</v>
      </c>
      <c r="M137" s="307">
        <f t="shared" si="2"/>
        <v>50.693073083501076</v>
      </c>
    </row>
    <row r="138" spans="1:13" ht="13.15">
      <c r="A138" s="2" t="s">
        <v>108</v>
      </c>
      <c r="B138" s="2" t="s">
        <v>163</v>
      </c>
      <c r="C138" s="2" t="s">
        <v>164</v>
      </c>
      <c r="D138" s="2" t="s">
        <v>85</v>
      </c>
      <c r="E138" s="2" t="s">
        <v>79</v>
      </c>
      <c r="F138" s="291">
        <v>0</v>
      </c>
      <c r="G138" s="291">
        <v>0</v>
      </c>
      <c r="H138" s="291">
        <v>5.3201941260218781</v>
      </c>
      <c r="I138" s="291">
        <v>6.3775423164914127</v>
      </c>
      <c r="J138" s="291">
        <v>6.3384092761579742</v>
      </c>
      <c r="K138" s="291">
        <v>6.2915993429506152</v>
      </c>
      <c r="L138" s="291">
        <v>6.2511176736413621</v>
      </c>
      <c r="M138" s="307">
        <f t="shared" si="2"/>
        <v>30.578862735263243</v>
      </c>
    </row>
    <row r="139" spans="1:13" ht="13.15">
      <c r="A139" s="2" t="s">
        <v>108</v>
      </c>
      <c r="B139" s="2" t="s">
        <v>165</v>
      </c>
      <c r="C139" s="2" t="s">
        <v>166</v>
      </c>
      <c r="D139" s="2" t="s">
        <v>85</v>
      </c>
      <c r="E139" s="2" t="s">
        <v>79</v>
      </c>
      <c r="F139" s="291">
        <v>0</v>
      </c>
      <c r="G139" s="291">
        <v>0</v>
      </c>
      <c r="H139" s="291">
        <v>0</v>
      </c>
      <c r="I139" s="291">
        <v>0</v>
      </c>
      <c r="J139" s="291">
        <v>0</v>
      </c>
      <c r="K139" s="291">
        <v>0</v>
      </c>
      <c r="L139" s="291">
        <v>0</v>
      </c>
      <c r="M139" s="307">
        <f t="shared" si="2"/>
        <v>0</v>
      </c>
    </row>
    <row r="140" spans="1:13" ht="13.15">
      <c r="A140" s="2" t="s">
        <v>108</v>
      </c>
      <c r="B140" s="2" t="s">
        <v>167</v>
      </c>
      <c r="C140" s="2" t="s">
        <v>168</v>
      </c>
      <c r="D140" s="2" t="s">
        <v>85</v>
      </c>
      <c r="E140" s="2" t="s">
        <v>79</v>
      </c>
      <c r="F140" s="291">
        <v>3.755354193612789</v>
      </c>
      <c r="G140" s="291">
        <v>19.683856244879522</v>
      </c>
      <c r="H140" s="291">
        <v>189.58322645517202</v>
      </c>
      <c r="I140" s="291">
        <v>198.76537945225843</v>
      </c>
      <c r="J140" s="291">
        <v>197.5838644091088</v>
      </c>
      <c r="K140" s="291">
        <v>196.16252475010438</v>
      </c>
      <c r="L140" s="291">
        <v>195.60836604065662</v>
      </c>
      <c r="M140" s="307">
        <f t="shared" si="2"/>
        <v>1001.1425715457925</v>
      </c>
    </row>
    <row r="141" spans="1:13" ht="13.15">
      <c r="A141" s="2" t="s">
        <v>108</v>
      </c>
      <c r="B141" s="2" t="s">
        <v>169</v>
      </c>
      <c r="C141" s="2" t="s">
        <v>170</v>
      </c>
      <c r="D141" s="2" t="s">
        <v>85</v>
      </c>
      <c r="E141" s="2" t="s">
        <v>79</v>
      </c>
      <c r="F141" s="291">
        <v>0.17078875880087238</v>
      </c>
      <c r="G141" s="291">
        <v>7.0669100248053356</v>
      </c>
      <c r="H141" s="291">
        <v>7.3648527563897854</v>
      </c>
      <c r="I141" s="291">
        <v>7.551969010166812</v>
      </c>
      <c r="J141" s="291">
        <v>1.106210760616458</v>
      </c>
      <c r="K141" s="291">
        <v>1.0910552420612705</v>
      </c>
      <c r="L141" s="291">
        <v>1.2536252282719373</v>
      </c>
      <c r="M141" s="307">
        <f t="shared" si="2"/>
        <v>25.605411781112469</v>
      </c>
    </row>
    <row r="142" spans="1:13" ht="13.15">
      <c r="A142" s="2" t="s">
        <v>108</v>
      </c>
      <c r="B142" s="2" t="s">
        <v>171</v>
      </c>
      <c r="C142" s="2" t="s">
        <v>172</v>
      </c>
      <c r="D142" s="2" t="s">
        <v>85</v>
      </c>
      <c r="E142" s="2" t="s">
        <v>79</v>
      </c>
      <c r="F142" s="291">
        <v>0.03</v>
      </c>
      <c r="G142" s="291">
        <v>2.9856343033831896E-2</v>
      </c>
      <c r="H142" s="291">
        <v>2.5770606432082563</v>
      </c>
      <c r="I142" s="291">
        <v>2.5634380746539192</v>
      </c>
      <c r="J142" s="291">
        <v>0</v>
      </c>
      <c r="K142" s="291">
        <v>0</v>
      </c>
      <c r="L142" s="291">
        <v>0</v>
      </c>
      <c r="M142" s="307">
        <f t="shared" si="2"/>
        <v>5.2003550608960074</v>
      </c>
    </row>
    <row r="143" spans="1:13" ht="13.15">
      <c r="A143" s="2" t="s">
        <v>108</v>
      </c>
      <c r="B143" s="2" t="s">
        <v>173</v>
      </c>
      <c r="C143" s="2" t="s">
        <v>174</v>
      </c>
      <c r="D143" s="2" t="s">
        <v>85</v>
      </c>
      <c r="E143" s="2" t="s">
        <v>79</v>
      </c>
      <c r="F143" s="291">
        <v>2.3999999999999997E-2</v>
      </c>
      <c r="G143" s="291">
        <v>0.49537644361733868</v>
      </c>
      <c r="H143" s="291">
        <v>5.7285621676850704</v>
      </c>
      <c r="I143" s="291">
        <v>5.6982804857026395</v>
      </c>
      <c r="J143" s="291">
        <v>5.6633154428989831</v>
      </c>
      <c r="K143" s="291">
        <v>5.6214911608016633</v>
      </c>
      <c r="L143" s="291">
        <v>5.7665543709613125</v>
      </c>
      <c r="M143" s="307">
        <f t="shared" si="2"/>
        <v>28.997580071667009</v>
      </c>
    </row>
    <row r="144" spans="1:13" ht="13.15">
      <c r="A144" s="2" t="s">
        <v>108</v>
      </c>
      <c r="B144" s="2" t="s">
        <v>175</v>
      </c>
      <c r="C144" s="2" t="s">
        <v>176</v>
      </c>
      <c r="D144" s="2" t="s">
        <v>85</v>
      </c>
      <c r="E144" s="2" t="s">
        <v>79</v>
      </c>
      <c r="F144" s="291">
        <v>0</v>
      </c>
      <c r="G144" s="291">
        <v>2.7467835591125342</v>
      </c>
      <c r="H144" s="291">
        <v>0.50347366246439051</v>
      </c>
      <c r="I144" s="291">
        <v>0.50081225653267536</v>
      </c>
      <c r="J144" s="291">
        <v>0</v>
      </c>
      <c r="K144" s="291">
        <v>0</v>
      </c>
      <c r="L144" s="291">
        <v>0</v>
      </c>
      <c r="M144" s="307">
        <f t="shared" si="2"/>
        <v>3.7510694781096001</v>
      </c>
    </row>
    <row r="145" spans="1:13" ht="13.15">
      <c r="A145" s="2" t="s">
        <v>108</v>
      </c>
      <c r="B145" s="2" t="s">
        <v>177</v>
      </c>
      <c r="C145" s="2" t="s">
        <v>178</v>
      </c>
      <c r="D145" s="2" t="s">
        <v>85</v>
      </c>
      <c r="E145" s="2" t="s">
        <v>79</v>
      </c>
      <c r="F145" s="291">
        <v>0.25263804854826688</v>
      </c>
      <c r="G145" s="291">
        <v>1.0559987537196904</v>
      </c>
      <c r="H145" s="291">
        <v>7.3163331445362578</v>
      </c>
      <c r="I145" s="291">
        <v>7.2776583659312291</v>
      </c>
      <c r="J145" s="291">
        <v>7.2330021513216405</v>
      </c>
      <c r="K145" s="291">
        <v>0.81421017951874319</v>
      </c>
      <c r="L145" s="291">
        <v>0.80897135462878322</v>
      </c>
      <c r="M145" s="307">
        <f t="shared" si="2"/>
        <v>24.758811998204614</v>
      </c>
    </row>
    <row r="146" spans="1:13" ht="13.15">
      <c r="A146" s="2" t="s">
        <v>108</v>
      </c>
      <c r="B146" s="2" t="s">
        <v>179</v>
      </c>
      <c r="C146" s="2" t="s">
        <v>180</v>
      </c>
      <c r="D146" s="2" t="s">
        <v>85</v>
      </c>
      <c r="E146" s="2" t="s">
        <v>79</v>
      </c>
      <c r="F146" s="291">
        <v>1.0561599999999998</v>
      </c>
      <c r="G146" s="291">
        <v>2.3329348362062459</v>
      </c>
      <c r="H146" s="291">
        <v>1.5590325517628671</v>
      </c>
      <c r="I146" s="291">
        <v>1.5507913689754911</v>
      </c>
      <c r="J146" s="291">
        <v>1.5412756059778958</v>
      </c>
      <c r="K146" s="291">
        <v>0.47926516618508241</v>
      </c>
      <c r="L146" s="291">
        <v>0.47618145838498427</v>
      </c>
      <c r="M146" s="307">
        <f t="shared" si="2"/>
        <v>8.9956409874925658</v>
      </c>
    </row>
    <row r="147" spans="1:13" ht="13.15">
      <c r="A147" s="2" t="s">
        <v>108</v>
      </c>
      <c r="B147" s="2" t="s">
        <v>181</v>
      </c>
      <c r="C147" s="2" t="s">
        <v>182</v>
      </c>
      <c r="D147" s="2" t="s">
        <v>85</v>
      </c>
      <c r="E147" s="2" t="s">
        <v>79</v>
      </c>
      <c r="F147" s="291">
        <v>0.31076903476680912</v>
      </c>
      <c r="G147" s="291">
        <v>1.2371235875054245</v>
      </c>
      <c r="H147" s="291">
        <v>7.6609033221695855</v>
      </c>
      <c r="I147" s="291">
        <v>7.6142838473168117</v>
      </c>
      <c r="J147" s="291">
        <v>7.5675620754930808</v>
      </c>
      <c r="K147" s="291">
        <v>2.1172834591575556</v>
      </c>
      <c r="L147" s="291">
        <v>2.1036603461531329</v>
      </c>
      <c r="M147" s="307">
        <f t="shared" si="2"/>
        <v>28.611585672562398</v>
      </c>
    </row>
    <row r="148" spans="1:13" ht="13.15">
      <c r="A148" s="2" t="s">
        <v>108</v>
      </c>
      <c r="B148" s="2" t="s">
        <v>183</v>
      </c>
      <c r="C148" s="2" t="s">
        <v>184</v>
      </c>
      <c r="D148" s="2" t="s">
        <v>85</v>
      </c>
      <c r="E148" s="2" t="s">
        <v>79</v>
      </c>
      <c r="F148" s="291">
        <v>0</v>
      </c>
      <c r="G148" s="291">
        <v>0</v>
      </c>
      <c r="H148" s="291">
        <v>0</v>
      </c>
      <c r="I148" s="291">
        <v>0</v>
      </c>
      <c r="J148" s="291">
        <v>0</v>
      </c>
      <c r="K148" s="291">
        <v>0</v>
      </c>
      <c r="L148" s="291">
        <v>0</v>
      </c>
      <c r="M148" s="307">
        <f t="shared" si="2"/>
        <v>0</v>
      </c>
    </row>
    <row r="149" spans="1:13" ht="13.15">
      <c r="A149" s="2" t="s">
        <v>108</v>
      </c>
      <c r="B149" s="2" t="s">
        <v>185</v>
      </c>
      <c r="C149" s="2" t="s">
        <v>186</v>
      </c>
      <c r="D149" s="2" t="s">
        <v>85</v>
      </c>
      <c r="E149" s="2" t="s">
        <v>79</v>
      </c>
      <c r="F149" s="291">
        <v>4.2229519287234059</v>
      </c>
      <c r="G149" s="291">
        <v>6.2936921603106173</v>
      </c>
      <c r="H149" s="291">
        <v>14.470909198740976</v>
      </c>
      <c r="I149" s="291">
        <v>14.394414703695636</v>
      </c>
      <c r="J149" s="291">
        <v>14.3060895804394</v>
      </c>
      <c r="K149" s="291">
        <v>14.200437346804405</v>
      </c>
      <c r="L149" s="291">
        <v>14.109068304151648</v>
      </c>
      <c r="M149" s="307">
        <f t="shared" si="2"/>
        <v>81.997563222866091</v>
      </c>
    </row>
    <row r="150" spans="1:13" ht="13.15">
      <c r="A150" s="2" t="s">
        <v>108</v>
      </c>
      <c r="B150" s="2" t="s">
        <v>187</v>
      </c>
      <c r="C150" s="2" t="s">
        <v>188</v>
      </c>
      <c r="D150" s="2" t="s">
        <v>85</v>
      </c>
      <c r="E150" s="2" t="s">
        <v>79</v>
      </c>
      <c r="F150" s="291">
        <v>0.18000000000000002</v>
      </c>
      <c r="G150" s="291">
        <v>0.62698320371046978</v>
      </c>
      <c r="H150" s="291">
        <v>5.4892380293284226</v>
      </c>
      <c r="I150" s="291">
        <v>5.4602214357287826</v>
      </c>
      <c r="J150" s="291">
        <v>5.4267171397053211</v>
      </c>
      <c r="K150" s="291">
        <v>0.54933895940768518</v>
      </c>
      <c r="L150" s="291">
        <v>0.54580437990234076</v>
      </c>
      <c r="M150" s="307">
        <f t="shared" si="2"/>
        <v>18.278303147783021</v>
      </c>
    </row>
    <row r="151" spans="1:13" ht="13.15">
      <c r="A151" s="2" t="s">
        <v>108</v>
      </c>
      <c r="B151" s="2" t="s">
        <v>189</v>
      </c>
      <c r="C151" s="2" t="s">
        <v>190</v>
      </c>
      <c r="D151" s="2" t="s">
        <v>85</v>
      </c>
      <c r="E151" s="2" t="s">
        <v>79</v>
      </c>
      <c r="F151" s="291">
        <v>9.0160000000000004E-2</v>
      </c>
      <c r="G151" s="291">
        <v>8.9728262931009467E-2</v>
      </c>
      <c r="H151" s="291">
        <v>1.2829443792414479</v>
      </c>
      <c r="I151" s="291">
        <v>0.53928747196985227</v>
      </c>
      <c r="J151" s="291">
        <v>0.53597836677781885</v>
      </c>
      <c r="K151" s="291">
        <v>0.53202010052261939</v>
      </c>
      <c r="L151" s="291">
        <v>0.52859695473706281</v>
      </c>
      <c r="M151" s="307">
        <f t="shared" si="2"/>
        <v>3.5987155361798102</v>
      </c>
    </row>
    <row r="152" spans="1:13" ht="13.15">
      <c r="A152" s="2" t="s">
        <v>108</v>
      </c>
      <c r="B152" s="2" t="s">
        <v>191</v>
      </c>
      <c r="C152" s="2" t="s">
        <v>192</v>
      </c>
      <c r="D152" s="2" t="s">
        <v>85</v>
      </c>
      <c r="E152" s="2" t="s">
        <v>79</v>
      </c>
      <c r="F152" s="291">
        <v>0</v>
      </c>
      <c r="G152" s="291">
        <v>0</v>
      </c>
      <c r="H152" s="291">
        <v>0.36546325032430693</v>
      </c>
      <c r="I152" s="291">
        <v>0.363531379533934</v>
      </c>
      <c r="J152" s="291">
        <v>0.36130072586959289</v>
      </c>
      <c r="K152" s="291">
        <v>0.35863247550757504</v>
      </c>
      <c r="L152" s="291">
        <v>0.3563249475666353</v>
      </c>
      <c r="M152" s="307">
        <f t="shared" si="2"/>
        <v>1.805252778802044</v>
      </c>
    </row>
    <row r="153" spans="1:13" ht="13.15">
      <c r="A153" s="2" t="s">
        <v>108</v>
      </c>
      <c r="B153" s="2" t="s">
        <v>193</v>
      </c>
      <c r="C153" s="2" t="s">
        <v>194</v>
      </c>
      <c r="D153" s="2" t="s">
        <v>85</v>
      </c>
      <c r="E153" s="2" t="s">
        <v>79</v>
      </c>
      <c r="F153" s="291">
        <v>3.184156103005948</v>
      </c>
      <c r="G153" s="291">
        <v>1.5342460941409213E-2</v>
      </c>
      <c r="H153" s="291">
        <v>7.1019904382197492</v>
      </c>
      <c r="I153" s="291">
        <v>6.8968450520171523</v>
      </c>
      <c r="J153" s="291">
        <v>4.4610089506628743</v>
      </c>
      <c r="K153" s="291">
        <v>9.018820141974819E-2</v>
      </c>
      <c r="L153" s="291">
        <v>2.9869302918480528E-2</v>
      </c>
      <c r="M153" s="307">
        <f t="shared" si="2"/>
        <v>21.779400509185361</v>
      </c>
    </row>
    <row r="154" spans="1:13" ht="13.15">
      <c r="A154" s="2" t="s">
        <v>108</v>
      </c>
      <c r="B154" s="2" t="s">
        <v>195</v>
      </c>
      <c r="C154" s="2" t="s">
        <v>196</v>
      </c>
      <c r="D154" s="2" t="s">
        <v>85</v>
      </c>
      <c r="E154" s="2" t="s">
        <v>79</v>
      </c>
      <c r="F154" s="291">
        <v>0</v>
      </c>
      <c r="G154" s="291">
        <v>0</v>
      </c>
      <c r="H154" s="291">
        <v>0</v>
      </c>
      <c r="I154" s="291">
        <v>0</v>
      </c>
      <c r="J154" s="291">
        <v>0</v>
      </c>
      <c r="K154" s="291">
        <v>0</v>
      </c>
      <c r="L154" s="291">
        <v>0</v>
      </c>
      <c r="M154" s="307">
        <f t="shared" si="2"/>
        <v>0</v>
      </c>
    </row>
    <row r="155" spans="1:13" ht="13.15">
      <c r="A155" s="2" t="s">
        <v>108</v>
      </c>
      <c r="B155" s="2" t="s">
        <v>197</v>
      </c>
      <c r="C155" s="2" t="s">
        <v>198</v>
      </c>
      <c r="D155" s="2" t="s">
        <v>85</v>
      </c>
      <c r="E155" s="2" t="s">
        <v>79</v>
      </c>
      <c r="F155" s="291">
        <v>0</v>
      </c>
      <c r="G155" s="291">
        <v>0</v>
      </c>
      <c r="H155" s="291">
        <v>12.885303216041281</v>
      </c>
      <c r="I155" s="291">
        <v>12.817190373269597</v>
      </c>
      <c r="J155" s="291">
        <v>12.738543207488899</v>
      </c>
      <c r="K155" s="291">
        <v>12.644467496893093</v>
      </c>
      <c r="L155" s="291">
        <v>12.563109939951017</v>
      </c>
      <c r="M155" s="307">
        <f t="shared" si="2"/>
        <v>63.64861423364389</v>
      </c>
    </row>
    <row r="156" spans="1:13" ht="13.15">
      <c r="A156" s="2" t="s">
        <v>108</v>
      </c>
      <c r="B156" s="2" t="s">
        <v>199</v>
      </c>
      <c r="C156" s="2" t="s">
        <v>200</v>
      </c>
      <c r="D156" s="2" t="s">
        <v>85</v>
      </c>
      <c r="E156" s="2" t="s">
        <v>79</v>
      </c>
      <c r="F156" s="291">
        <v>1.2374095272163597</v>
      </c>
      <c r="G156" s="291">
        <v>2.9265155519997776</v>
      </c>
      <c r="H156" s="291">
        <v>14.535331997165452</v>
      </c>
      <c r="I156" s="291">
        <v>14.458496957558108</v>
      </c>
      <c r="J156" s="291">
        <v>0</v>
      </c>
      <c r="K156" s="291">
        <v>0</v>
      </c>
      <c r="L156" s="291">
        <v>0</v>
      </c>
      <c r="M156" s="307">
        <f t="shared" si="2"/>
        <v>33.157754033939696</v>
      </c>
    </row>
    <row r="157" spans="1:13" ht="13.15">
      <c r="A157" s="2" t="s">
        <v>108</v>
      </c>
      <c r="B157" s="2" t="s">
        <v>201</v>
      </c>
      <c r="C157" s="2" t="s">
        <v>202</v>
      </c>
      <c r="D157" s="2" t="s">
        <v>85</v>
      </c>
      <c r="E157" s="2" t="s">
        <v>79</v>
      </c>
      <c r="F157" s="291">
        <v>3.2518085106382981E-2</v>
      </c>
      <c r="G157" s="291">
        <v>3.236237012465034E-2</v>
      </c>
      <c r="H157" s="291">
        <v>0</v>
      </c>
      <c r="I157" s="291">
        <v>0</v>
      </c>
      <c r="J157" s="291">
        <v>0</v>
      </c>
      <c r="K157" s="291">
        <v>0</v>
      </c>
      <c r="L157" s="291">
        <v>0</v>
      </c>
      <c r="M157" s="307">
        <f t="shared" si="2"/>
        <v>6.4880455231033321E-2</v>
      </c>
    </row>
    <row r="158" spans="1:13" ht="13.15">
      <c r="A158" s="2" t="s">
        <v>108</v>
      </c>
      <c r="B158" s="2" t="s">
        <v>203</v>
      </c>
      <c r="C158" s="2" t="s">
        <v>204</v>
      </c>
      <c r="D158" s="2" t="s">
        <v>85</v>
      </c>
      <c r="E158" s="2" t="s">
        <v>79</v>
      </c>
      <c r="F158" s="291">
        <v>0</v>
      </c>
      <c r="G158" s="291">
        <v>0</v>
      </c>
      <c r="H158" s="291">
        <v>0</v>
      </c>
      <c r="I158" s="291">
        <v>0</v>
      </c>
      <c r="J158" s="291">
        <v>0</v>
      </c>
      <c r="K158" s="291">
        <v>0</v>
      </c>
      <c r="L158" s="291">
        <v>0</v>
      </c>
      <c r="M158" s="307">
        <f t="shared" si="2"/>
        <v>0</v>
      </c>
    </row>
    <row r="159" spans="1:13" ht="13.15">
      <c r="A159" s="2" t="s">
        <v>108</v>
      </c>
      <c r="B159" s="2" t="s">
        <v>205</v>
      </c>
      <c r="C159" s="2" t="s">
        <v>206</v>
      </c>
      <c r="D159" s="2" t="s">
        <v>85</v>
      </c>
      <c r="E159" s="2" t="s">
        <v>79</v>
      </c>
      <c r="F159" s="291">
        <v>0.95956000000000008</v>
      </c>
      <c r="G159" s="291">
        <v>0.95496508405145786</v>
      </c>
      <c r="H159" s="291">
        <v>0.92120509049226096</v>
      </c>
      <c r="I159" s="291">
        <v>0.91633551959919413</v>
      </c>
      <c r="J159" s="291">
        <v>0.91071282153340294</v>
      </c>
      <c r="K159" s="291">
        <v>0.90398709517372799</v>
      </c>
      <c r="L159" s="291">
        <v>0.89817062393137881</v>
      </c>
      <c r="M159" s="307">
        <f t="shared" si="2"/>
        <v>6.4649362347814234</v>
      </c>
    </row>
    <row r="160" spans="1:13" ht="13.15">
      <c r="A160" s="2" t="s">
        <v>108</v>
      </c>
      <c r="B160" s="2" t="s">
        <v>207</v>
      </c>
      <c r="C160" s="2" t="s">
        <v>208</v>
      </c>
      <c r="D160" s="2" t="s">
        <v>85</v>
      </c>
      <c r="E160" s="2" t="s">
        <v>79</v>
      </c>
      <c r="F160" s="291">
        <v>0</v>
      </c>
      <c r="G160" s="291">
        <v>0</v>
      </c>
      <c r="H160" s="291">
        <v>0</v>
      </c>
      <c r="I160" s="291">
        <v>0</v>
      </c>
      <c r="J160" s="291">
        <v>0</v>
      </c>
      <c r="K160" s="291">
        <v>0</v>
      </c>
      <c r="L160" s="291">
        <v>0</v>
      </c>
      <c r="M160" s="307">
        <f t="shared" si="2"/>
        <v>0</v>
      </c>
    </row>
    <row r="161" spans="1:13" ht="13.15">
      <c r="A161" s="2" t="s">
        <v>108</v>
      </c>
      <c r="B161" s="2" t="s">
        <v>209</v>
      </c>
      <c r="C161" s="2" t="s">
        <v>210</v>
      </c>
      <c r="D161" s="2" t="s">
        <v>85</v>
      </c>
      <c r="E161" s="2" t="s">
        <v>79</v>
      </c>
      <c r="F161" s="291">
        <v>0</v>
      </c>
      <c r="G161" s="291">
        <v>0</v>
      </c>
      <c r="H161" s="291">
        <v>0</v>
      </c>
      <c r="I161" s="291">
        <v>0</v>
      </c>
      <c r="J161" s="291">
        <v>0</v>
      </c>
      <c r="K161" s="291">
        <v>0</v>
      </c>
      <c r="L161" s="291">
        <v>0</v>
      </c>
      <c r="M161" s="307">
        <f t="shared" si="2"/>
        <v>0</v>
      </c>
    </row>
    <row r="162" spans="1:13" ht="13.15">
      <c r="A162" s="2" t="s">
        <v>108</v>
      </c>
      <c r="B162" s="2" t="s">
        <v>211</v>
      </c>
      <c r="C162" s="2" t="s">
        <v>212</v>
      </c>
      <c r="D162" s="2" t="s">
        <v>85</v>
      </c>
      <c r="E162" s="2" t="s">
        <v>79</v>
      </c>
      <c r="F162" s="291">
        <v>0</v>
      </c>
      <c r="G162" s="291">
        <v>0</v>
      </c>
      <c r="H162" s="291">
        <v>0</v>
      </c>
      <c r="I162" s="291">
        <v>0</v>
      </c>
      <c r="J162" s="291">
        <v>0</v>
      </c>
      <c r="K162" s="291">
        <v>0</v>
      </c>
      <c r="L162" s="291">
        <v>0</v>
      </c>
      <c r="M162" s="307">
        <f t="shared" si="2"/>
        <v>0</v>
      </c>
    </row>
    <row r="163" spans="1:13" ht="13.15">
      <c r="A163" s="2" t="s">
        <v>108</v>
      </c>
      <c r="B163" s="2" t="s">
        <v>213</v>
      </c>
      <c r="C163" s="2" t="s">
        <v>214</v>
      </c>
      <c r="D163" s="2" t="s">
        <v>85</v>
      </c>
      <c r="E163" s="2" t="s">
        <v>79</v>
      </c>
      <c r="F163" s="291">
        <v>0</v>
      </c>
      <c r="G163" s="291">
        <v>0</v>
      </c>
      <c r="H163" s="291">
        <v>7.306075714724809</v>
      </c>
      <c r="I163" s="291">
        <v>14.528265787409257</v>
      </c>
      <c r="J163" s="291">
        <v>14.431304436737603</v>
      </c>
      <c r="K163" s="291">
        <v>4.5085589606396045E-3</v>
      </c>
      <c r="L163" s="291">
        <v>4.4775719905373774E-3</v>
      </c>
      <c r="M163" s="307">
        <f t="shared" si="2"/>
        <v>36.274632069822843</v>
      </c>
    </row>
    <row r="164" spans="1:13" ht="13.15">
      <c r="A164" s="2" t="s">
        <v>108</v>
      </c>
      <c r="B164" s="2" t="s">
        <v>215</v>
      </c>
      <c r="C164" s="2" t="s">
        <v>216</v>
      </c>
      <c r="D164" s="2" t="s">
        <v>85</v>
      </c>
      <c r="E164" s="2" t="s">
        <v>79</v>
      </c>
      <c r="F164" s="291">
        <v>0</v>
      </c>
      <c r="G164" s="291">
        <v>0</v>
      </c>
      <c r="H164" s="291">
        <v>0</v>
      </c>
      <c r="I164" s="291">
        <v>0</v>
      </c>
      <c r="J164" s="291">
        <v>0</v>
      </c>
      <c r="K164" s="291">
        <v>0</v>
      </c>
      <c r="L164" s="291">
        <v>0</v>
      </c>
      <c r="M164" s="307">
        <f t="shared" si="2"/>
        <v>0</v>
      </c>
    </row>
    <row r="165" spans="1:13" ht="13.15">
      <c r="A165" s="2" t="s">
        <v>108</v>
      </c>
      <c r="B165" s="2" t="s">
        <v>217</v>
      </c>
      <c r="C165" s="2" t="s">
        <v>218</v>
      </c>
      <c r="D165" s="2" t="s">
        <v>85</v>
      </c>
      <c r="E165" s="2" t="s">
        <v>79</v>
      </c>
      <c r="F165" s="291">
        <v>0</v>
      </c>
      <c r="G165" s="291">
        <v>0</v>
      </c>
      <c r="H165" s="291">
        <v>0.65338853247161599</v>
      </c>
      <c r="I165" s="291">
        <v>0.64955574247404724</v>
      </c>
      <c r="J165" s="291">
        <v>7.9839845920493921</v>
      </c>
      <c r="K165" s="291">
        <v>7.8475450749462103</v>
      </c>
      <c r="L165" s="291">
        <v>0.48710059479118284</v>
      </c>
      <c r="M165" s="307">
        <f t="shared" si="2"/>
        <v>17.621574536732449</v>
      </c>
    </row>
    <row r="166" spans="1:13" ht="13.15">
      <c r="A166" s="2" t="s">
        <v>108</v>
      </c>
      <c r="B166" s="2" t="s">
        <v>219</v>
      </c>
      <c r="C166" s="2" t="s">
        <v>220</v>
      </c>
      <c r="D166" s="2" t="s">
        <v>85</v>
      </c>
      <c r="E166" s="2" t="s">
        <v>79</v>
      </c>
      <c r="F166" s="291">
        <v>0</v>
      </c>
      <c r="G166" s="291">
        <v>0</v>
      </c>
      <c r="H166" s="291">
        <v>0</v>
      </c>
      <c r="I166" s="291">
        <v>0</v>
      </c>
      <c r="J166" s="291">
        <v>0</v>
      </c>
      <c r="K166" s="291">
        <v>0</v>
      </c>
      <c r="L166" s="291">
        <v>0</v>
      </c>
      <c r="M166" s="307">
        <f t="shared" si="2"/>
        <v>0</v>
      </c>
    </row>
    <row r="167" spans="1:13" ht="13.15">
      <c r="A167" s="2" t="s">
        <v>108</v>
      </c>
      <c r="B167" s="2" t="s">
        <v>221</v>
      </c>
      <c r="C167" s="2" t="s">
        <v>222</v>
      </c>
      <c r="D167" s="2" t="s">
        <v>85</v>
      </c>
      <c r="E167" s="2" t="s">
        <v>79</v>
      </c>
      <c r="F167" s="291">
        <v>0</v>
      </c>
      <c r="G167" s="291">
        <v>0</v>
      </c>
      <c r="H167" s="291">
        <v>0</v>
      </c>
      <c r="I167" s="291">
        <v>0</v>
      </c>
      <c r="J167" s="291">
        <v>0</v>
      </c>
      <c r="K167" s="291">
        <v>0</v>
      </c>
      <c r="L167" s="291">
        <v>0</v>
      </c>
      <c r="M167" s="307">
        <f t="shared" si="2"/>
        <v>0</v>
      </c>
    </row>
    <row r="168" spans="1:13" ht="13.15">
      <c r="A168" s="2" t="s">
        <v>108</v>
      </c>
      <c r="B168" s="2" t="s">
        <v>223</v>
      </c>
      <c r="C168" s="2" t="s">
        <v>224</v>
      </c>
      <c r="D168" s="2" t="s">
        <v>85</v>
      </c>
      <c r="E168" s="2" t="s">
        <v>79</v>
      </c>
      <c r="F168" s="291">
        <v>0</v>
      </c>
      <c r="G168" s="291">
        <v>6.5091788169455285</v>
      </c>
      <c r="H168" s="291">
        <v>7.4186552825511178</v>
      </c>
      <c r="I168" s="291">
        <v>1.5779889493091013</v>
      </c>
      <c r="J168" s="291">
        <v>2.6215419009803305</v>
      </c>
      <c r="K168" s="291">
        <v>16.723843940025624</v>
      </c>
      <c r="L168" s="291">
        <v>2.5854384271226549</v>
      </c>
      <c r="M168" s="307">
        <f t="shared" si="2"/>
        <v>37.436647316934355</v>
      </c>
    </row>
    <row r="169" spans="1:13" ht="13.15">
      <c r="A169" s="2" t="s">
        <v>108</v>
      </c>
      <c r="B169" s="2" t="s">
        <v>225</v>
      </c>
      <c r="C169" s="2" t="s">
        <v>226</v>
      </c>
      <c r="D169" s="2" t="s">
        <v>85</v>
      </c>
      <c r="E169" s="2" t="s">
        <v>79</v>
      </c>
      <c r="F169" s="291">
        <v>0</v>
      </c>
      <c r="G169" s="291">
        <v>0</v>
      </c>
      <c r="H169" s="291">
        <v>6.3268196828420065</v>
      </c>
      <c r="I169" s="291">
        <v>6.8073733854132332E-2</v>
      </c>
      <c r="J169" s="291">
        <v>6.7656028719401518E-2</v>
      </c>
      <c r="K169" s="291">
        <v>6.7156380614104338E-2</v>
      </c>
      <c r="L169" s="291">
        <v>6.6724280246004367E-2</v>
      </c>
      <c r="M169" s="307">
        <f t="shared" si="2"/>
        <v>6.5964301062756485</v>
      </c>
    </row>
    <row r="170" spans="1:13" ht="13.15">
      <c r="A170" s="2" t="s">
        <v>108</v>
      </c>
      <c r="B170" s="2" t="s">
        <v>227</v>
      </c>
      <c r="C170" s="2" t="s">
        <v>228</v>
      </c>
      <c r="D170" s="2" t="s">
        <v>85</v>
      </c>
      <c r="E170" s="2" t="s">
        <v>79</v>
      </c>
      <c r="F170" s="291">
        <v>0</v>
      </c>
      <c r="G170" s="291">
        <v>0</v>
      </c>
      <c r="H170" s="291">
        <v>0</v>
      </c>
      <c r="I170" s="291">
        <v>0</v>
      </c>
      <c r="J170" s="291">
        <v>0</v>
      </c>
      <c r="K170" s="291">
        <v>0</v>
      </c>
      <c r="L170" s="291">
        <v>0</v>
      </c>
      <c r="M170" s="307">
        <f t="shared" si="2"/>
        <v>0</v>
      </c>
    </row>
    <row r="171" spans="1:13" ht="13.15">
      <c r="A171" s="2" t="s">
        <v>108</v>
      </c>
      <c r="B171" s="2" t="s">
        <v>229</v>
      </c>
      <c r="C171" s="2" t="s">
        <v>230</v>
      </c>
      <c r="D171" s="2" t="s">
        <v>85</v>
      </c>
      <c r="E171" s="2" t="s">
        <v>79</v>
      </c>
      <c r="F171" s="291">
        <v>0</v>
      </c>
      <c r="G171" s="291">
        <v>0</v>
      </c>
      <c r="H171" s="291">
        <v>4.6594814862757907</v>
      </c>
      <c r="I171" s="291">
        <v>4.6898133874385746</v>
      </c>
      <c r="J171" s="291">
        <v>4.6610363684335629</v>
      </c>
      <c r="K171" s="291">
        <v>4.6266140407520515</v>
      </c>
      <c r="L171" s="291">
        <v>4.5968452888957962</v>
      </c>
      <c r="M171" s="307">
        <f t="shared" si="2"/>
        <v>23.233790571795776</v>
      </c>
    </row>
    <row r="172" spans="1:13" ht="13.15">
      <c r="A172" s="2" t="s">
        <v>108</v>
      </c>
      <c r="B172" s="2" t="s">
        <v>231</v>
      </c>
      <c r="C172" s="2" t="s">
        <v>232</v>
      </c>
      <c r="D172" s="2" t="s">
        <v>85</v>
      </c>
      <c r="E172" s="2" t="s">
        <v>79</v>
      </c>
      <c r="F172" s="291">
        <v>0</v>
      </c>
      <c r="G172" s="291">
        <v>0</v>
      </c>
      <c r="H172" s="291">
        <v>2.4578547105944519</v>
      </c>
      <c r="I172" s="291">
        <v>3.1292554010161062</v>
      </c>
      <c r="J172" s="291">
        <v>3.8084298497620561</v>
      </c>
      <c r="K172" s="291">
        <v>2.0796545549645651</v>
      </c>
      <c r="L172" s="291">
        <v>1.5209695604159303</v>
      </c>
      <c r="M172" s="307">
        <f t="shared" si="2"/>
        <v>12.996164076753109</v>
      </c>
    </row>
    <row r="173" spans="1:13" ht="13.15">
      <c r="A173" s="2" t="s">
        <v>108</v>
      </c>
      <c r="B173" s="2" t="s">
        <v>233</v>
      </c>
      <c r="C173" s="2" t="s">
        <v>234</v>
      </c>
      <c r="D173" s="2" t="s">
        <v>85</v>
      </c>
      <c r="E173" s="2" t="s">
        <v>79</v>
      </c>
      <c r="F173" s="291">
        <v>0</v>
      </c>
      <c r="G173" s="291">
        <v>0</v>
      </c>
      <c r="H173" s="291">
        <v>0</v>
      </c>
      <c r="I173" s="291">
        <v>0</v>
      </c>
      <c r="J173" s="291">
        <v>0</v>
      </c>
      <c r="K173" s="291">
        <v>0</v>
      </c>
      <c r="L173" s="291">
        <v>0</v>
      </c>
      <c r="M173" s="307">
        <f t="shared" si="2"/>
        <v>0</v>
      </c>
    </row>
    <row r="174" spans="1:13" ht="13.15">
      <c r="A174" s="2" t="s">
        <v>108</v>
      </c>
      <c r="B174" s="2" t="s">
        <v>235</v>
      </c>
      <c r="C174" s="2" t="s">
        <v>236</v>
      </c>
      <c r="D174" s="2" t="s">
        <v>85</v>
      </c>
      <c r="E174" s="2" t="s">
        <v>79</v>
      </c>
      <c r="F174" s="291">
        <v>0</v>
      </c>
      <c r="G174" s="291">
        <v>0</v>
      </c>
      <c r="H174" s="291">
        <v>0</v>
      </c>
      <c r="I174" s="291">
        <v>0</v>
      </c>
      <c r="J174" s="291">
        <v>0</v>
      </c>
      <c r="K174" s="291">
        <v>0</v>
      </c>
      <c r="L174" s="291">
        <v>0</v>
      </c>
      <c r="M174" s="307">
        <f t="shared" si="2"/>
        <v>0</v>
      </c>
    </row>
    <row r="175" spans="1:13" ht="13.15">
      <c r="A175" s="2" t="s">
        <v>108</v>
      </c>
      <c r="B175" s="2" t="s">
        <v>237</v>
      </c>
      <c r="C175" s="2" t="s">
        <v>238</v>
      </c>
      <c r="D175" s="2" t="s">
        <v>85</v>
      </c>
      <c r="E175" s="2" t="s">
        <v>79</v>
      </c>
      <c r="F175" s="291">
        <v>0</v>
      </c>
      <c r="G175" s="291">
        <v>0</v>
      </c>
      <c r="H175" s="291">
        <v>0</v>
      </c>
      <c r="I175" s="291">
        <v>0</v>
      </c>
      <c r="J175" s="291">
        <v>0</v>
      </c>
      <c r="K175" s="291">
        <v>0</v>
      </c>
      <c r="L175" s="291">
        <v>0</v>
      </c>
      <c r="M175" s="307">
        <f t="shared" si="2"/>
        <v>0</v>
      </c>
    </row>
    <row r="176" spans="1:13" ht="13.15">
      <c r="A176" s="2" t="s">
        <v>108</v>
      </c>
      <c r="B176" s="2" t="s">
        <v>239</v>
      </c>
      <c r="C176" s="2" t="s">
        <v>240</v>
      </c>
      <c r="D176" s="2" t="s">
        <v>85</v>
      </c>
      <c r="E176" s="2" t="s">
        <v>79</v>
      </c>
      <c r="F176" s="291">
        <v>0</v>
      </c>
      <c r="G176" s="291">
        <v>0</v>
      </c>
      <c r="H176" s="291">
        <v>0</v>
      </c>
      <c r="I176" s="291">
        <v>0</v>
      </c>
      <c r="J176" s="291">
        <v>0</v>
      </c>
      <c r="K176" s="291">
        <v>0</v>
      </c>
      <c r="L176" s="291">
        <v>0</v>
      </c>
      <c r="M176" s="307">
        <f t="shared" si="2"/>
        <v>0</v>
      </c>
    </row>
    <row r="177" spans="1:13" ht="13.15">
      <c r="A177" s="2" t="s">
        <v>109</v>
      </c>
      <c r="B177" s="2" t="s">
        <v>155</v>
      </c>
      <c r="C177" s="2" t="s">
        <v>156</v>
      </c>
      <c r="D177" s="2" t="s">
        <v>85</v>
      </c>
      <c r="E177" s="2" t="s">
        <v>79</v>
      </c>
      <c r="F177" s="291">
        <v>32.992826950947837</v>
      </c>
      <c r="G177" s="291">
        <v>173.74463615386605</v>
      </c>
      <c r="H177" s="291">
        <v>768.45111532944156</v>
      </c>
      <c r="I177" s="291">
        <v>987.61290727349387</v>
      </c>
      <c r="J177" s="291">
        <v>844.60569645384396</v>
      </c>
      <c r="K177" s="291">
        <v>817.71745658196096</v>
      </c>
      <c r="L177" s="291">
        <v>656.08431310673063</v>
      </c>
      <c r="M177" s="307">
        <f t="shared" si="2"/>
        <v>4281.2089518502844</v>
      </c>
    </row>
    <row r="178" spans="1:13" ht="13.15">
      <c r="A178" s="2" t="s">
        <v>109</v>
      </c>
      <c r="B178" s="2" t="s">
        <v>157</v>
      </c>
      <c r="C178" s="2" t="s">
        <v>158</v>
      </c>
      <c r="D178" s="2" t="s">
        <v>85</v>
      </c>
      <c r="E178" s="2" t="s">
        <v>79</v>
      </c>
      <c r="F178" s="291">
        <v>0</v>
      </c>
      <c r="G178" s="291">
        <v>0</v>
      </c>
      <c r="H178" s="291">
        <v>0.42642426318553334</v>
      </c>
      <c r="I178" s="291">
        <v>0</v>
      </c>
      <c r="J178" s="291">
        <v>0</v>
      </c>
      <c r="K178" s="291">
        <v>0</v>
      </c>
      <c r="L178" s="291">
        <v>0</v>
      </c>
      <c r="M178" s="307">
        <f t="shared" si="2"/>
        <v>0.42642426318553334</v>
      </c>
    </row>
    <row r="179" spans="1:13" ht="13.15">
      <c r="A179" s="2" t="s">
        <v>109</v>
      </c>
      <c r="B179" s="2" t="s">
        <v>159</v>
      </c>
      <c r="C179" s="2" t="s">
        <v>160</v>
      </c>
      <c r="D179" s="2" t="s">
        <v>85</v>
      </c>
      <c r="E179" s="2" t="s">
        <v>79</v>
      </c>
      <c r="F179" s="291">
        <v>0.76770000000000005</v>
      </c>
      <c r="G179" s="291">
        <v>8.9380934140382529</v>
      </c>
      <c r="H179" s="291">
        <v>25.073453093591301</v>
      </c>
      <c r="I179" s="291">
        <v>8.9703584554751465</v>
      </c>
      <c r="J179" s="291">
        <v>6.5210374913048472E-2</v>
      </c>
      <c r="K179" s="291">
        <v>6.472878826234281E-2</v>
      </c>
      <c r="L179" s="291">
        <v>6.4312307609587824E-2</v>
      </c>
      <c r="M179" s="307">
        <f t="shared" si="2"/>
        <v>43.943856433889685</v>
      </c>
    </row>
    <row r="180" spans="1:13" ht="13.15">
      <c r="A180" s="2" t="s">
        <v>109</v>
      </c>
      <c r="B180" s="2" t="s">
        <v>161</v>
      </c>
      <c r="C180" s="2" t="s">
        <v>162</v>
      </c>
      <c r="D180" s="2" t="s">
        <v>85</v>
      </c>
      <c r="E180" s="2" t="s">
        <v>79</v>
      </c>
      <c r="F180" s="291">
        <v>0</v>
      </c>
      <c r="G180" s="291">
        <v>0</v>
      </c>
      <c r="H180" s="291">
        <v>0</v>
      </c>
      <c r="I180" s="291">
        <v>32.819648572746992</v>
      </c>
      <c r="J180" s="291">
        <v>32.618264941311814</v>
      </c>
      <c r="K180" s="291">
        <v>32.377375037123066</v>
      </c>
      <c r="L180" s="291">
        <v>32.169051188462383</v>
      </c>
      <c r="M180" s="307">
        <f t="shared" si="2"/>
        <v>129.98433973964427</v>
      </c>
    </row>
    <row r="181" spans="1:13" ht="13.15">
      <c r="A181" s="2" t="s">
        <v>109</v>
      </c>
      <c r="B181" s="2" t="s">
        <v>163</v>
      </c>
      <c r="C181" s="2" t="s">
        <v>164</v>
      </c>
      <c r="D181" s="2" t="s">
        <v>85</v>
      </c>
      <c r="E181" s="2" t="s">
        <v>79</v>
      </c>
      <c r="F181" s="291">
        <v>0</v>
      </c>
      <c r="G181" s="291">
        <v>5.6161036151982889E-2</v>
      </c>
      <c r="H181" s="291">
        <v>2.4221989896254192</v>
      </c>
      <c r="I181" s="291">
        <v>2.5572098117761235</v>
      </c>
      <c r="J181" s="291">
        <v>3.9281902667948509</v>
      </c>
      <c r="K181" s="291">
        <v>6.9788500070614123</v>
      </c>
      <c r="L181" s="291">
        <v>9.6210781061272677</v>
      </c>
      <c r="M181" s="307">
        <f t="shared" si="2"/>
        <v>25.563688217537056</v>
      </c>
    </row>
    <row r="182" spans="1:13" ht="13.15">
      <c r="A182" s="2" t="s">
        <v>109</v>
      </c>
      <c r="B182" s="2" t="s">
        <v>165</v>
      </c>
      <c r="C182" s="2" t="s">
        <v>166</v>
      </c>
      <c r="D182" s="2" t="s">
        <v>85</v>
      </c>
      <c r="E182" s="2" t="s">
        <v>79</v>
      </c>
      <c r="F182" s="291">
        <v>0</v>
      </c>
      <c r="G182" s="291">
        <v>0</v>
      </c>
      <c r="H182" s="291">
        <v>0</v>
      </c>
      <c r="I182" s="291">
        <v>0</v>
      </c>
      <c r="J182" s="291">
        <v>0</v>
      </c>
      <c r="K182" s="291">
        <v>0</v>
      </c>
      <c r="L182" s="291">
        <v>0</v>
      </c>
      <c r="M182" s="307">
        <f t="shared" si="2"/>
        <v>0</v>
      </c>
    </row>
    <row r="183" spans="1:13" ht="13.15">
      <c r="A183" s="2" t="s">
        <v>109</v>
      </c>
      <c r="B183" s="2" t="s">
        <v>167</v>
      </c>
      <c r="C183" s="2" t="s">
        <v>168</v>
      </c>
      <c r="D183" s="2" t="s">
        <v>85</v>
      </c>
      <c r="E183" s="2" t="s">
        <v>79</v>
      </c>
      <c r="F183" s="291">
        <v>12.371919595674161</v>
      </c>
      <c r="G183" s="291">
        <v>85.807696625975382</v>
      </c>
      <c r="H183" s="291">
        <v>196.4693887812337</v>
      </c>
      <c r="I183" s="291">
        <v>329.80822272684389</v>
      </c>
      <c r="J183" s="291">
        <v>325.70197896555896</v>
      </c>
      <c r="K183" s="291">
        <v>295.50287616499583</v>
      </c>
      <c r="L183" s="291">
        <v>295.5908998703369</v>
      </c>
      <c r="M183" s="307">
        <f t="shared" si="2"/>
        <v>1541.2529827306189</v>
      </c>
    </row>
    <row r="184" spans="1:13" ht="13.15">
      <c r="A184" s="2" t="s">
        <v>109</v>
      </c>
      <c r="B184" s="2" t="s">
        <v>169</v>
      </c>
      <c r="C184" s="2" t="s">
        <v>170</v>
      </c>
      <c r="D184" s="2" t="s">
        <v>85</v>
      </c>
      <c r="E184" s="2" t="s">
        <v>79</v>
      </c>
      <c r="F184" s="291">
        <v>0</v>
      </c>
      <c r="G184" s="291">
        <v>0</v>
      </c>
      <c r="H184" s="291">
        <v>1.3726124038857015</v>
      </c>
      <c r="I184" s="291">
        <v>5.6708088225230622</v>
      </c>
      <c r="J184" s="291">
        <v>31.806366462534466</v>
      </c>
      <c r="K184" s="291">
        <v>29.969424776491749</v>
      </c>
      <c r="L184" s="291">
        <v>5.148883151673175</v>
      </c>
      <c r="M184" s="307">
        <f t="shared" si="2"/>
        <v>73.968095617108162</v>
      </c>
    </row>
    <row r="185" spans="1:13" ht="13.15">
      <c r="A185" s="2" t="s">
        <v>109</v>
      </c>
      <c r="B185" s="2" t="s">
        <v>171</v>
      </c>
      <c r="C185" s="2" t="s">
        <v>172</v>
      </c>
      <c r="D185" s="2" t="s">
        <v>85</v>
      </c>
      <c r="E185" s="2" t="s">
        <v>79</v>
      </c>
      <c r="F185" s="291">
        <v>0</v>
      </c>
      <c r="G185" s="291">
        <v>1.5005251657780787</v>
      </c>
      <c r="H185" s="291">
        <v>1.0846899167874835</v>
      </c>
      <c r="I185" s="291">
        <v>2.5885918829955896</v>
      </c>
      <c r="J185" s="291">
        <v>0.18167562051590294</v>
      </c>
      <c r="K185" s="291">
        <v>0.18143194744351565</v>
      </c>
      <c r="L185" s="291">
        <v>0.18154224970874644</v>
      </c>
      <c r="M185" s="307">
        <f t="shared" si="2"/>
        <v>5.7184567832293167</v>
      </c>
    </row>
    <row r="186" spans="1:13" ht="13.15">
      <c r="A186" s="2" t="s">
        <v>109</v>
      </c>
      <c r="B186" s="2" t="s">
        <v>173</v>
      </c>
      <c r="C186" s="2" t="s">
        <v>174</v>
      </c>
      <c r="D186" s="2" t="s">
        <v>85</v>
      </c>
      <c r="E186" s="2" t="s">
        <v>79</v>
      </c>
      <c r="F186" s="291">
        <v>0</v>
      </c>
      <c r="G186" s="291">
        <v>0</v>
      </c>
      <c r="H186" s="291">
        <v>0</v>
      </c>
      <c r="I186" s="291">
        <v>0</v>
      </c>
      <c r="J186" s="291">
        <v>0</v>
      </c>
      <c r="K186" s="291">
        <v>0</v>
      </c>
      <c r="L186" s="291">
        <v>0</v>
      </c>
      <c r="M186" s="307">
        <f t="shared" si="2"/>
        <v>0</v>
      </c>
    </row>
    <row r="187" spans="1:13" ht="13.15">
      <c r="A187" s="2" t="s">
        <v>109</v>
      </c>
      <c r="B187" s="2" t="s">
        <v>175</v>
      </c>
      <c r="C187" s="2" t="s">
        <v>176</v>
      </c>
      <c r="D187" s="2" t="s">
        <v>85</v>
      </c>
      <c r="E187" s="2" t="s">
        <v>79</v>
      </c>
      <c r="F187" s="291">
        <v>0</v>
      </c>
      <c r="G187" s="291">
        <v>3.5577315964831309</v>
      </c>
      <c r="H187" s="291">
        <v>21.450636575820848</v>
      </c>
      <c r="I187" s="291">
        <v>2.9342494390171301</v>
      </c>
      <c r="J187" s="291">
        <v>1.773990512233744</v>
      </c>
      <c r="K187" s="291">
        <v>0.46518112183588678</v>
      </c>
      <c r="L187" s="291">
        <v>0.34372475139373704</v>
      </c>
      <c r="M187" s="307">
        <f t="shared" si="2"/>
        <v>30.525513996784476</v>
      </c>
    </row>
    <row r="188" spans="1:13" ht="13.15">
      <c r="A188" s="2" t="s">
        <v>109</v>
      </c>
      <c r="B188" s="2" t="s">
        <v>177</v>
      </c>
      <c r="C188" s="2" t="s">
        <v>178</v>
      </c>
      <c r="D188" s="2" t="s">
        <v>85</v>
      </c>
      <c r="E188" s="2" t="s">
        <v>79</v>
      </c>
      <c r="F188" s="291">
        <v>2.2770172035677088</v>
      </c>
      <c r="G188" s="291">
        <v>14.419354796656547</v>
      </c>
      <c r="H188" s="291">
        <v>64.486867701769611</v>
      </c>
      <c r="I188" s="291">
        <v>61.502827937158095</v>
      </c>
      <c r="J188" s="291">
        <v>110.34747485481884</v>
      </c>
      <c r="K188" s="291">
        <v>166.25041222475855</v>
      </c>
      <c r="L188" s="291">
        <v>112.11786346258727</v>
      </c>
      <c r="M188" s="307">
        <f t="shared" si="2"/>
        <v>531.40181818131657</v>
      </c>
    </row>
    <row r="189" spans="1:13" ht="13.15">
      <c r="A189" s="2" t="s">
        <v>109</v>
      </c>
      <c r="B189" s="2" t="s">
        <v>179</v>
      </c>
      <c r="C189" s="2" t="s">
        <v>180</v>
      </c>
      <c r="D189" s="2" t="s">
        <v>85</v>
      </c>
      <c r="E189" s="2" t="s">
        <v>79</v>
      </c>
      <c r="F189" s="291">
        <v>0</v>
      </c>
      <c r="G189" s="291">
        <v>0</v>
      </c>
      <c r="H189" s="291">
        <v>1.3130247124620795</v>
      </c>
      <c r="I189" s="291">
        <v>3.1406899777994535</v>
      </c>
      <c r="J189" s="291">
        <v>3.1288667462635913</v>
      </c>
      <c r="K189" s="291">
        <v>0.23934843384680562</v>
      </c>
      <c r="L189" s="291">
        <v>5.7642144432944582E-2</v>
      </c>
      <c r="M189" s="307">
        <f t="shared" si="2"/>
        <v>7.8795720148048742</v>
      </c>
    </row>
    <row r="190" spans="1:13" ht="13.15">
      <c r="A190" s="2" t="s">
        <v>109</v>
      </c>
      <c r="B190" s="2" t="s">
        <v>181</v>
      </c>
      <c r="C190" s="2" t="s">
        <v>182</v>
      </c>
      <c r="D190" s="2" t="s">
        <v>85</v>
      </c>
      <c r="E190" s="2" t="s">
        <v>79</v>
      </c>
      <c r="F190" s="291">
        <v>0</v>
      </c>
      <c r="G190" s="291">
        <v>9.9300378172442798</v>
      </c>
      <c r="H190" s="291">
        <v>3.259864064618196</v>
      </c>
      <c r="I190" s="291">
        <v>15.156548023089913</v>
      </c>
      <c r="J190" s="291">
        <v>51.494262233442704</v>
      </c>
      <c r="K190" s="291">
        <v>75.022604027051685</v>
      </c>
      <c r="L190" s="291">
        <v>31.880780672760579</v>
      </c>
      <c r="M190" s="307">
        <f t="shared" si="2"/>
        <v>186.74409683820735</v>
      </c>
    </row>
    <row r="191" spans="1:13" ht="13.15">
      <c r="A191" s="2" t="s">
        <v>109</v>
      </c>
      <c r="B191" s="2" t="s">
        <v>183</v>
      </c>
      <c r="C191" s="2" t="s">
        <v>184</v>
      </c>
      <c r="D191" s="2" t="s">
        <v>85</v>
      </c>
      <c r="E191" s="2" t="s">
        <v>79</v>
      </c>
      <c r="F191" s="291">
        <v>0</v>
      </c>
      <c r="G191" s="291">
        <v>0</v>
      </c>
      <c r="H191" s="291">
        <v>0</v>
      </c>
      <c r="I191" s="291">
        <v>0</v>
      </c>
      <c r="J191" s="291">
        <v>0</v>
      </c>
      <c r="K191" s="291">
        <v>0</v>
      </c>
      <c r="L191" s="291">
        <v>0</v>
      </c>
      <c r="M191" s="307">
        <f t="shared" si="2"/>
        <v>0</v>
      </c>
    </row>
    <row r="192" spans="1:13" ht="13.15">
      <c r="A192" s="2" t="s">
        <v>109</v>
      </c>
      <c r="B192" s="2" t="s">
        <v>185</v>
      </c>
      <c r="C192" s="2" t="s">
        <v>186</v>
      </c>
      <c r="D192" s="2" t="s">
        <v>85</v>
      </c>
      <c r="E192" s="2" t="s">
        <v>79</v>
      </c>
      <c r="F192" s="291">
        <v>0</v>
      </c>
      <c r="G192" s="291">
        <v>0</v>
      </c>
      <c r="H192" s="291">
        <v>4.3655975803470062</v>
      </c>
      <c r="I192" s="291">
        <v>4.3547838927659024</v>
      </c>
      <c r="J192" s="291">
        <v>4.2986252825047311</v>
      </c>
      <c r="K192" s="291">
        <v>4.2928597360508114</v>
      </c>
      <c r="L192" s="291">
        <v>4.2912088935742707</v>
      </c>
      <c r="M192" s="307">
        <f t="shared" si="2"/>
        <v>21.603075385242722</v>
      </c>
    </row>
    <row r="193" spans="1:13" ht="13.15">
      <c r="A193" s="2" t="s">
        <v>109</v>
      </c>
      <c r="B193" s="2" t="s">
        <v>187</v>
      </c>
      <c r="C193" s="2" t="s">
        <v>188</v>
      </c>
      <c r="D193" s="2" t="s">
        <v>85</v>
      </c>
      <c r="E193" s="2" t="s">
        <v>79</v>
      </c>
      <c r="F193" s="291">
        <v>0</v>
      </c>
      <c r="G193" s="291">
        <v>0</v>
      </c>
      <c r="H193" s="291">
        <v>0</v>
      </c>
      <c r="I193" s="291">
        <v>0</v>
      </c>
      <c r="J193" s="291">
        <v>0</v>
      </c>
      <c r="K193" s="291">
        <v>0</v>
      </c>
      <c r="L193" s="291">
        <v>0</v>
      </c>
      <c r="M193" s="307">
        <f t="shared" si="2"/>
        <v>0</v>
      </c>
    </row>
    <row r="194" spans="1:13" ht="13.15">
      <c r="A194" s="2" t="s">
        <v>109</v>
      </c>
      <c r="B194" s="2" t="s">
        <v>189</v>
      </c>
      <c r="C194" s="2" t="s">
        <v>190</v>
      </c>
      <c r="D194" s="2" t="s">
        <v>85</v>
      </c>
      <c r="E194" s="2" t="s">
        <v>79</v>
      </c>
      <c r="F194" s="291">
        <v>0</v>
      </c>
      <c r="G194" s="291">
        <v>0</v>
      </c>
      <c r="H194" s="291">
        <v>0</v>
      </c>
      <c r="I194" s="291">
        <v>0</v>
      </c>
      <c r="J194" s="291">
        <v>0</v>
      </c>
      <c r="K194" s="291">
        <v>0</v>
      </c>
      <c r="L194" s="291">
        <v>0</v>
      </c>
      <c r="M194" s="307">
        <f t="shared" si="2"/>
        <v>0</v>
      </c>
    </row>
    <row r="195" spans="1:13" ht="13.15">
      <c r="A195" s="2" t="s">
        <v>109</v>
      </c>
      <c r="B195" s="2" t="s">
        <v>191</v>
      </c>
      <c r="C195" s="2" t="s">
        <v>192</v>
      </c>
      <c r="D195" s="2" t="s">
        <v>85</v>
      </c>
      <c r="E195" s="2" t="s">
        <v>79</v>
      </c>
      <c r="F195" s="291">
        <v>0</v>
      </c>
      <c r="G195" s="291">
        <v>8.8665621639698884</v>
      </c>
      <c r="H195" s="291">
        <v>46.784550853048479</v>
      </c>
      <c r="I195" s="291">
        <v>24.269824281432832</v>
      </c>
      <c r="J195" s="291">
        <v>0</v>
      </c>
      <c r="K195" s="291">
        <v>0</v>
      </c>
      <c r="L195" s="291">
        <v>0</v>
      </c>
      <c r="M195" s="307">
        <f t="shared" si="2"/>
        <v>79.920937298451207</v>
      </c>
    </row>
    <row r="196" spans="1:13" ht="13.15">
      <c r="A196" s="2" t="s">
        <v>109</v>
      </c>
      <c r="B196" s="2" t="s">
        <v>193</v>
      </c>
      <c r="C196" s="2" t="s">
        <v>194</v>
      </c>
      <c r="D196" s="2" t="s">
        <v>85</v>
      </c>
      <c r="E196" s="2" t="s">
        <v>79</v>
      </c>
      <c r="F196" s="291">
        <v>0</v>
      </c>
      <c r="G196" s="291">
        <v>0.38175871190220445</v>
      </c>
      <c r="H196" s="291">
        <v>1.4019313872485208</v>
      </c>
      <c r="I196" s="291">
        <v>2.4187516998213505</v>
      </c>
      <c r="J196" s="291">
        <v>1.3580846227491721</v>
      </c>
      <c r="K196" s="291">
        <v>0.11360057168220516</v>
      </c>
      <c r="L196" s="291">
        <v>3.96069634486622E-2</v>
      </c>
      <c r="M196" s="307">
        <f t="shared" si="2"/>
        <v>5.7137339568521162</v>
      </c>
    </row>
    <row r="197" spans="1:13" ht="13.15">
      <c r="A197" s="2" t="s">
        <v>109</v>
      </c>
      <c r="B197" s="2" t="s">
        <v>195</v>
      </c>
      <c r="C197" s="2" t="s">
        <v>196</v>
      </c>
      <c r="D197" s="2" t="s">
        <v>85</v>
      </c>
      <c r="E197" s="2" t="s">
        <v>79</v>
      </c>
      <c r="F197" s="291">
        <v>0</v>
      </c>
      <c r="G197" s="291">
        <v>0</v>
      </c>
      <c r="H197" s="291">
        <v>0</v>
      </c>
      <c r="I197" s="291">
        <v>0</v>
      </c>
      <c r="J197" s="291">
        <v>0</v>
      </c>
      <c r="K197" s="291">
        <v>0</v>
      </c>
      <c r="L197" s="291">
        <v>0</v>
      </c>
      <c r="M197" s="307">
        <f t="shared" ref="M197:M260" si="3">SUM(F197:L197)</f>
        <v>0</v>
      </c>
    </row>
    <row r="198" spans="1:13" ht="13.15">
      <c r="A198" s="2" t="s">
        <v>109</v>
      </c>
      <c r="B198" s="2" t="s">
        <v>197</v>
      </c>
      <c r="C198" s="2" t="s">
        <v>198</v>
      </c>
      <c r="D198" s="2" t="s">
        <v>85</v>
      </c>
      <c r="E198" s="2" t="s">
        <v>79</v>
      </c>
      <c r="F198" s="291">
        <v>0</v>
      </c>
      <c r="G198" s="291">
        <v>0</v>
      </c>
      <c r="H198" s="291">
        <v>0</v>
      </c>
      <c r="I198" s="291">
        <v>0</v>
      </c>
      <c r="J198" s="291">
        <v>0</v>
      </c>
      <c r="K198" s="291">
        <v>0</v>
      </c>
      <c r="L198" s="291">
        <v>0</v>
      </c>
      <c r="M198" s="307">
        <f t="shared" si="3"/>
        <v>0</v>
      </c>
    </row>
    <row r="199" spans="1:13" ht="13.15">
      <c r="A199" s="2" t="s">
        <v>109</v>
      </c>
      <c r="B199" s="2" t="s">
        <v>199</v>
      </c>
      <c r="C199" s="2" t="s">
        <v>200</v>
      </c>
      <c r="D199" s="2" t="s">
        <v>85</v>
      </c>
      <c r="E199" s="2" t="s">
        <v>79</v>
      </c>
      <c r="F199" s="291">
        <v>0</v>
      </c>
      <c r="G199" s="291">
        <v>4.7238387872458434</v>
      </c>
      <c r="H199" s="291">
        <v>22.120241374313526</v>
      </c>
      <c r="I199" s="291">
        <v>22.498674546687347</v>
      </c>
      <c r="J199" s="291">
        <v>0</v>
      </c>
      <c r="K199" s="291">
        <v>0</v>
      </c>
      <c r="L199" s="291">
        <v>0</v>
      </c>
      <c r="M199" s="307">
        <f t="shared" si="3"/>
        <v>49.342754708246716</v>
      </c>
    </row>
    <row r="200" spans="1:13" ht="13.15">
      <c r="A200" s="2" t="s">
        <v>109</v>
      </c>
      <c r="B200" s="2" t="s">
        <v>201</v>
      </c>
      <c r="C200" s="2" t="s">
        <v>202</v>
      </c>
      <c r="D200" s="2" t="s">
        <v>85</v>
      </c>
      <c r="E200" s="2" t="s">
        <v>79</v>
      </c>
      <c r="F200" s="291">
        <v>0</v>
      </c>
      <c r="G200" s="291">
        <v>0</v>
      </c>
      <c r="H200" s="291">
        <v>0</v>
      </c>
      <c r="I200" s="291">
        <v>0</v>
      </c>
      <c r="J200" s="291">
        <v>0</v>
      </c>
      <c r="K200" s="291">
        <v>0</v>
      </c>
      <c r="L200" s="291">
        <v>0</v>
      </c>
      <c r="M200" s="307">
        <f t="shared" si="3"/>
        <v>0</v>
      </c>
    </row>
    <row r="201" spans="1:13" ht="13.15">
      <c r="A201" s="2" t="s">
        <v>109</v>
      </c>
      <c r="B201" s="2" t="s">
        <v>203</v>
      </c>
      <c r="C201" s="2" t="s">
        <v>204</v>
      </c>
      <c r="D201" s="2" t="s">
        <v>85</v>
      </c>
      <c r="E201" s="2" t="s">
        <v>79</v>
      </c>
      <c r="F201" s="291">
        <v>0</v>
      </c>
      <c r="G201" s="291">
        <v>0</v>
      </c>
      <c r="H201" s="291">
        <v>0</v>
      </c>
      <c r="I201" s="291">
        <v>0</v>
      </c>
      <c r="J201" s="291">
        <v>0</v>
      </c>
      <c r="K201" s="291">
        <v>0</v>
      </c>
      <c r="L201" s="291">
        <v>0</v>
      </c>
      <c r="M201" s="307">
        <f t="shared" si="3"/>
        <v>0</v>
      </c>
    </row>
    <row r="202" spans="1:13" ht="13.15">
      <c r="A202" s="2" t="s">
        <v>109</v>
      </c>
      <c r="B202" s="2" t="s">
        <v>205</v>
      </c>
      <c r="C202" s="2" t="s">
        <v>206</v>
      </c>
      <c r="D202" s="2" t="s">
        <v>85</v>
      </c>
      <c r="E202" s="2" t="s">
        <v>79</v>
      </c>
      <c r="F202" s="291">
        <v>0</v>
      </c>
      <c r="G202" s="291">
        <v>0</v>
      </c>
      <c r="H202" s="291">
        <v>0</v>
      </c>
      <c r="I202" s="291">
        <v>0</v>
      </c>
      <c r="J202" s="291">
        <v>0</v>
      </c>
      <c r="K202" s="291">
        <v>0</v>
      </c>
      <c r="L202" s="291">
        <v>0</v>
      </c>
      <c r="M202" s="307">
        <f t="shared" si="3"/>
        <v>0</v>
      </c>
    </row>
    <row r="203" spans="1:13" ht="13.15">
      <c r="A203" s="2" t="s">
        <v>109</v>
      </c>
      <c r="B203" s="2" t="s">
        <v>207</v>
      </c>
      <c r="C203" s="2" t="s">
        <v>208</v>
      </c>
      <c r="D203" s="2" t="s">
        <v>85</v>
      </c>
      <c r="E203" s="2" t="s">
        <v>79</v>
      </c>
      <c r="F203" s="291">
        <v>0</v>
      </c>
      <c r="G203" s="291">
        <v>0</v>
      </c>
      <c r="H203" s="291">
        <v>0</v>
      </c>
      <c r="I203" s="291">
        <v>0</v>
      </c>
      <c r="J203" s="291">
        <v>0</v>
      </c>
      <c r="K203" s="291">
        <v>0</v>
      </c>
      <c r="L203" s="291">
        <v>0</v>
      </c>
      <c r="M203" s="307">
        <f t="shared" si="3"/>
        <v>0</v>
      </c>
    </row>
    <row r="204" spans="1:13" ht="13.15">
      <c r="A204" s="2" t="s">
        <v>109</v>
      </c>
      <c r="B204" s="2" t="s">
        <v>209</v>
      </c>
      <c r="C204" s="2" t="s">
        <v>210</v>
      </c>
      <c r="D204" s="2" t="s">
        <v>85</v>
      </c>
      <c r="E204" s="2" t="s">
        <v>79</v>
      </c>
      <c r="F204" s="291">
        <v>0</v>
      </c>
      <c r="G204" s="291">
        <v>0</v>
      </c>
      <c r="H204" s="291">
        <v>0</v>
      </c>
      <c r="I204" s="291">
        <v>0</v>
      </c>
      <c r="J204" s="291">
        <v>0</v>
      </c>
      <c r="K204" s="291">
        <v>0</v>
      </c>
      <c r="L204" s="291">
        <v>0</v>
      </c>
      <c r="M204" s="307">
        <f t="shared" si="3"/>
        <v>0</v>
      </c>
    </row>
    <row r="205" spans="1:13" ht="13.15">
      <c r="A205" s="2" t="s">
        <v>109</v>
      </c>
      <c r="B205" s="2" t="s">
        <v>211</v>
      </c>
      <c r="C205" s="2" t="s">
        <v>212</v>
      </c>
      <c r="D205" s="2" t="s">
        <v>85</v>
      </c>
      <c r="E205" s="2" t="s">
        <v>79</v>
      </c>
      <c r="F205" s="291">
        <v>0</v>
      </c>
      <c r="G205" s="291">
        <v>0</v>
      </c>
      <c r="H205" s="291">
        <v>0</v>
      </c>
      <c r="I205" s="291">
        <v>0</v>
      </c>
      <c r="J205" s="291">
        <v>0</v>
      </c>
      <c r="K205" s="291">
        <v>0</v>
      </c>
      <c r="L205" s="291">
        <v>0</v>
      </c>
      <c r="M205" s="307">
        <f t="shared" si="3"/>
        <v>0</v>
      </c>
    </row>
    <row r="206" spans="1:13" ht="13.15">
      <c r="A206" s="2" t="s">
        <v>109</v>
      </c>
      <c r="B206" s="2" t="s">
        <v>213</v>
      </c>
      <c r="C206" s="2" t="s">
        <v>214</v>
      </c>
      <c r="D206" s="2" t="s">
        <v>85</v>
      </c>
      <c r="E206" s="2" t="s">
        <v>79</v>
      </c>
      <c r="F206" s="291">
        <v>0</v>
      </c>
      <c r="G206" s="291">
        <v>0</v>
      </c>
      <c r="H206" s="291">
        <v>3.2194557791539129</v>
      </c>
      <c r="I206" s="291">
        <v>3.3236801482929383</v>
      </c>
      <c r="J206" s="291">
        <v>3.4254455325760622</v>
      </c>
      <c r="K206" s="291">
        <v>3.5232779077258538</v>
      </c>
      <c r="L206" s="291">
        <v>3.6238892581663005</v>
      </c>
      <c r="M206" s="307">
        <f t="shared" si="3"/>
        <v>17.115748625915067</v>
      </c>
    </row>
    <row r="207" spans="1:13" ht="13.15">
      <c r="A207" s="2" t="s">
        <v>109</v>
      </c>
      <c r="B207" s="2" t="s">
        <v>215</v>
      </c>
      <c r="C207" s="2" t="s">
        <v>216</v>
      </c>
      <c r="D207" s="2" t="s">
        <v>85</v>
      </c>
      <c r="E207" s="2" t="s">
        <v>79</v>
      </c>
      <c r="F207" s="291">
        <v>0</v>
      </c>
      <c r="G207" s="291">
        <v>0</v>
      </c>
      <c r="H207" s="291">
        <v>0</v>
      </c>
      <c r="I207" s="291">
        <v>0</v>
      </c>
      <c r="J207" s="291">
        <v>0</v>
      </c>
      <c r="K207" s="291">
        <v>0</v>
      </c>
      <c r="L207" s="291">
        <v>0</v>
      </c>
      <c r="M207" s="307">
        <f t="shared" si="3"/>
        <v>0</v>
      </c>
    </row>
    <row r="208" spans="1:13" ht="13.15">
      <c r="A208" s="2" t="s">
        <v>109</v>
      </c>
      <c r="B208" s="2" t="s">
        <v>217</v>
      </c>
      <c r="C208" s="2" t="s">
        <v>218</v>
      </c>
      <c r="D208" s="2" t="s">
        <v>85</v>
      </c>
      <c r="E208" s="2" t="s">
        <v>79</v>
      </c>
      <c r="F208" s="291">
        <v>0</v>
      </c>
      <c r="G208" s="291">
        <v>4.0279037535470295</v>
      </c>
      <c r="H208" s="291">
        <v>27.969073254744877</v>
      </c>
      <c r="I208" s="291">
        <v>-0.16715438560697032</v>
      </c>
      <c r="J208" s="291">
        <v>-0.16706030481606873</v>
      </c>
      <c r="K208" s="291">
        <v>-0.16678216458303935</v>
      </c>
      <c r="L208" s="291">
        <v>-0.16664441816836909</v>
      </c>
      <c r="M208" s="307">
        <f t="shared" si="3"/>
        <v>31.329335735117457</v>
      </c>
    </row>
    <row r="209" spans="1:13" ht="13.15">
      <c r="A209" s="2" t="s">
        <v>109</v>
      </c>
      <c r="B209" s="2" t="s">
        <v>219</v>
      </c>
      <c r="C209" s="2" t="s">
        <v>220</v>
      </c>
      <c r="D209" s="2" t="s">
        <v>85</v>
      </c>
      <c r="E209" s="2" t="s">
        <v>79</v>
      </c>
      <c r="F209" s="291">
        <v>0</v>
      </c>
      <c r="G209" s="291">
        <v>0</v>
      </c>
      <c r="H209" s="291">
        <v>14.69866300057207</v>
      </c>
      <c r="I209" s="291">
        <v>49.750830844386307</v>
      </c>
      <c r="J209" s="291">
        <v>44.889501632809299</v>
      </c>
      <c r="K209" s="291">
        <v>38.086786691444509</v>
      </c>
      <c r="L209" s="291">
        <v>35.577014183087833</v>
      </c>
      <c r="M209" s="307">
        <f t="shared" si="3"/>
        <v>183.00279635230004</v>
      </c>
    </row>
    <row r="210" spans="1:13" ht="13.15">
      <c r="A210" s="2" t="s">
        <v>109</v>
      </c>
      <c r="B210" s="2" t="s">
        <v>221</v>
      </c>
      <c r="C210" s="2" t="s">
        <v>222</v>
      </c>
      <c r="D210" s="2" t="s">
        <v>85</v>
      </c>
      <c r="E210" s="2" t="s">
        <v>79</v>
      </c>
      <c r="F210" s="291">
        <v>0</v>
      </c>
      <c r="G210" s="291">
        <v>0</v>
      </c>
      <c r="H210" s="291">
        <v>0</v>
      </c>
      <c r="I210" s="291">
        <v>0</v>
      </c>
      <c r="J210" s="291">
        <v>0</v>
      </c>
      <c r="K210" s="291">
        <v>0</v>
      </c>
      <c r="L210" s="291">
        <v>0</v>
      </c>
      <c r="M210" s="307">
        <f t="shared" si="3"/>
        <v>0</v>
      </c>
    </row>
    <row r="211" spans="1:13" ht="13.15">
      <c r="A211" s="2" t="s">
        <v>109</v>
      </c>
      <c r="B211" s="2" t="s">
        <v>223</v>
      </c>
      <c r="C211" s="2" t="s">
        <v>224</v>
      </c>
      <c r="D211" s="2" t="s">
        <v>85</v>
      </c>
      <c r="E211" s="2" t="s">
        <v>79</v>
      </c>
      <c r="F211" s="291">
        <v>17.576190151705969</v>
      </c>
      <c r="G211" s="291">
        <v>29.624207072858116</v>
      </c>
      <c r="H211" s="291">
        <v>203.32894012287099</v>
      </c>
      <c r="I211" s="291">
        <v>215.07087858464351</v>
      </c>
      <c r="J211" s="291">
        <v>146.30046070039401</v>
      </c>
      <c r="K211" s="291">
        <v>60.23870596773984</v>
      </c>
      <c r="L211" s="291">
        <v>18.604319075218637</v>
      </c>
      <c r="M211" s="307">
        <f t="shared" si="3"/>
        <v>690.74370167543111</v>
      </c>
    </row>
    <row r="212" spans="1:13" ht="13.15">
      <c r="A212" s="2" t="s">
        <v>109</v>
      </c>
      <c r="B212" s="2" t="s">
        <v>225</v>
      </c>
      <c r="C212" s="2" t="s">
        <v>226</v>
      </c>
      <c r="D212" s="2" t="s">
        <v>85</v>
      </c>
      <c r="E212" s="2" t="s">
        <v>79</v>
      </c>
      <c r="F212" s="291">
        <v>0</v>
      </c>
      <c r="G212" s="291">
        <v>0</v>
      </c>
      <c r="H212" s="291">
        <v>4.6761204809857091</v>
      </c>
      <c r="I212" s="291">
        <v>4.6797237841333565</v>
      </c>
      <c r="J212" s="291">
        <v>4.6793279694005907</v>
      </c>
      <c r="K212" s="291">
        <v>4.673051804113399</v>
      </c>
      <c r="L212" s="291">
        <v>4.6712547567166425</v>
      </c>
      <c r="M212" s="307">
        <f t="shared" si="3"/>
        <v>23.379478795349698</v>
      </c>
    </row>
    <row r="213" spans="1:13" ht="13.15">
      <c r="A213" s="2" t="s">
        <v>109</v>
      </c>
      <c r="B213" s="2" t="s">
        <v>227</v>
      </c>
      <c r="C213" s="2" t="s">
        <v>228</v>
      </c>
      <c r="D213" s="2" t="s">
        <v>85</v>
      </c>
      <c r="E213" s="2" t="s">
        <v>79</v>
      </c>
      <c r="F213" s="291">
        <v>0</v>
      </c>
      <c r="G213" s="291">
        <v>0</v>
      </c>
      <c r="H213" s="291">
        <v>0</v>
      </c>
      <c r="I213" s="291">
        <v>0</v>
      </c>
      <c r="J213" s="291">
        <v>0</v>
      </c>
      <c r="K213" s="291">
        <v>0</v>
      </c>
      <c r="L213" s="291">
        <v>0</v>
      </c>
      <c r="M213" s="307">
        <f t="shared" si="3"/>
        <v>0</v>
      </c>
    </row>
    <row r="214" spans="1:13" ht="13.15">
      <c r="A214" s="2" t="s">
        <v>109</v>
      </c>
      <c r="B214" s="2" t="s">
        <v>229</v>
      </c>
      <c r="C214" s="2" t="s">
        <v>230</v>
      </c>
      <c r="D214" s="2" t="s">
        <v>85</v>
      </c>
      <c r="E214" s="2" t="s">
        <v>79</v>
      </c>
      <c r="F214" s="291">
        <v>0</v>
      </c>
      <c r="G214" s="291">
        <v>0</v>
      </c>
      <c r="H214" s="291">
        <v>3.0451918963768381</v>
      </c>
      <c r="I214" s="291">
        <v>4.5746737427856647</v>
      </c>
      <c r="J214" s="291">
        <v>4.572608597485198</v>
      </c>
      <c r="K214" s="291">
        <v>9.1426119294801431</v>
      </c>
      <c r="L214" s="291">
        <v>9.1397699174627096</v>
      </c>
      <c r="M214" s="307">
        <f t="shared" si="3"/>
        <v>30.474856083590552</v>
      </c>
    </row>
    <row r="215" spans="1:13" ht="13.15">
      <c r="A215" s="2" t="s">
        <v>109</v>
      </c>
      <c r="B215" s="2" t="s">
        <v>231</v>
      </c>
      <c r="C215" s="2" t="s">
        <v>232</v>
      </c>
      <c r="D215" s="2" t="s">
        <v>85</v>
      </c>
      <c r="E215" s="2" t="s">
        <v>79</v>
      </c>
      <c r="F215" s="291">
        <v>0</v>
      </c>
      <c r="G215" s="291">
        <v>0</v>
      </c>
      <c r="H215" s="291">
        <v>0</v>
      </c>
      <c r="I215" s="291">
        <v>0</v>
      </c>
      <c r="J215" s="291">
        <v>0</v>
      </c>
      <c r="K215" s="291">
        <v>0</v>
      </c>
      <c r="L215" s="291">
        <v>0</v>
      </c>
      <c r="M215" s="307">
        <f t="shared" si="3"/>
        <v>0</v>
      </c>
    </row>
    <row r="216" spans="1:13" ht="13.15">
      <c r="A216" s="2" t="s">
        <v>109</v>
      </c>
      <c r="B216" s="2" t="s">
        <v>233</v>
      </c>
      <c r="C216" s="2" t="s">
        <v>234</v>
      </c>
      <c r="D216" s="2" t="s">
        <v>85</v>
      </c>
      <c r="E216" s="2" t="s">
        <v>79</v>
      </c>
      <c r="F216" s="291">
        <v>0</v>
      </c>
      <c r="G216" s="291">
        <v>1.903192586691614</v>
      </c>
      <c r="H216" s="291">
        <v>1.1676501327095978</v>
      </c>
      <c r="I216" s="291">
        <v>2.9010865537956088</v>
      </c>
      <c r="J216" s="291">
        <v>2.8480785098910961</v>
      </c>
      <c r="K216" s="291">
        <v>2.1121719078682268</v>
      </c>
      <c r="L216" s="291">
        <v>2.0447882958583183</v>
      </c>
      <c r="M216" s="307">
        <f t="shared" si="3"/>
        <v>12.976967986814461</v>
      </c>
    </row>
    <row r="217" spans="1:13" ht="13.15">
      <c r="A217" s="2" t="s">
        <v>109</v>
      </c>
      <c r="B217" s="2" t="s">
        <v>235</v>
      </c>
      <c r="C217" s="2" t="s">
        <v>236</v>
      </c>
      <c r="D217" s="2" t="s">
        <v>85</v>
      </c>
      <c r="E217" s="2" t="s">
        <v>79</v>
      </c>
      <c r="F217" s="291">
        <v>0</v>
      </c>
      <c r="G217" s="291">
        <v>0</v>
      </c>
      <c r="H217" s="291">
        <v>41.088369655702436</v>
      </c>
      <c r="I217" s="291">
        <v>71.633415006211052</v>
      </c>
      <c r="J217" s="291">
        <v>54.868753594255416</v>
      </c>
      <c r="K217" s="291">
        <v>59.179217977388198</v>
      </c>
      <c r="L217" s="291">
        <v>61.618143371888891</v>
      </c>
      <c r="M217" s="307">
        <f t="shared" si="3"/>
        <v>288.38789960544602</v>
      </c>
    </row>
    <row r="218" spans="1:13" ht="13.15">
      <c r="A218" s="2" t="s">
        <v>109</v>
      </c>
      <c r="B218" s="2" t="s">
        <v>237</v>
      </c>
      <c r="C218" s="2" t="s">
        <v>238</v>
      </c>
      <c r="D218" s="2" t="s">
        <v>85</v>
      </c>
      <c r="E218" s="2" t="s">
        <v>79</v>
      </c>
      <c r="F218" s="291">
        <v>0</v>
      </c>
      <c r="G218" s="291">
        <v>7.5726253236969906E-3</v>
      </c>
      <c r="H218" s="291">
        <v>0.20734670048375853</v>
      </c>
      <c r="I218" s="291">
        <v>0.3199892467310062</v>
      </c>
      <c r="J218" s="291">
        <v>5.5885911640394373E-2</v>
      </c>
      <c r="K218" s="291">
        <v>8.7107906090438475E-2</v>
      </c>
      <c r="L218" s="291">
        <v>8.8324140827855432E-2</v>
      </c>
      <c r="M218" s="307">
        <f t="shared" si="3"/>
        <v>0.76622653109715</v>
      </c>
    </row>
    <row r="219" spans="1:13" ht="13.15">
      <c r="A219" s="2" t="s">
        <v>109</v>
      </c>
      <c r="B219" s="2" t="s">
        <v>239</v>
      </c>
      <c r="C219" s="2" t="s">
        <v>240</v>
      </c>
      <c r="D219" s="2" t="s">
        <v>85</v>
      </c>
      <c r="E219" s="2" t="s">
        <v>79</v>
      </c>
      <c r="F219" s="291">
        <v>0</v>
      </c>
      <c r="G219" s="291">
        <v>0</v>
      </c>
      <c r="H219" s="291">
        <v>77.018822607903957</v>
      </c>
      <c r="I219" s="291">
        <v>116.83459367798849</v>
      </c>
      <c r="J219" s="291">
        <v>16.429703426565979</v>
      </c>
      <c r="K219" s="291">
        <v>29.382613818089649</v>
      </c>
      <c r="L219" s="291">
        <v>29.376860763556426</v>
      </c>
      <c r="M219" s="307">
        <f t="shared" si="3"/>
        <v>269.0425942941045</v>
      </c>
    </row>
    <row r="220" spans="1:13" ht="13.15">
      <c r="A220" s="2" t="s">
        <v>110</v>
      </c>
      <c r="B220" s="2" t="s">
        <v>155</v>
      </c>
      <c r="C220" s="2" t="s">
        <v>156</v>
      </c>
      <c r="D220" s="2" t="s">
        <v>85</v>
      </c>
      <c r="E220" s="2" t="s">
        <v>79</v>
      </c>
      <c r="F220" s="291">
        <v>0.12509812423909708</v>
      </c>
      <c r="G220" s="291">
        <v>93.080914078793171</v>
      </c>
      <c r="H220" s="291">
        <v>215.40604296837205</v>
      </c>
      <c r="I220" s="291">
        <v>234.94815942875411</v>
      </c>
      <c r="J220" s="291">
        <v>211.72758016083591</v>
      </c>
      <c r="K220" s="291">
        <v>219.98043770088822</v>
      </c>
      <c r="L220" s="291">
        <v>148.65369168873443</v>
      </c>
      <c r="M220" s="307">
        <f t="shared" si="3"/>
        <v>1123.9219241506171</v>
      </c>
    </row>
    <row r="221" spans="1:13" ht="13.15">
      <c r="A221" s="2" t="s">
        <v>110</v>
      </c>
      <c r="B221" s="2" t="s">
        <v>157</v>
      </c>
      <c r="C221" s="2" t="s">
        <v>158</v>
      </c>
      <c r="D221" s="2" t="s">
        <v>85</v>
      </c>
      <c r="E221" s="2" t="s">
        <v>79</v>
      </c>
      <c r="F221" s="291">
        <v>0</v>
      </c>
      <c r="G221" s="291">
        <v>0</v>
      </c>
      <c r="H221" s="291">
        <v>0.31964663796657666</v>
      </c>
      <c r="I221" s="291">
        <v>0.31795695780699684</v>
      </c>
      <c r="J221" s="291">
        <v>0.15897231938262085</v>
      </c>
      <c r="K221" s="291">
        <v>0.157798289223333</v>
      </c>
      <c r="L221" s="291">
        <v>0.1567829769293195</v>
      </c>
      <c r="M221" s="307">
        <f t="shared" si="3"/>
        <v>1.1111571813088468</v>
      </c>
    </row>
    <row r="222" spans="1:13" ht="13.15">
      <c r="A222" s="2" t="s">
        <v>110</v>
      </c>
      <c r="B222" s="2" t="s">
        <v>159</v>
      </c>
      <c r="C222" s="2" t="s">
        <v>160</v>
      </c>
      <c r="D222" s="2" t="s">
        <v>85</v>
      </c>
      <c r="E222" s="2" t="s">
        <v>79</v>
      </c>
      <c r="F222" s="291">
        <v>0</v>
      </c>
      <c r="G222" s="291">
        <v>0</v>
      </c>
      <c r="H222" s="291">
        <v>6.9863896146007063</v>
      </c>
      <c r="I222" s="291">
        <v>6.0352120081975054</v>
      </c>
      <c r="J222" s="291">
        <v>5.2873276956525793E-2</v>
      </c>
      <c r="K222" s="291">
        <v>5.2482801293791466E-2</v>
      </c>
      <c r="L222" s="291">
        <v>5.2145114278044184E-2</v>
      </c>
      <c r="M222" s="307">
        <f t="shared" si="3"/>
        <v>13.179102815326573</v>
      </c>
    </row>
    <row r="223" spans="1:13" ht="13.15">
      <c r="A223" s="2" t="s">
        <v>110</v>
      </c>
      <c r="B223" s="2" t="s">
        <v>161</v>
      </c>
      <c r="C223" s="2" t="s">
        <v>162</v>
      </c>
      <c r="D223" s="2" t="s">
        <v>85</v>
      </c>
      <c r="E223" s="2" t="s">
        <v>79</v>
      </c>
      <c r="F223" s="291">
        <v>0</v>
      </c>
      <c r="G223" s="291">
        <v>0</v>
      </c>
      <c r="H223" s="291">
        <v>10.822051042708358</v>
      </c>
      <c r="I223" s="291">
        <v>10.764844731861013</v>
      </c>
      <c r="J223" s="291">
        <v>10.698790900750273</v>
      </c>
      <c r="K223" s="291">
        <v>10.619779012176364</v>
      </c>
      <c r="L223" s="291">
        <v>10.422772585061812</v>
      </c>
      <c r="M223" s="307">
        <f t="shared" si="3"/>
        <v>53.328238272557826</v>
      </c>
    </row>
    <row r="224" spans="1:13" ht="13.15">
      <c r="A224" s="2" t="s">
        <v>110</v>
      </c>
      <c r="B224" s="2" t="s">
        <v>163</v>
      </c>
      <c r="C224" s="2" t="s">
        <v>164</v>
      </c>
      <c r="D224" s="2" t="s">
        <v>85</v>
      </c>
      <c r="E224" s="2" t="s">
        <v>79</v>
      </c>
      <c r="F224" s="291">
        <v>0</v>
      </c>
      <c r="G224" s="291">
        <v>0</v>
      </c>
      <c r="H224" s="291">
        <v>2.0002427651896211</v>
      </c>
      <c r="I224" s="291">
        <v>1.9896693065223117</v>
      </c>
      <c r="J224" s="291">
        <v>1.9774605581740641</v>
      </c>
      <c r="K224" s="291">
        <v>1.9628567683878007</v>
      </c>
      <c r="L224" s="291">
        <v>1.9502272739988524</v>
      </c>
      <c r="M224" s="307">
        <f t="shared" si="3"/>
        <v>9.8804566722726506</v>
      </c>
    </row>
    <row r="225" spans="1:13" ht="13.15">
      <c r="A225" s="2" t="s">
        <v>110</v>
      </c>
      <c r="B225" s="2" t="s">
        <v>165</v>
      </c>
      <c r="C225" s="2" t="s">
        <v>166</v>
      </c>
      <c r="D225" s="2" t="s">
        <v>85</v>
      </c>
      <c r="E225" s="2" t="s">
        <v>79</v>
      </c>
      <c r="F225" s="291">
        <v>0</v>
      </c>
      <c r="G225" s="291">
        <v>0</v>
      </c>
      <c r="H225" s="291">
        <v>0</v>
      </c>
      <c r="I225" s="291">
        <v>0</v>
      </c>
      <c r="J225" s="291">
        <v>0</v>
      </c>
      <c r="K225" s="291">
        <v>0</v>
      </c>
      <c r="L225" s="291">
        <v>0</v>
      </c>
      <c r="M225" s="307">
        <f t="shared" si="3"/>
        <v>0</v>
      </c>
    </row>
    <row r="226" spans="1:13" ht="13.15">
      <c r="A226" s="2" t="s">
        <v>110</v>
      </c>
      <c r="B226" s="2" t="s">
        <v>167</v>
      </c>
      <c r="C226" s="2" t="s">
        <v>168</v>
      </c>
      <c r="D226" s="2" t="s">
        <v>85</v>
      </c>
      <c r="E226" s="2" t="s">
        <v>79</v>
      </c>
      <c r="F226" s="291">
        <v>0.12509812423909708</v>
      </c>
      <c r="G226" s="291">
        <v>82.283468031023688</v>
      </c>
      <c r="H226" s="291">
        <v>118.07482916443055</v>
      </c>
      <c r="I226" s="291">
        <v>122.88270130838355</v>
      </c>
      <c r="J226" s="291">
        <v>121.19763086401296</v>
      </c>
      <c r="K226" s="291">
        <v>154.92375987432877</v>
      </c>
      <c r="L226" s="291">
        <v>95.367089688566878</v>
      </c>
      <c r="M226" s="307">
        <f t="shared" si="3"/>
        <v>694.85457705498561</v>
      </c>
    </row>
    <row r="227" spans="1:13" ht="13.15">
      <c r="A227" s="2" t="s">
        <v>110</v>
      </c>
      <c r="B227" s="2" t="s">
        <v>169</v>
      </c>
      <c r="C227" s="2" t="s">
        <v>170</v>
      </c>
      <c r="D227" s="2" t="s">
        <v>85</v>
      </c>
      <c r="E227" s="2" t="s">
        <v>79</v>
      </c>
      <c r="F227" s="291">
        <v>0</v>
      </c>
      <c r="G227" s="291">
        <v>0</v>
      </c>
      <c r="H227" s="291">
        <v>7.6469697532625611</v>
      </c>
      <c r="I227" s="291">
        <v>6.8116127806001874</v>
      </c>
      <c r="J227" s="291">
        <v>0.13020760112355823</v>
      </c>
      <c r="K227" s="291">
        <v>0.12924600195156871</v>
      </c>
      <c r="L227" s="291">
        <v>0.12841440196794787</v>
      </c>
      <c r="M227" s="307">
        <f t="shared" si="3"/>
        <v>14.846450538905824</v>
      </c>
    </row>
    <row r="228" spans="1:13" ht="13.15">
      <c r="A228" s="2" t="s">
        <v>110</v>
      </c>
      <c r="B228" s="2" t="s">
        <v>171</v>
      </c>
      <c r="C228" s="2" t="s">
        <v>172</v>
      </c>
      <c r="D228" s="2" t="s">
        <v>85</v>
      </c>
      <c r="E228" s="2" t="s">
        <v>79</v>
      </c>
      <c r="F228" s="291">
        <v>0</v>
      </c>
      <c r="G228" s="291">
        <v>0</v>
      </c>
      <c r="H228" s="291">
        <v>0.56453672814323819</v>
      </c>
      <c r="I228" s="291">
        <v>0.6620408863057009</v>
      </c>
      <c r="J228" s="291">
        <v>0.69126913946865187</v>
      </c>
      <c r="K228" s="291">
        <v>0.16522363370267684</v>
      </c>
      <c r="L228" s="291">
        <v>6.566421797975934E-2</v>
      </c>
      <c r="M228" s="307">
        <f t="shared" si="3"/>
        <v>2.1487346056000272</v>
      </c>
    </row>
    <row r="229" spans="1:13" ht="13.15">
      <c r="A229" s="2" t="s">
        <v>110</v>
      </c>
      <c r="B229" s="2" t="s">
        <v>173</v>
      </c>
      <c r="C229" s="2" t="s">
        <v>174</v>
      </c>
      <c r="D229" s="2" t="s">
        <v>85</v>
      </c>
      <c r="E229" s="2" t="s">
        <v>79</v>
      </c>
      <c r="F229" s="291">
        <v>0</v>
      </c>
      <c r="G229" s="291">
        <v>0</v>
      </c>
      <c r="H229" s="291">
        <v>0</v>
      </c>
      <c r="I229" s="291">
        <v>0</v>
      </c>
      <c r="J229" s="291">
        <v>0</v>
      </c>
      <c r="K229" s="291">
        <v>0</v>
      </c>
      <c r="L229" s="291">
        <v>0</v>
      </c>
      <c r="M229" s="307">
        <f t="shared" si="3"/>
        <v>0</v>
      </c>
    </row>
    <row r="230" spans="1:13" ht="13.15">
      <c r="A230" s="2" t="s">
        <v>110</v>
      </c>
      <c r="B230" s="2" t="s">
        <v>175</v>
      </c>
      <c r="C230" s="2" t="s">
        <v>176</v>
      </c>
      <c r="D230" s="2" t="s">
        <v>85</v>
      </c>
      <c r="E230" s="2" t="s">
        <v>79</v>
      </c>
      <c r="F230" s="291">
        <v>0</v>
      </c>
      <c r="G230" s="291">
        <v>0</v>
      </c>
      <c r="H230" s="291">
        <v>0.64027378709256</v>
      </c>
      <c r="I230" s="291">
        <v>0.63688924370542621</v>
      </c>
      <c r="J230" s="291">
        <v>0.63298124729787442</v>
      </c>
      <c r="K230" s="291">
        <v>0</v>
      </c>
      <c r="L230" s="291">
        <v>0</v>
      </c>
      <c r="M230" s="307">
        <f t="shared" si="3"/>
        <v>1.9101442780958606</v>
      </c>
    </row>
    <row r="231" spans="1:13" ht="13.15">
      <c r="A231" s="2" t="s">
        <v>110</v>
      </c>
      <c r="B231" s="2" t="s">
        <v>177</v>
      </c>
      <c r="C231" s="2" t="s">
        <v>178</v>
      </c>
      <c r="D231" s="2" t="s">
        <v>85</v>
      </c>
      <c r="E231" s="2" t="s">
        <v>79</v>
      </c>
      <c r="F231" s="291">
        <v>0</v>
      </c>
      <c r="G231" s="291">
        <v>10.79744604776948</v>
      </c>
      <c r="H231" s="291">
        <v>34.609972729982026</v>
      </c>
      <c r="I231" s="291">
        <v>30.624915767047643</v>
      </c>
      <c r="J231" s="291">
        <v>22.451283843329335</v>
      </c>
      <c r="K231" s="291">
        <v>6.913969058217492</v>
      </c>
      <c r="L231" s="291">
        <v>3.694391019314089</v>
      </c>
      <c r="M231" s="307">
        <f t="shared" si="3"/>
        <v>109.09197846566005</v>
      </c>
    </row>
    <row r="232" spans="1:13" ht="13.15">
      <c r="A232" s="2" t="s">
        <v>110</v>
      </c>
      <c r="B232" s="2" t="s">
        <v>179</v>
      </c>
      <c r="C232" s="2" t="s">
        <v>180</v>
      </c>
      <c r="D232" s="2" t="s">
        <v>85</v>
      </c>
      <c r="E232" s="2" t="s">
        <v>79</v>
      </c>
      <c r="F232" s="291">
        <v>0</v>
      </c>
      <c r="G232" s="291">
        <v>0</v>
      </c>
      <c r="H232" s="291">
        <v>1.5679264812694043</v>
      </c>
      <c r="I232" s="291">
        <v>8.977451750685562</v>
      </c>
      <c r="J232" s="291">
        <v>10.057378498413811</v>
      </c>
      <c r="K232" s="291">
        <v>8.8564727183273071</v>
      </c>
      <c r="L232" s="291">
        <v>7.1603932756134334</v>
      </c>
      <c r="M232" s="307">
        <f t="shared" si="3"/>
        <v>36.619622724309522</v>
      </c>
    </row>
    <row r="233" spans="1:13" ht="13.15">
      <c r="A233" s="2" t="s">
        <v>110</v>
      </c>
      <c r="B233" s="2" t="s">
        <v>181</v>
      </c>
      <c r="C233" s="2" t="s">
        <v>182</v>
      </c>
      <c r="D233" s="2" t="s">
        <v>85</v>
      </c>
      <c r="E233" s="2" t="s">
        <v>79</v>
      </c>
      <c r="F233" s="291">
        <v>0</v>
      </c>
      <c r="G233" s="291">
        <v>0</v>
      </c>
      <c r="H233" s="291">
        <v>2.7880677103786365E-3</v>
      </c>
      <c r="I233" s="291">
        <v>9.3285568019890555</v>
      </c>
      <c r="J233" s="291">
        <v>10.559432793080735</v>
      </c>
      <c r="K233" s="291">
        <v>9.201934335707298</v>
      </c>
      <c r="L233" s="291">
        <v>7.872349953631427</v>
      </c>
      <c r="M233" s="308">
        <f t="shared" si="3"/>
        <v>36.965061952118894</v>
      </c>
    </row>
    <row r="234" spans="1:13" ht="13.15">
      <c r="A234" s="2" t="s">
        <v>110</v>
      </c>
      <c r="B234" s="2" t="s">
        <v>183</v>
      </c>
      <c r="C234" s="2" t="s">
        <v>184</v>
      </c>
      <c r="D234" s="2" t="s">
        <v>85</v>
      </c>
      <c r="E234" s="2" t="s">
        <v>79</v>
      </c>
      <c r="F234" s="291">
        <v>0</v>
      </c>
      <c r="G234" s="291">
        <v>0</v>
      </c>
      <c r="H234" s="291">
        <v>0</v>
      </c>
      <c r="I234" s="291">
        <v>0</v>
      </c>
      <c r="J234" s="291">
        <v>0</v>
      </c>
      <c r="K234" s="291">
        <v>0</v>
      </c>
      <c r="L234" s="291">
        <v>0</v>
      </c>
      <c r="M234" s="307">
        <f t="shared" si="3"/>
        <v>0</v>
      </c>
    </row>
    <row r="235" spans="1:13" ht="13.15">
      <c r="A235" s="2" t="s">
        <v>110</v>
      </c>
      <c r="B235" s="2" t="s">
        <v>185</v>
      </c>
      <c r="C235" s="2" t="s">
        <v>186</v>
      </c>
      <c r="D235" s="2" t="s">
        <v>85</v>
      </c>
      <c r="E235" s="2" t="s">
        <v>79</v>
      </c>
      <c r="F235" s="291">
        <v>0</v>
      </c>
      <c r="G235" s="291">
        <v>0</v>
      </c>
      <c r="H235" s="291">
        <v>0</v>
      </c>
      <c r="I235" s="291">
        <v>0</v>
      </c>
      <c r="J235" s="291">
        <v>0</v>
      </c>
      <c r="K235" s="291">
        <v>0</v>
      </c>
      <c r="L235" s="291">
        <v>0</v>
      </c>
      <c r="M235" s="307">
        <f t="shared" si="3"/>
        <v>0</v>
      </c>
    </row>
    <row r="236" spans="1:13" ht="13.15">
      <c r="A236" s="2" t="s">
        <v>110</v>
      </c>
      <c r="B236" s="2" t="s">
        <v>187</v>
      </c>
      <c r="C236" s="2" t="s">
        <v>188</v>
      </c>
      <c r="D236" s="2" t="s">
        <v>85</v>
      </c>
      <c r="E236" s="2" t="s">
        <v>79</v>
      </c>
      <c r="F236" s="291">
        <v>0</v>
      </c>
      <c r="G236" s="291">
        <v>0</v>
      </c>
      <c r="H236" s="291">
        <v>0</v>
      </c>
      <c r="I236" s="291">
        <v>0</v>
      </c>
      <c r="J236" s="291">
        <v>0</v>
      </c>
      <c r="K236" s="291">
        <v>0</v>
      </c>
      <c r="L236" s="291">
        <v>0</v>
      </c>
      <c r="M236" s="307">
        <f t="shared" si="3"/>
        <v>0</v>
      </c>
    </row>
    <row r="237" spans="1:13" ht="13.15">
      <c r="A237" s="2" t="s">
        <v>110</v>
      </c>
      <c r="B237" s="2" t="s">
        <v>189</v>
      </c>
      <c r="C237" s="2" t="s">
        <v>190</v>
      </c>
      <c r="D237" s="2" t="s">
        <v>85</v>
      </c>
      <c r="E237" s="2" t="s">
        <v>79</v>
      </c>
      <c r="F237" s="291">
        <v>0</v>
      </c>
      <c r="G237" s="291">
        <v>0</v>
      </c>
      <c r="H237" s="291">
        <v>0</v>
      </c>
      <c r="I237" s="291">
        <v>0</v>
      </c>
      <c r="J237" s="291">
        <v>0</v>
      </c>
      <c r="K237" s="291">
        <v>0</v>
      </c>
      <c r="L237" s="291">
        <v>0</v>
      </c>
      <c r="M237" s="307">
        <f t="shared" si="3"/>
        <v>0</v>
      </c>
    </row>
    <row r="238" spans="1:13" ht="13.15">
      <c r="A238" s="2" t="s">
        <v>110</v>
      </c>
      <c r="B238" s="2" t="s">
        <v>191</v>
      </c>
      <c r="C238" s="2" t="s">
        <v>192</v>
      </c>
      <c r="D238" s="2" t="s">
        <v>85</v>
      </c>
      <c r="E238" s="2" t="s">
        <v>79</v>
      </c>
      <c r="F238" s="291">
        <v>0</v>
      </c>
      <c r="G238" s="291">
        <v>0</v>
      </c>
      <c r="H238" s="291">
        <v>0.73440285839560115</v>
      </c>
      <c r="I238" s="291">
        <v>0.68663097636848425</v>
      </c>
      <c r="J238" s="291">
        <v>1.5267158721196821</v>
      </c>
      <c r="K238" s="291">
        <v>1.506781225144753</v>
      </c>
      <c r="L238" s="291">
        <v>1.8259480849695138</v>
      </c>
      <c r="M238" s="307">
        <f t="shared" si="3"/>
        <v>6.2804790169980338</v>
      </c>
    </row>
    <row r="239" spans="1:13" ht="13.15">
      <c r="A239" s="2" t="s">
        <v>110</v>
      </c>
      <c r="B239" s="2" t="s">
        <v>193</v>
      </c>
      <c r="C239" s="2" t="s">
        <v>194</v>
      </c>
      <c r="D239" s="2" t="s">
        <v>85</v>
      </c>
      <c r="E239" s="2" t="s">
        <v>79</v>
      </c>
      <c r="F239" s="291">
        <v>0</v>
      </c>
      <c r="G239" s="291">
        <v>0</v>
      </c>
      <c r="H239" s="291">
        <v>4.5611519481151372</v>
      </c>
      <c r="I239" s="291">
        <v>4.5367533949966576</v>
      </c>
      <c r="J239" s="291">
        <v>4.5088568145959984</v>
      </c>
      <c r="K239" s="291">
        <v>0.28185208102221343</v>
      </c>
      <c r="L239" s="291">
        <v>0.2819698772072019</v>
      </c>
      <c r="M239" s="307">
        <f t="shared" si="3"/>
        <v>14.170584115937206</v>
      </c>
    </row>
    <row r="240" spans="1:13" ht="13.15">
      <c r="A240" s="2" t="s">
        <v>110</v>
      </c>
      <c r="B240" s="2" t="s">
        <v>195</v>
      </c>
      <c r="C240" s="2" t="s">
        <v>196</v>
      </c>
      <c r="D240" s="2" t="s">
        <v>85</v>
      </c>
      <c r="E240" s="2" t="s">
        <v>79</v>
      </c>
      <c r="F240" s="291">
        <v>0</v>
      </c>
      <c r="G240" s="291">
        <v>0</v>
      </c>
      <c r="H240" s="291">
        <v>0</v>
      </c>
      <c r="I240" s="291">
        <v>0</v>
      </c>
      <c r="J240" s="291">
        <v>0</v>
      </c>
      <c r="K240" s="291">
        <v>0</v>
      </c>
      <c r="L240" s="291">
        <v>0</v>
      </c>
      <c r="M240" s="307">
        <f t="shared" si="3"/>
        <v>0</v>
      </c>
    </row>
    <row r="241" spans="1:13" ht="13.15">
      <c r="A241" s="2" t="s">
        <v>110</v>
      </c>
      <c r="B241" s="2" t="s">
        <v>197</v>
      </c>
      <c r="C241" s="2" t="s">
        <v>198</v>
      </c>
      <c r="D241" s="2" t="s">
        <v>85</v>
      </c>
      <c r="E241" s="2" t="s">
        <v>79</v>
      </c>
      <c r="F241" s="291">
        <v>0</v>
      </c>
      <c r="G241" s="291">
        <v>0</v>
      </c>
      <c r="H241" s="291">
        <v>0</v>
      </c>
      <c r="I241" s="291">
        <v>0</v>
      </c>
      <c r="J241" s="291">
        <v>0</v>
      </c>
      <c r="K241" s="291">
        <v>0</v>
      </c>
      <c r="L241" s="291">
        <v>0</v>
      </c>
      <c r="M241" s="307">
        <f t="shared" si="3"/>
        <v>0</v>
      </c>
    </row>
    <row r="242" spans="1:13" ht="13.15">
      <c r="A242" s="2" t="s">
        <v>110</v>
      </c>
      <c r="B242" s="2" t="s">
        <v>199</v>
      </c>
      <c r="C242" s="2" t="s">
        <v>200</v>
      </c>
      <c r="D242" s="2" t="s">
        <v>85</v>
      </c>
      <c r="E242" s="2" t="s">
        <v>79</v>
      </c>
      <c r="F242" s="291">
        <v>0</v>
      </c>
      <c r="G242" s="291">
        <v>0</v>
      </c>
      <c r="H242" s="291">
        <v>3.5392151932489164</v>
      </c>
      <c r="I242" s="291">
        <v>3.5205065913672926</v>
      </c>
      <c r="J242" s="291">
        <v>3.4989045196604747</v>
      </c>
      <c r="K242" s="291">
        <v>2.5345318837840392</v>
      </c>
      <c r="L242" s="291">
        <v>2.5182240936689451</v>
      </c>
      <c r="M242" s="307">
        <f t="shared" si="3"/>
        <v>15.611382281729668</v>
      </c>
    </row>
    <row r="243" spans="1:13" ht="13.15">
      <c r="A243" s="2" t="s">
        <v>110</v>
      </c>
      <c r="B243" s="2" t="s">
        <v>201</v>
      </c>
      <c r="C243" s="2" t="s">
        <v>202</v>
      </c>
      <c r="D243" s="2" t="s">
        <v>85</v>
      </c>
      <c r="E243" s="2" t="s">
        <v>79</v>
      </c>
      <c r="F243" s="291">
        <v>0</v>
      </c>
      <c r="G243" s="291">
        <v>0</v>
      </c>
      <c r="H243" s="291">
        <v>0</v>
      </c>
      <c r="I243" s="291">
        <v>0</v>
      </c>
      <c r="J243" s="291">
        <v>0</v>
      </c>
      <c r="K243" s="291">
        <v>0</v>
      </c>
      <c r="L243" s="291">
        <v>0</v>
      </c>
      <c r="M243" s="307">
        <f t="shared" si="3"/>
        <v>0</v>
      </c>
    </row>
    <row r="244" spans="1:13" ht="13.15">
      <c r="A244" s="2" t="s">
        <v>110</v>
      </c>
      <c r="B244" s="2" t="s">
        <v>203</v>
      </c>
      <c r="C244" s="2" t="s">
        <v>204</v>
      </c>
      <c r="D244" s="2" t="s">
        <v>85</v>
      </c>
      <c r="E244" s="2" t="s">
        <v>79</v>
      </c>
      <c r="F244" s="291">
        <v>0</v>
      </c>
      <c r="G244" s="291">
        <v>0</v>
      </c>
      <c r="H244" s="291">
        <v>0</v>
      </c>
      <c r="I244" s="291">
        <v>0</v>
      </c>
      <c r="J244" s="291">
        <v>0</v>
      </c>
      <c r="K244" s="291">
        <v>0</v>
      </c>
      <c r="L244" s="291">
        <v>0</v>
      </c>
      <c r="M244" s="307">
        <f t="shared" si="3"/>
        <v>0</v>
      </c>
    </row>
    <row r="245" spans="1:13" ht="13.15">
      <c r="A245" s="2" t="s">
        <v>110</v>
      </c>
      <c r="B245" s="2" t="s">
        <v>205</v>
      </c>
      <c r="C245" s="2" t="s">
        <v>206</v>
      </c>
      <c r="D245" s="2" t="s">
        <v>85</v>
      </c>
      <c r="E245" s="2" t="s">
        <v>79</v>
      </c>
      <c r="F245" s="291">
        <v>0</v>
      </c>
      <c r="G245" s="291">
        <v>0</v>
      </c>
      <c r="H245" s="291">
        <v>0</v>
      </c>
      <c r="I245" s="291">
        <v>0</v>
      </c>
      <c r="J245" s="291">
        <v>0</v>
      </c>
      <c r="K245" s="291">
        <v>0</v>
      </c>
      <c r="L245" s="291">
        <v>0</v>
      </c>
      <c r="M245" s="307">
        <f t="shared" si="3"/>
        <v>0</v>
      </c>
    </row>
    <row r="246" spans="1:13" ht="13.15">
      <c r="A246" s="2" t="s">
        <v>110</v>
      </c>
      <c r="B246" s="2" t="s">
        <v>207</v>
      </c>
      <c r="C246" s="2" t="s">
        <v>208</v>
      </c>
      <c r="D246" s="2" t="s">
        <v>85</v>
      </c>
      <c r="E246" s="2" t="s">
        <v>79</v>
      </c>
      <c r="F246" s="291">
        <v>0</v>
      </c>
      <c r="G246" s="291">
        <v>0</v>
      </c>
      <c r="H246" s="291">
        <v>0</v>
      </c>
      <c r="I246" s="291">
        <v>0</v>
      </c>
      <c r="J246" s="291">
        <v>0</v>
      </c>
      <c r="K246" s="291">
        <v>0</v>
      </c>
      <c r="L246" s="291">
        <v>0</v>
      </c>
      <c r="M246" s="307">
        <f t="shared" si="3"/>
        <v>0</v>
      </c>
    </row>
    <row r="247" spans="1:13" ht="13.15">
      <c r="A247" s="2" t="s">
        <v>110</v>
      </c>
      <c r="B247" s="2" t="s">
        <v>209</v>
      </c>
      <c r="C247" s="2" t="s">
        <v>210</v>
      </c>
      <c r="D247" s="2" t="s">
        <v>85</v>
      </c>
      <c r="E247" s="2" t="s">
        <v>79</v>
      </c>
      <c r="F247" s="291">
        <v>0</v>
      </c>
      <c r="G247" s="291">
        <v>0</v>
      </c>
      <c r="H247" s="291">
        <v>0</v>
      </c>
      <c r="I247" s="291">
        <v>0</v>
      </c>
      <c r="J247" s="291">
        <v>0</v>
      </c>
      <c r="K247" s="291">
        <v>0</v>
      </c>
      <c r="L247" s="291">
        <v>0</v>
      </c>
      <c r="M247" s="307">
        <f t="shared" si="3"/>
        <v>0</v>
      </c>
    </row>
    <row r="248" spans="1:13" ht="13.15">
      <c r="A248" s="2" t="s">
        <v>110</v>
      </c>
      <c r="B248" s="2" t="s">
        <v>211</v>
      </c>
      <c r="C248" s="2" t="s">
        <v>212</v>
      </c>
      <c r="D248" s="2" t="s">
        <v>85</v>
      </c>
      <c r="E248" s="2" t="s">
        <v>79</v>
      </c>
      <c r="F248" s="291">
        <v>0</v>
      </c>
      <c r="G248" s="291">
        <v>0</v>
      </c>
      <c r="H248" s="291">
        <v>0</v>
      </c>
      <c r="I248" s="291">
        <v>0</v>
      </c>
      <c r="J248" s="291">
        <v>0</v>
      </c>
      <c r="K248" s="291">
        <v>0</v>
      </c>
      <c r="L248" s="291">
        <v>0</v>
      </c>
      <c r="M248" s="307">
        <f t="shared" si="3"/>
        <v>0</v>
      </c>
    </row>
    <row r="249" spans="1:13" ht="13.15">
      <c r="A249" s="2" t="s">
        <v>110</v>
      </c>
      <c r="B249" s="2" t="s">
        <v>213</v>
      </c>
      <c r="C249" s="2" t="s">
        <v>214</v>
      </c>
      <c r="D249" s="2" t="s">
        <v>85</v>
      </c>
      <c r="E249" s="2" t="s">
        <v>79</v>
      </c>
      <c r="F249" s="291">
        <v>0</v>
      </c>
      <c r="G249" s="291">
        <v>0</v>
      </c>
      <c r="H249" s="291">
        <v>1.8299152008485065</v>
      </c>
      <c r="I249" s="291">
        <v>2.458352543576841</v>
      </c>
      <c r="J249" s="291">
        <v>8.1077697220711828E-2</v>
      </c>
      <c r="K249" s="291">
        <v>8.0452846000560199E-2</v>
      </c>
      <c r="L249" s="291">
        <v>7.9899899936103094E-2</v>
      </c>
      <c r="M249" s="307">
        <f t="shared" si="3"/>
        <v>4.5296981875827225</v>
      </c>
    </row>
    <row r="250" spans="1:13" ht="13.15">
      <c r="A250" s="2" t="s">
        <v>110</v>
      </c>
      <c r="B250" s="2" t="s">
        <v>215</v>
      </c>
      <c r="C250" s="2" t="s">
        <v>216</v>
      </c>
      <c r="D250" s="2" t="s">
        <v>85</v>
      </c>
      <c r="E250" s="2" t="s">
        <v>79</v>
      </c>
      <c r="F250" s="291">
        <v>0</v>
      </c>
      <c r="G250" s="291">
        <v>0</v>
      </c>
      <c r="H250" s="291">
        <v>0</v>
      </c>
      <c r="I250" s="291">
        <v>0</v>
      </c>
      <c r="J250" s="291">
        <v>0</v>
      </c>
      <c r="K250" s="291">
        <v>0</v>
      </c>
      <c r="L250" s="291">
        <v>0</v>
      </c>
      <c r="M250" s="307">
        <f t="shared" si="3"/>
        <v>0</v>
      </c>
    </row>
    <row r="251" spans="1:13" ht="13.15">
      <c r="A251" s="2" t="s">
        <v>110</v>
      </c>
      <c r="B251" s="2" t="s">
        <v>217</v>
      </c>
      <c r="C251" s="2" t="s">
        <v>218</v>
      </c>
      <c r="D251" s="2" t="s">
        <v>85</v>
      </c>
      <c r="E251" s="2" t="s">
        <v>79</v>
      </c>
      <c r="F251" s="291">
        <v>0</v>
      </c>
      <c r="G251" s="291">
        <v>0</v>
      </c>
      <c r="H251" s="291">
        <v>2.2540598701046362</v>
      </c>
      <c r="I251" s="291">
        <v>6.0614123655448022</v>
      </c>
      <c r="J251" s="291">
        <v>7.5616186315157599</v>
      </c>
      <c r="K251" s="291">
        <v>7.0313848781694404</v>
      </c>
      <c r="L251" s="291">
        <v>4.4514833407774441</v>
      </c>
      <c r="M251" s="307">
        <f t="shared" si="3"/>
        <v>27.359959086112081</v>
      </c>
    </row>
    <row r="252" spans="1:13" ht="13.15">
      <c r="A252" s="2" t="s">
        <v>110</v>
      </c>
      <c r="B252" s="2" t="s">
        <v>219</v>
      </c>
      <c r="C252" s="2" t="s">
        <v>220</v>
      </c>
      <c r="D252" s="2" t="s">
        <v>85</v>
      </c>
      <c r="E252" s="2" t="s">
        <v>79</v>
      </c>
      <c r="F252" s="291">
        <v>0</v>
      </c>
      <c r="G252" s="291">
        <v>0</v>
      </c>
      <c r="H252" s="291">
        <v>0</v>
      </c>
      <c r="I252" s="291">
        <v>0</v>
      </c>
      <c r="J252" s="291">
        <v>0</v>
      </c>
      <c r="K252" s="291">
        <v>0</v>
      </c>
      <c r="L252" s="291">
        <v>0</v>
      </c>
      <c r="M252" s="307">
        <f t="shared" si="3"/>
        <v>0</v>
      </c>
    </row>
    <row r="253" spans="1:13" ht="13.15">
      <c r="A253" s="2" t="s">
        <v>110</v>
      </c>
      <c r="B253" s="2" t="s">
        <v>221</v>
      </c>
      <c r="C253" s="2" t="s">
        <v>222</v>
      </c>
      <c r="D253" s="2" t="s">
        <v>85</v>
      </c>
      <c r="E253" s="2" t="s">
        <v>79</v>
      </c>
      <c r="F253" s="291">
        <v>0</v>
      </c>
      <c r="G253" s="291">
        <v>0</v>
      </c>
      <c r="H253" s="291">
        <v>0</v>
      </c>
      <c r="I253" s="291">
        <v>0</v>
      </c>
      <c r="J253" s="291">
        <v>0</v>
      </c>
      <c r="K253" s="291">
        <v>0</v>
      </c>
      <c r="L253" s="291">
        <v>0</v>
      </c>
      <c r="M253" s="307">
        <f t="shared" si="3"/>
        <v>0</v>
      </c>
    </row>
    <row r="254" spans="1:13" ht="13.15">
      <c r="A254" s="2" t="s">
        <v>110</v>
      </c>
      <c r="B254" s="2" t="s">
        <v>223</v>
      </c>
      <c r="C254" s="2" t="s">
        <v>224</v>
      </c>
      <c r="D254" s="2" t="s">
        <v>85</v>
      </c>
      <c r="E254" s="2" t="s">
        <v>79</v>
      </c>
      <c r="F254" s="291">
        <v>0</v>
      </c>
      <c r="G254" s="291">
        <v>0</v>
      </c>
      <c r="H254" s="291">
        <v>4.2271768802361649</v>
      </c>
      <c r="I254" s="291">
        <v>4.2048316525465914</v>
      </c>
      <c r="J254" s="291">
        <v>4.1790305149784528</v>
      </c>
      <c r="K254" s="291">
        <v>4.1481678598934479</v>
      </c>
      <c r="L254" s="291">
        <v>4.1214775462879532</v>
      </c>
      <c r="M254" s="307">
        <f t="shared" si="3"/>
        <v>20.88068445394261</v>
      </c>
    </row>
    <row r="255" spans="1:13" ht="13.15">
      <c r="A255" s="2" t="s">
        <v>110</v>
      </c>
      <c r="B255" s="2" t="s">
        <v>225</v>
      </c>
      <c r="C255" s="2" t="s">
        <v>226</v>
      </c>
      <c r="D255" s="2" t="s">
        <v>85</v>
      </c>
      <c r="E255" s="2" t="s">
        <v>79</v>
      </c>
      <c r="F255" s="291">
        <v>0</v>
      </c>
      <c r="G255" s="291">
        <v>0</v>
      </c>
      <c r="H255" s="291">
        <v>7.3121367334205258</v>
      </c>
      <c r="I255" s="291">
        <v>6.7807036906317828</v>
      </c>
      <c r="J255" s="291">
        <v>4.1466690156041812</v>
      </c>
      <c r="K255" s="291">
        <v>3.8560168051977342</v>
      </c>
      <c r="L255" s="291">
        <v>0.99867437602370346</v>
      </c>
      <c r="M255" s="307">
        <f t="shared" si="3"/>
        <v>23.094200620877928</v>
      </c>
    </row>
    <row r="256" spans="1:13" ht="13.15">
      <c r="A256" s="2" t="s">
        <v>110</v>
      </c>
      <c r="B256" s="2" t="s">
        <v>227</v>
      </c>
      <c r="C256" s="2" t="s">
        <v>228</v>
      </c>
      <c r="D256" s="2" t="s">
        <v>85</v>
      </c>
      <c r="E256" s="2" t="s">
        <v>79</v>
      </c>
      <c r="F256" s="291">
        <v>0</v>
      </c>
      <c r="G256" s="291">
        <v>0</v>
      </c>
      <c r="H256" s="291">
        <v>0</v>
      </c>
      <c r="I256" s="291">
        <v>0</v>
      </c>
      <c r="J256" s="291">
        <v>0</v>
      </c>
      <c r="K256" s="291">
        <v>0</v>
      </c>
      <c r="L256" s="291">
        <v>0</v>
      </c>
      <c r="M256" s="307">
        <f t="shared" si="3"/>
        <v>0</v>
      </c>
    </row>
    <row r="257" spans="1:13" ht="13.15">
      <c r="A257" s="2" t="s">
        <v>110</v>
      </c>
      <c r="B257" s="2" t="s">
        <v>229</v>
      </c>
      <c r="C257" s="2" t="s">
        <v>230</v>
      </c>
      <c r="D257" s="2" t="s">
        <v>85</v>
      </c>
      <c r="E257" s="2" t="s">
        <v>79</v>
      </c>
      <c r="F257" s="291">
        <v>0</v>
      </c>
      <c r="G257" s="291">
        <v>0</v>
      </c>
      <c r="H257" s="291">
        <v>0</v>
      </c>
      <c r="I257" s="291">
        <v>0</v>
      </c>
      <c r="J257" s="291">
        <v>0</v>
      </c>
      <c r="K257" s="291">
        <v>0</v>
      </c>
      <c r="L257" s="291">
        <v>0</v>
      </c>
      <c r="M257" s="307">
        <f t="shared" si="3"/>
        <v>0</v>
      </c>
    </row>
    <row r="258" spans="1:13" ht="13.15">
      <c r="A258" s="2" t="s">
        <v>110</v>
      </c>
      <c r="B258" s="2" t="s">
        <v>231</v>
      </c>
      <c r="C258" s="2" t="s">
        <v>232</v>
      </c>
      <c r="D258" s="2" t="s">
        <v>85</v>
      </c>
      <c r="E258" s="2" t="s">
        <v>79</v>
      </c>
      <c r="F258" s="291">
        <v>0</v>
      </c>
      <c r="G258" s="291">
        <v>0</v>
      </c>
      <c r="H258" s="291">
        <v>0</v>
      </c>
      <c r="I258" s="291">
        <v>0</v>
      </c>
      <c r="J258" s="291">
        <v>0</v>
      </c>
      <c r="K258" s="291">
        <v>0</v>
      </c>
      <c r="L258" s="291">
        <v>0</v>
      </c>
      <c r="M258" s="307">
        <f t="shared" si="3"/>
        <v>0</v>
      </c>
    </row>
    <row r="259" spans="1:13" ht="13.15">
      <c r="A259" s="2" t="s">
        <v>110</v>
      </c>
      <c r="B259" s="2" t="s">
        <v>233</v>
      </c>
      <c r="C259" s="2" t="s">
        <v>234</v>
      </c>
      <c r="D259" s="2" t="s">
        <v>85</v>
      </c>
      <c r="E259" s="2" t="s">
        <v>79</v>
      </c>
      <c r="F259" s="291">
        <v>0</v>
      </c>
      <c r="G259" s="291">
        <v>0</v>
      </c>
      <c r="H259" s="291">
        <v>0</v>
      </c>
      <c r="I259" s="291">
        <v>0</v>
      </c>
      <c r="J259" s="291">
        <v>0</v>
      </c>
      <c r="K259" s="291">
        <v>0</v>
      </c>
      <c r="L259" s="291">
        <v>0</v>
      </c>
      <c r="M259" s="307">
        <f t="shared" si="3"/>
        <v>0</v>
      </c>
    </row>
    <row r="260" spans="1:13" ht="13.15">
      <c r="A260" s="2" t="s">
        <v>110</v>
      </c>
      <c r="B260" s="2" t="s">
        <v>235</v>
      </c>
      <c r="C260" s="2" t="s">
        <v>236</v>
      </c>
      <c r="D260" s="2" t="s">
        <v>85</v>
      </c>
      <c r="E260" s="2" t="s">
        <v>79</v>
      </c>
      <c r="F260" s="291">
        <v>0</v>
      </c>
      <c r="G260" s="291">
        <v>0</v>
      </c>
      <c r="H260" s="291">
        <v>0</v>
      </c>
      <c r="I260" s="291">
        <v>0</v>
      </c>
      <c r="J260" s="291">
        <v>0</v>
      </c>
      <c r="K260" s="291">
        <v>0</v>
      </c>
      <c r="L260" s="291">
        <v>0</v>
      </c>
      <c r="M260" s="307">
        <f t="shared" si="3"/>
        <v>0</v>
      </c>
    </row>
    <row r="261" spans="1:13" ht="13.15">
      <c r="A261" s="2" t="s">
        <v>110</v>
      </c>
      <c r="B261" s="2" t="s">
        <v>237</v>
      </c>
      <c r="C261" s="2" t="s">
        <v>238</v>
      </c>
      <c r="D261" s="2" t="s">
        <v>85</v>
      </c>
      <c r="E261" s="2" t="s">
        <v>79</v>
      </c>
      <c r="F261" s="291">
        <v>0</v>
      </c>
      <c r="G261" s="291">
        <v>0</v>
      </c>
      <c r="H261" s="291">
        <v>0</v>
      </c>
      <c r="I261" s="291">
        <v>0</v>
      </c>
      <c r="J261" s="291">
        <v>0</v>
      </c>
      <c r="K261" s="291">
        <v>0</v>
      </c>
      <c r="L261" s="291">
        <v>0</v>
      </c>
      <c r="M261" s="307">
        <f t="shared" ref="M261:M324" si="4">SUM(F261:L261)</f>
        <v>0</v>
      </c>
    </row>
    <row r="262" spans="1:13" ht="13.15">
      <c r="A262" s="2" t="s">
        <v>110</v>
      </c>
      <c r="B262" s="2" t="s">
        <v>239</v>
      </c>
      <c r="C262" s="2" t="s">
        <v>240</v>
      </c>
      <c r="D262" s="2" t="s">
        <v>85</v>
      </c>
      <c r="E262" s="2" t="s">
        <v>79</v>
      </c>
      <c r="F262" s="291">
        <v>0</v>
      </c>
      <c r="G262" s="291">
        <v>0</v>
      </c>
      <c r="H262" s="291">
        <v>7.7123575116465943</v>
      </c>
      <c r="I262" s="291">
        <v>7.6671166706166858</v>
      </c>
      <c r="J262" s="291">
        <v>7.6164260531502599</v>
      </c>
      <c r="K262" s="291">
        <v>7.5577276283596522</v>
      </c>
      <c r="L262" s="291">
        <v>7.5057839625220133</v>
      </c>
      <c r="M262" s="307">
        <f t="shared" si="4"/>
        <v>38.059411826295204</v>
      </c>
    </row>
    <row r="263" spans="1:13" ht="13.15">
      <c r="A263" s="2" t="s">
        <v>111</v>
      </c>
      <c r="B263" s="2" t="s">
        <v>155</v>
      </c>
      <c r="C263" s="2" t="s">
        <v>156</v>
      </c>
      <c r="D263" s="2" t="s">
        <v>85</v>
      </c>
      <c r="E263" s="2" t="s">
        <v>79</v>
      </c>
      <c r="F263" s="291">
        <v>11.729923717489774</v>
      </c>
      <c r="G263" s="291">
        <v>46.151545501238857</v>
      </c>
      <c r="H263" s="291">
        <v>385.46505399407772</v>
      </c>
      <c r="I263" s="291">
        <v>676.05973099704897</v>
      </c>
      <c r="J263" s="291">
        <v>480.38015818946639</v>
      </c>
      <c r="K263" s="291">
        <v>582.06689270827303</v>
      </c>
      <c r="L263" s="291">
        <v>362.67937199661287</v>
      </c>
      <c r="M263" s="307">
        <f t="shared" si="4"/>
        <v>2544.5326771042073</v>
      </c>
    </row>
    <row r="264" spans="1:13" ht="13.15">
      <c r="A264" s="2" t="s">
        <v>111</v>
      </c>
      <c r="B264" s="2" t="s">
        <v>157</v>
      </c>
      <c r="C264" s="2" t="s">
        <v>158</v>
      </c>
      <c r="D264" s="2" t="s">
        <v>85</v>
      </c>
      <c r="E264" s="2" t="s">
        <v>79</v>
      </c>
      <c r="F264" s="291">
        <v>0</v>
      </c>
      <c r="G264" s="291">
        <v>0</v>
      </c>
      <c r="H264" s="291">
        <v>7.1646247542439667</v>
      </c>
      <c r="I264" s="291">
        <v>5.9820122941193696E-2</v>
      </c>
      <c r="J264" s="291">
        <v>0.11890612506667578</v>
      </c>
      <c r="K264" s="291">
        <v>0.11802798868737104</v>
      </c>
      <c r="L264" s="291">
        <v>0.11726856810973495</v>
      </c>
      <c r="M264" s="307">
        <f t="shared" si="4"/>
        <v>7.5786475590489415</v>
      </c>
    </row>
    <row r="265" spans="1:13" ht="13.15">
      <c r="A265" s="2" t="s">
        <v>111</v>
      </c>
      <c r="B265" s="2" t="s">
        <v>159</v>
      </c>
      <c r="C265" s="2" t="s">
        <v>160</v>
      </c>
      <c r="D265" s="2" t="s">
        <v>85</v>
      </c>
      <c r="E265" s="2" t="s">
        <v>79</v>
      </c>
      <c r="F265" s="291">
        <v>0.31850000000000001</v>
      </c>
      <c r="G265" s="291">
        <v>6.878702392707976</v>
      </c>
      <c r="H265" s="291">
        <v>25.628184710140459</v>
      </c>
      <c r="I265" s="291">
        <v>15.186942081483485</v>
      </c>
      <c r="J265" s="291">
        <v>0.13502268319083163</v>
      </c>
      <c r="K265" s="291">
        <v>0.13402552404470083</v>
      </c>
      <c r="L265" s="291">
        <v>0.13316317146189435</v>
      </c>
      <c r="M265" s="307">
        <f t="shared" si="4"/>
        <v>48.414540563029355</v>
      </c>
    </row>
    <row r="266" spans="1:13" ht="13.15">
      <c r="A266" s="2" t="s">
        <v>111</v>
      </c>
      <c r="B266" s="2" t="s">
        <v>161</v>
      </c>
      <c r="C266" s="2" t="s">
        <v>162</v>
      </c>
      <c r="D266" s="2" t="s">
        <v>85</v>
      </c>
      <c r="E266" s="2" t="s">
        <v>79</v>
      </c>
      <c r="F266" s="291">
        <v>0</v>
      </c>
      <c r="G266" s="291">
        <v>0</v>
      </c>
      <c r="H266" s="291">
        <v>0</v>
      </c>
      <c r="I266" s="291">
        <v>0</v>
      </c>
      <c r="J266" s="291">
        <v>0</v>
      </c>
      <c r="K266" s="291">
        <v>0</v>
      </c>
      <c r="L266" s="291">
        <v>39.117566245170266</v>
      </c>
      <c r="M266" s="307">
        <f t="shared" si="4"/>
        <v>39.117566245170266</v>
      </c>
    </row>
    <row r="267" spans="1:13" ht="13.15">
      <c r="A267" s="2" t="s">
        <v>111</v>
      </c>
      <c r="B267" s="2" t="s">
        <v>163</v>
      </c>
      <c r="C267" s="2" t="s">
        <v>164</v>
      </c>
      <c r="D267" s="2" t="s">
        <v>85</v>
      </c>
      <c r="E267" s="2" t="s">
        <v>79</v>
      </c>
      <c r="F267" s="291">
        <v>0</v>
      </c>
      <c r="G267" s="291">
        <v>0</v>
      </c>
      <c r="H267" s="291">
        <v>8.0310473849566719</v>
      </c>
      <c r="I267" s="291">
        <v>9.186722493388876</v>
      </c>
      <c r="J267" s="291">
        <v>9.3403005459055048</v>
      </c>
      <c r="K267" s="291">
        <v>10.190817449140745</v>
      </c>
      <c r="L267" s="291">
        <v>26.588652756787884</v>
      </c>
      <c r="M267" s="307">
        <f t="shared" si="4"/>
        <v>63.337540630179689</v>
      </c>
    </row>
    <row r="268" spans="1:13" ht="13.15">
      <c r="A268" s="2" t="s">
        <v>111</v>
      </c>
      <c r="B268" s="2" t="s">
        <v>165</v>
      </c>
      <c r="C268" s="2" t="s">
        <v>166</v>
      </c>
      <c r="D268" s="2" t="s">
        <v>85</v>
      </c>
      <c r="E268" s="2" t="s">
        <v>79</v>
      </c>
      <c r="F268" s="291">
        <v>0</v>
      </c>
      <c r="G268" s="291">
        <v>0</v>
      </c>
      <c r="H268" s="291">
        <v>0</v>
      </c>
      <c r="I268" s="291">
        <v>0</v>
      </c>
      <c r="J268" s="291">
        <v>0</v>
      </c>
      <c r="K268" s="291">
        <v>0</v>
      </c>
      <c r="L268" s="291">
        <v>0</v>
      </c>
      <c r="M268" s="307">
        <f t="shared" si="4"/>
        <v>0</v>
      </c>
    </row>
    <row r="269" spans="1:13" ht="13.15">
      <c r="A269" s="2" t="s">
        <v>111</v>
      </c>
      <c r="B269" s="2" t="s">
        <v>167</v>
      </c>
      <c r="C269" s="2" t="s">
        <v>168</v>
      </c>
      <c r="D269" s="2" t="s">
        <v>85</v>
      </c>
      <c r="E269" s="2" t="s">
        <v>79</v>
      </c>
      <c r="F269" s="291">
        <v>11.411423717489773</v>
      </c>
      <c r="G269" s="291">
        <v>28.430177751836162</v>
      </c>
      <c r="H269" s="291">
        <v>180.25414118492694</v>
      </c>
      <c r="I269" s="291">
        <v>277.15793805792191</v>
      </c>
      <c r="J269" s="291">
        <v>109.39866185136258</v>
      </c>
      <c r="K269" s="291">
        <v>233.61886108977851</v>
      </c>
      <c r="L269" s="291">
        <v>150.77850294937508</v>
      </c>
      <c r="M269" s="307">
        <f t="shared" si="4"/>
        <v>991.049706602691</v>
      </c>
    </row>
    <row r="270" spans="1:13" ht="13.15">
      <c r="A270" s="2" t="s">
        <v>111</v>
      </c>
      <c r="B270" s="2" t="s">
        <v>169</v>
      </c>
      <c r="C270" s="2" t="s">
        <v>170</v>
      </c>
      <c r="D270" s="2" t="s">
        <v>85</v>
      </c>
      <c r="E270" s="2" t="s">
        <v>79</v>
      </c>
      <c r="F270" s="291">
        <v>0</v>
      </c>
      <c r="G270" s="291">
        <v>0</v>
      </c>
      <c r="H270" s="291">
        <v>0.65862618283377816</v>
      </c>
      <c r="I270" s="291">
        <v>4.4963610194928858</v>
      </c>
      <c r="J270" s="291">
        <v>5.0190447718361311</v>
      </c>
      <c r="K270" s="291">
        <v>6.654624823307226</v>
      </c>
      <c r="L270" s="291">
        <v>1.6918192632432116</v>
      </c>
      <c r="M270" s="307">
        <f t="shared" si="4"/>
        <v>18.520476060713232</v>
      </c>
    </row>
    <row r="271" spans="1:13" ht="13.15">
      <c r="A271" s="2" t="s">
        <v>111</v>
      </c>
      <c r="B271" s="2" t="s">
        <v>171</v>
      </c>
      <c r="C271" s="2" t="s">
        <v>172</v>
      </c>
      <c r="D271" s="2" t="s">
        <v>85</v>
      </c>
      <c r="E271" s="2" t="s">
        <v>79</v>
      </c>
      <c r="F271" s="291">
        <v>0</v>
      </c>
      <c r="G271" s="291">
        <v>0</v>
      </c>
      <c r="H271" s="291">
        <v>0.70220445658518593</v>
      </c>
      <c r="I271" s="291">
        <v>1.4531403382454002</v>
      </c>
      <c r="J271" s="291">
        <v>5.3852411714979974E-2</v>
      </c>
      <c r="K271" s="291">
        <v>0</v>
      </c>
      <c r="L271" s="291">
        <v>0</v>
      </c>
      <c r="M271" s="307">
        <f t="shared" si="4"/>
        <v>2.2091972065455661</v>
      </c>
    </row>
    <row r="272" spans="1:13" ht="13.15">
      <c r="A272" s="2" t="s">
        <v>111</v>
      </c>
      <c r="B272" s="2" t="s">
        <v>173</v>
      </c>
      <c r="C272" s="2" t="s">
        <v>174</v>
      </c>
      <c r="D272" s="2" t="s">
        <v>85</v>
      </c>
      <c r="E272" s="2" t="s">
        <v>79</v>
      </c>
      <c r="F272" s="291">
        <v>0</v>
      </c>
      <c r="G272" s="291">
        <v>0</v>
      </c>
      <c r="H272" s="291">
        <v>10.34706685308428</v>
      </c>
      <c r="I272" s="291">
        <v>46.767868646089958</v>
      </c>
      <c r="J272" s="291">
        <v>76.466214355810209</v>
      </c>
      <c r="K272" s="291">
        <v>71.773729622679426</v>
      </c>
      <c r="L272" s="291">
        <v>23.315818764189491</v>
      </c>
      <c r="M272" s="307">
        <f t="shared" si="4"/>
        <v>228.67069824185336</v>
      </c>
    </row>
    <row r="273" spans="1:13" ht="13.15">
      <c r="A273" s="2" t="s">
        <v>111</v>
      </c>
      <c r="B273" s="2" t="s">
        <v>175</v>
      </c>
      <c r="C273" s="2" t="s">
        <v>176</v>
      </c>
      <c r="D273" s="2" t="s">
        <v>85</v>
      </c>
      <c r="E273" s="2" t="s">
        <v>79</v>
      </c>
      <c r="F273" s="291">
        <v>0</v>
      </c>
      <c r="G273" s="291">
        <v>0</v>
      </c>
      <c r="H273" s="291">
        <v>0.66334055972143036</v>
      </c>
      <c r="I273" s="291">
        <v>2.3103256572288293</v>
      </c>
      <c r="J273" s="291">
        <v>0.32789264791113626</v>
      </c>
      <c r="K273" s="291">
        <v>0</v>
      </c>
      <c r="L273" s="291">
        <v>0</v>
      </c>
      <c r="M273" s="307">
        <f t="shared" si="4"/>
        <v>3.3015588648613958</v>
      </c>
    </row>
    <row r="274" spans="1:13" ht="13.15">
      <c r="A274" s="2" t="s">
        <v>111</v>
      </c>
      <c r="B274" s="2" t="s">
        <v>177</v>
      </c>
      <c r="C274" s="2" t="s">
        <v>178</v>
      </c>
      <c r="D274" s="2" t="s">
        <v>85</v>
      </c>
      <c r="E274" s="2" t="s">
        <v>79</v>
      </c>
      <c r="F274" s="291">
        <v>0</v>
      </c>
      <c r="G274" s="291">
        <v>5.3307392445913404</v>
      </c>
      <c r="H274" s="291">
        <v>5.4176763912682349</v>
      </c>
      <c r="I274" s="291">
        <v>68.054536048850636</v>
      </c>
      <c r="J274" s="291">
        <v>115.09769510321324</v>
      </c>
      <c r="K274" s="291">
        <v>139.59956242252869</v>
      </c>
      <c r="L274" s="291">
        <v>34.885978091434026</v>
      </c>
      <c r="M274" s="307">
        <f t="shared" si="4"/>
        <v>368.38618730188614</v>
      </c>
    </row>
    <row r="275" spans="1:13" ht="13.15">
      <c r="A275" s="2" t="s">
        <v>111</v>
      </c>
      <c r="B275" s="2" t="s">
        <v>179</v>
      </c>
      <c r="C275" s="2" t="s">
        <v>180</v>
      </c>
      <c r="D275" s="2" t="s">
        <v>85</v>
      </c>
      <c r="E275" s="2" t="s">
        <v>79</v>
      </c>
      <c r="F275" s="291">
        <v>0</v>
      </c>
      <c r="G275" s="291">
        <v>0</v>
      </c>
      <c r="H275" s="291">
        <v>0</v>
      </c>
      <c r="I275" s="291">
        <v>1.9033675481288903</v>
      </c>
      <c r="J275" s="291">
        <v>7.1316650920672142</v>
      </c>
      <c r="K275" s="291">
        <v>2.7450448884108267</v>
      </c>
      <c r="L275" s="291">
        <v>0.34647531486967148</v>
      </c>
      <c r="M275" s="307">
        <f t="shared" si="4"/>
        <v>12.126552843476603</v>
      </c>
    </row>
    <row r="276" spans="1:13" ht="13.15">
      <c r="A276" s="2" t="s">
        <v>111</v>
      </c>
      <c r="B276" s="2" t="s">
        <v>181</v>
      </c>
      <c r="C276" s="2" t="s">
        <v>182</v>
      </c>
      <c r="D276" s="2" t="s">
        <v>85</v>
      </c>
      <c r="E276" s="2" t="s">
        <v>79</v>
      </c>
      <c r="F276" s="291">
        <v>0</v>
      </c>
      <c r="G276" s="291">
        <v>0</v>
      </c>
      <c r="H276" s="291">
        <v>14.037070314670011</v>
      </c>
      <c r="I276" s="291">
        <v>57.910932692999872</v>
      </c>
      <c r="J276" s="291">
        <v>25.144386726867619</v>
      </c>
      <c r="K276" s="291">
        <v>23.504040933439057</v>
      </c>
      <c r="L276" s="291">
        <v>6.9481508503954617</v>
      </c>
      <c r="M276" s="309">
        <f t="shared" si="4"/>
        <v>127.54458151837203</v>
      </c>
    </row>
    <row r="277" spans="1:13" ht="13.15">
      <c r="A277" s="2" t="s">
        <v>111</v>
      </c>
      <c r="B277" s="2" t="s">
        <v>183</v>
      </c>
      <c r="C277" s="2" t="s">
        <v>184</v>
      </c>
      <c r="D277" s="2" t="s">
        <v>85</v>
      </c>
      <c r="E277" s="2" t="s">
        <v>79</v>
      </c>
      <c r="F277" s="291">
        <v>0</v>
      </c>
      <c r="G277" s="291">
        <v>0</v>
      </c>
      <c r="H277" s="291">
        <v>0</v>
      </c>
      <c r="I277" s="291">
        <v>0</v>
      </c>
      <c r="J277" s="291">
        <v>0</v>
      </c>
      <c r="K277" s="291">
        <v>0</v>
      </c>
      <c r="L277" s="291">
        <v>0</v>
      </c>
      <c r="M277" s="307">
        <f t="shared" si="4"/>
        <v>0</v>
      </c>
    </row>
    <row r="278" spans="1:13" ht="13.15">
      <c r="A278" s="2" t="s">
        <v>111</v>
      </c>
      <c r="B278" s="2" t="s">
        <v>185</v>
      </c>
      <c r="C278" s="2" t="s">
        <v>186</v>
      </c>
      <c r="D278" s="2" t="s">
        <v>85</v>
      </c>
      <c r="E278" s="2" t="s">
        <v>79</v>
      </c>
      <c r="F278" s="291">
        <v>0</v>
      </c>
      <c r="G278" s="291">
        <v>0</v>
      </c>
      <c r="H278" s="291">
        <v>0</v>
      </c>
      <c r="I278" s="291">
        <v>0</v>
      </c>
      <c r="J278" s="291">
        <v>0</v>
      </c>
      <c r="K278" s="291">
        <v>0</v>
      </c>
      <c r="L278" s="291">
        <v>0</v>
      </c>
      <c r="M278" s="307">
        <f t="shared" si="4"/>
        <v>0</v>
      </c>
    </row>
    <row r="279" spans="1:13" ht="13.15">
      <c r="A279" s="2" t="s">
        <v>111</v>
      </c>
      <c r="B279" s="2" t="s">
        <v>187</v>
      </c>
      <c r="C279" s="2" t="s">
        <v>188</v>
      </c>
      <c r="D279" s="2" t="s">
        <v>85</v>
      </c>
      <c r="E279" s="2" t="s">
        <v>79</v>
      </c>
      <c r="F279" s="291">
        <v>0</v>
      </c>
      <c r="G279" s="291">
        <v>0</v>
      </c>
      <c r="H279" s="291">
        <v>0</v>
      </c>
      <c r="I279" s="291">
        <v>0</v>
      </c>
      <c r="J279" s="291">
        <v>0</v>
      </c>
      <c r="K279" s="291">
        <v>0</v>
      </c>
      <c r="L279" s="291">
        <v>0</v>
      </c>
      <c r="M279" s="307">
        <f t="shared" si="4"/>
        <v>0</v>
      </c>
    </row>
    <row r="280" spans="1:13" ht="13.15">
      <c r="A280" s="2" t="s">
        <v>111</v>
      </c>
      <c r="B280" s="2" t="s">
        <v>189</v>
      </c>
      <c r="C280" s="2" t="s">
        <v>190</v>
      </c>
      <c r="D280" s="2" t="s">
        <v>85</v>
      </c>
      <c r="E280" s="2" t="s">
        <v>79</v>
      </c>
      <c r="F280" s="291">
        <v>0</v>
      </c>
      <c r="G280" s="291">
        <v>0</v>
      </c>
      <c r="H280" s="291">
        <v>0</v>
      </c>
      <c r="I280" s="291">
        <v>0</v>
      </c>
      <c r="J280" s="291">
        <v>0</v>
      </c>
      <c r="K280" s="291">
        <v>0</v>
      </c>
      <c r="L280" s="291">
        <v>0</v>
      </c>
      <c r="M280" s="307">
        <f t="shared" si="4"/>
        <v>0</v>
      </c>
    </row>
    <row r="281" spans="1:13" ht="13.15">
      <c r="A281" s="2" t="s">
        <v>111</v>
      </c>
      <c r="B281" s="2" t="s">
        <v>191</v>
      </c>
      <c r="C281" s="2" t="s">
        <v>192</v>
      </c>
      <c r="D281" s="2" t="s">
        <v>85</v>
      </c>
      <c r="E281" s="2" t="s">
        <v>79</v>
      </c>
      <c r="F281" s="291">
        <v>0</v>
      </c>
      <c r="G281" s="291">
        <v>2.3072981896545288</v>
      </c>
      <c r="H281" s="291">
        <v>4.5549992555596575</v>
      </c>
      <c r="I281" s="291">
        <v>23.85191447455232</v>
      </c>
      <c r="J281" s="291">
        <v>3.9419182067558567</v>
      </c>
      <c r="K281" s="291">
        <v>1.103382863941029</v>
      </c>
      <c r="L281" s="291">
        <v>1.0962834321773705</v>
      </c>
      <c r="M281" s="307">
        <f t="shared" si="4"/>
        <v>36.855796422640765</v>
      </c>
    </row>
    <row r="282" spans="1:13" ht="13.15">
      <c r="A282" s="2" t="s">
        <v>111</v>
      </c>
      <c r="B282" s="2" t="s">
        <v>193</v>
      </c>
      <c r="C282" s="2" t="s">
        <v>194</v>
      </c>
      <c r="D282" s="2" t="s">
        <v>85</v>
      </c>
      <c r="E282" s="2" t="s">
        <v>79</v>
      </c>
      <c r="F282" s="291">
        <v>0</v>
      </c>
      <c r="G282" s="291">
        <v>0</v>
      </c>
      <c r="H282" s="291">
        <v>0</v>
      </c>
      <c r="I282" s="291">
        <v>0</v>
      </c>
      <c r="J282" s="291">
        <v>0</v>
      </c>
      <c r="K282" s="291">
        <v>0</v>
      </c>
      <c r="L282" s="291">
        <v>0</v>
      </c>
      <c r="M282" s="307">
        <f t="shared" si="4"/>
        <v>0</v>
      </c>
    </row>
    <row r="283" spans="1:13" ht="13.15">
      <c r="A283" s="2" t="s">
        <v>111</v>
      </c>
      <c r="B283" s="2" t="s">
        <v>195</v>
      </c>
      <c r="C283" s="2" t="s">
        <v>196</v>
      </c>
      <c r="D283" s="2" t="s">
        <v>85</v>
      </c>
      <c r="E283" s="2" t="s">
        <v>79</v>
      </c>
      <c r="F283" s="291">
        <v>0</v>
      </c>
      <c r="G283" s="291">
        <v>0</v>
      </c>
      <c r="H283" s="291">
        <v>0</v>
      </c>
      <c r="I283" s="291">
        <v>0</v>
      </c>
      <c r="J283" s="291">
        <v>0.32068621608891346</v>
      </c>
      <c r="K283" s="291">
        <v>1.1141126810944266</v>
      </c>
      <c r="L283" s="291">
        <v>0.20788518892180288</v>
      </c>
      <c r="M283" s="307">
        <f t="shared" si="4"/>
        <v>1.642684086105143</v>
      </c>
    </row>
    <row r="284" spans="1:13" ht="13.15">
      <c r="A284" s="2" t="s">
        <v>111</v>
      </c>
      <c r="B284" s="2" t="s">
        <v>197</v>
      </c>
      <c r="C284" s="2" t="s">
        <v>198</v>
      </c>
      <c r="D284" s="2" t="s">
        <v>85</v>
      </c>
      <c r="E284" s="2" t="s">
        <v>79</v>
      </c>
      <c r="F284" s="291">
        <v>0</v>
      </c>
      <c r="G284" s="291">
        <v>0</v>
      </c>
      <c r="H284" s="291">
        <v>0</v>
      </c>
      <c r="I284" s="291">
        <v>0</v>
      </c>
      <c r="J284" s="291">
        <v>0</v>
      </c>
      <c r="K284" s="291">
        <v>0</v>
      </c>
      <c r="L284" s="291">
        <v>0</v>
      </c>
      <c r="M284" s="307">
        <f t="shared" si="4"/>
        <v>0</v>
      </c>
    </row>
    <row r="285" spans="1:13" ht="13.15">
      <c r="A285" s="2" t="s">
        <v>111</v>
      </c>
      <c r="B285" s="2" t="s">
        <v>199</v>
      </c>
      <c r="C285" s="2" t="s">
        <v>200</v>
      </c>
      <c r="D285" s="2" t="s">
        <v>85</v>
      </c>
      <c r="E285" s="2" t="s">
        <v>79</v>
      </c>
      <c r="F285" s="291">
        <v>0</v>
      </c>
      <c r="G285" s="291">
        <v>3.2046279224488461</v>
      </c>
      <c r="H285" s="291">
        <v>11.74905341900055</v>
      </c>
      <c r="I285" s="291">
        <v>20.091397211952469</v>
      </c>
      <c r="J285" s="291">
        <v>4.0962742665095799</v>
      </c>
      <c r="K285" s="291">
        <v>0</v>
      </c>
      <c r="L285" s="291">
        <v>0</v>
      </c>
      <c r="M285" s="307">
        <f t="shared" si="4"/>
        <v>39.141352819911447</v>
      </c>
    </row>
    <row r="286" spans="1:13" ht="13.15">
      <c r="A286" s="2" t="s">
        <v>111</v>
      </c>
      <c r="B286" s="2" t="s">
        <v>201</v>
      </c>
      <c r="C286" s="2" t="s">
        <v>202</v>
      </c>
      <c r="D286" s="2" t="s">
        <v>85</v>
      </c>
      <c r="E286" s="2" t="s">
        <v>79</v>
      </c>
      <c r="F286" s="291">
        <v>0</v>
      </c>
      <c r="G286" s="291">
        <v>0</v>
      </c>
      <c r="H286" s="291">
        <v>0</v>
      </c>
      <c r="I286" s="291">
        <v>0</v>
      </c>
      <c r="J286" s="291">
        <v>0</v>
      </c>
      <c r="K286" s="291">
        <v>0</v>
      </c>
      <c r="L286" s="291">
        <v>0</v>
      </c>
      <c r="M286" s="307">
        <f t="shared" si="4"/>
        <v>0</v>
      </c>
    </row>
    <row r="287" spans="1:13" ht="13.15">
      <c r="A287" s="2" t="s">
        <v>111</v>
      </c>
      <c r="B287" s="2" t="s">
        <v>203</v>
      </c>
      <c r="C287" s="2" t="s">
        <v>204</v>
      </c>
      <c r="D287" s="2" t="s">
        <v>85</v>
      </c>
      <c r="E287" s="2" t="s">
        <v>79</v>
      </c>
      <c r="F287" s="291">
        <v>0</v>
      </c>
      <c r="G287" s="291">
        <v>0</v>
      </c>
      <c r="H287" s="291">
        <v>0</v>
      </c>
      <c r="I287" s="291">
        <v>0</v>
      </c>
      <c r="J287" s="291">
        <v>0</v>
      </c>
      <c r="K287" s="291">
        <v>0</v>
      </c>
      <c r="L287" s="291">
        <v>0</v>
      </c>
      <c r="M287" s="307">
        <f t="shared" si="4"/>
        <v>0</v>
      </c>
    </row>
    <row r="288" spans="1:13" ht="13.15">
      <c r="A288" s="2" t="s">
        <v>111</v>
      </c>
      <c r="B288" s="2" t="s">
        <v>205</v>
      </c>
      <c r="C288" s="2" t="s">
        <v>206</v>
      </c>
      <c r="D288" s="2" t="s">
        <v>85</v>
      </c>
      <c r="E288" s="2" t="s">
        <v>79</v>
      </c>
      <c r="F288" s="291">
        <v>0</v>
      </c>
      <c r="G288" s="291">
        <v>0</v>
      </c>
      <c r="H288" s="291">
        <v>0</v>
      </c>
      <c r="I288" s="291">
        <v>0</v>
      </c>
      <c r="J288" s="291">
        <v>0</v>
      </c>
      <c r="K288" s="291">
        <v>0</v>
      </c>
      <c r="L288" s="291">
        <v>0</v>
      </c>
      <c r="M288" s="307">
        <f t="shared" si="4"/>
        <v>0</v>
      </c>
    </row>
    <row r="289" spans="1:13" ht="13.15">
      <c r="A289" s="2" t="s">
        <v>111</v>
      </c>
      <c r="B289" s="2" t="s">
        <v>207</v>
      </c>
      <c r="C289" s="2" t="s">
        <v>208</v>
      </c>
      <c r="D289" s="2" t="s">
        <v>85</v>
      </c>
      <c r="E289" s="2" t="s">
        <v>79</v>
      </c>
      <c r="F289" s="291">
        <v>0</v>
      </c>
      <c r="G289" s="291">
        <v>0</v>
      </c>
      <c r="H289" s="291">
        <v>0</v>
      </c>
      <c r="I289" s="291">
        <v>0</v>
      </c>
      <c r="J289" s="291">
        <v>0</v>
      </c>
      <c r="K289" s="291">
        <v>0</v>
      </c>
      <c r="L289" s="291">
        <v>0</v>
      </c>
      <c r="M289" s="307">
        <f t="shared" si="4"/>
        <v>0</v>
      </c>
    </row>
    <row r="290" spans="1:13" ht="13.15">
      <c r="A290" s="2" t="s">
        <v>111</v>
      </c>
      <c r="B290" s="2" t="s">
        <v>209</v>
      </c>
      <c r="C290" s="2" t="s">
        <v>210</v>
      </c>
      <c r="D290" s="2" t="s">
        <v>85</v>
      </c>
      <c r="E290" s="2" t="s">
        <v>79</v>
      </c>
      <c r="F290" s="291">
        <v>0</v>
      </c>
      <c r="G290" s="291">
        <v>0</v>
      </c>
      <c r="H290" s="291">
        <v>0</v>
      </c>
      <c r="I290" s="291">
        <v>0</v>
      </c>
      <c r="J290" s="291">
        <v>0</v>
      </c>
      <c r="K290" s="291">
        <v>0</v>
      </c>
      <c r="L290" s="291">
        <v>0</v>
      </c>
      <c r="M290" s="307">
        <f t="shared" si="4"/>
        <v>0</v>
      </c>
    </row>
    <row r="291" spans="1:13" ht="13.15">
      <c r="A291" s="2" t="s">
        <v>111</v>
      </c>
      <c r="B291" s="2" t="s">
        <v>211</v>
      </c>
      <c r="C291" s="2" t="s">
        <v>212</v>
      </c>
      <c r="D291" s="2" t="s">
        <v>85</v>
      </c>
      <c r="E291" s="2" t="s">
        <v>79</v>
      </c>
      <c r="F291" s="291">
        <v>0</v>
      </c>
      <c r="G291" s="291">
        <v>0</v>
      </c>
      <c r="H291" s="291">
        <v>0</v>
      </c>
      <c r="I291" s="291">
        <v>0</v>
      </c>
      <c r="J291" s="291">
        <v>0</v>
      </c>
      <c r="K291" s="291">
        <v>0</v>
      </c>
      <c r="L291" s="291">
        <v>0</v>
      </c>
      <c r="M291" s="307">
        <f t="shared" si="4"/>
        <v>0</v>
      </c>
    </row>
    <row r="292" spans="1:13" ht="13.15">
      <c r="A292" s="2" t="s">
        <v>111</v>
      </c>
      <c r="B292" s="2" t="s">
        <v>213</v>
      </c>
      <c r="C292" s="2" t="s">
        <v>214</v>
      </c>
      <c r="D292" s="2" t="s">
        <v>85</v>
      </c>
      <c r="E292" s="2" t="s">
        <v>79</v>
      </c>
      <c r="F292" s="291">
        <v>0</v>
      </c>
      <c r="G292" s="291">
        <v>0</v>
      </c>
      <c r="H292" s="291">
        <v>6.0031110021349114</v>
      </c>
      <c r="I292" s="291">
        <v>6.1222811745237644</v>
      </c>
      <c r="J292" s="291">
        <v>12.41954027065217</v>
      </c>
      <c r="K292" s="291">
        <v>12.476976309870009</v>
      </c>
      <c r="L292" s="291">
        <v>12.694457595872185</v>
      </c>
      <c r="M292" s="307">
        <f t="shared" si="4"/>
        <v>49.71636635305304</v>
      </c>
    </row>
    <row r="293" spans="1:13" ht="13.15">
      <c r="A293" s="2" t="s">
        <v>111</v>
      </c>
      <c r="B293" s="2" t="s">
        <v>215</v>
      </c>
      <c r="C293" s="2" t="s">
        <v>216</v>
      </c>
      <c r="D293" s="2" t="s">
        <v>85</v>
      </c>
      <c r="E293" s="2" t="s">
        <v>79</v>
      </c>
      <c r="F293" s="291">
        <v>0</v>
      </c>
      <c r="G293" s="291">
        <v>0</v>
      </c>
      <c r="H293" s="291">
        <v>0</v>
      </c>
      <c r="I293" s="291">
        <v>0</v>
      </c>
      <c r="J293" s="291">
        <v>0</v>
      </c>
      <c r="K293" s="291">
        <v>0</v>
      </c>
      <c r="L293" s="291">
        <v>0</v>
      </c>
      <c r="M293" s="307">
        <f t="shared" si="4"/>
        <v>0</v>
      </c>
    </row>
    <row r="294" spans="1:13" ht="13.15">
      <c r="A294" s="2" t="s">
        <v>111</v>
      </c>
      <c r="B294" s="2" t="s">
        <v>217</v>
      </c>
      <c r="C294" s="2" t="s">
        <v>218</v>
      </c>
      <c r="D294" s="2" t="s">
        <v>85</v>
      </c>
      <c r="E294" s="2" t="s">
        <v>79</v>
      </c>
      <c r="F294" s="291">
        <v>0</v>
      </c>
      <c r="G294" s="291">
        <v>0</v>
      </c>
      <c r="H294" s="291">
        <v>0</v>
      </c>
      <c r="I294" s="291">
        <v>0</v>
      </c>
      <c r="J294" s="291">
        <v>0</v>
      </c>
      <c r="K294" s="291">
        <v>0</v>
      </c>
      <c r="L294" s="291">
        <v>0</v>
      </c>
      <c r="M294" s="307">
        <f t="shared" si="4"/>
        <v>0</v>
      </c>
    </row>
    <row r="295" spans="1:13" ht="13.15">
      <c r="A295" s="2" t="s">
        <v>111</v>
      </c>
      <c r="B295" s="2" t="s">
        <v>219</v>
      </c>
      <c r="C295" s="2" t="s">
        <v>220</v>
      </c>
      <c r="D295" s="2" t="s">
        <v>85</v>
      </c>
      <c r="E295" s="2" t="s">
        <v>79</v>
      </c>
      <c r="F295" s="291">
        <v>0</v>
      </c>
      <c r="G295" s="291">
        <v>0</v>
      </c>
      <c r="H295" s="291">
        <v>0</v>
      </c>
      <c r="I295" s="291">
        <v>0</v>
      </c>
      <c r="J295" s="291">
        <v>0</v>
      </c>
      <c r="K295" s="291">
        <v>0</v>
      </c>
      <c r="L295" s="291">
        <v>0</v>
      </c>
      <c r="M295" s="307">
        <f t="shared" si="4"/>
        <v>0</v>
      </c>
    </row>
    <row r="296" spans="1:13" ht="13.15">
      <c r="A296" s="2" t="s">
        <v>111</v>
      </c>
      <c r="B296" s="2" t="s">
        <v>221</v>
      </c>
      <c r="C296" s="2" t="s">
        <v>222</v>
      </c>
      <c r="D296" s="2" t="s">
        <v>85</v>
      </c>
      <c r="E296" s="2" t="s">
        <v>79</v>
      </c>
      <c r="F296" s="291">
        <v>0</v>
      </c>
      <c r="G296" s="291">
        <v>0</v>
      </c>
      <c r="H296" s="291">
        <v>0</v>
      </c>
      <c r="I296" s="291">
        <v>0</v>
      </c>
      <c r="J296" s="291">
        <v>0</v>
      </c>
      <c r="K296" s="291">
        <v>0</v>
      </c>
      <c r="L296" s="291">
        <v>0</v>
      </c>
      <c r="M296" s="307">
        <f t="shared" si="4"/>
        <v>0</v>
      </c>
    </row>
    <row r="297" spans="1:13" ht="13.15">
      <c r="A297" s="2" t="s">
        <v>111</v>
      </c>
      <c r="B297" s="2" t="s">
        <v>223</v>
      </c>
      <c r="C297" s="2" t="s">
        <v>224</v>
      </c>
      <c r="D297" s="2" t="s">
        <v>85</v>
      </c>
      <c r="E297" s="2" t="s">
        <v>79</v>
      </c>
      <c r="F297" s="291">
        <v>0</v>
      </c>
      <c r="G297" s="291">
        <v>0</v>
      </c>
      <c r="H297" s="291">
        <v>17.891299981373265</v>
      </c>
      <c r="I297" s="291">
        <v>63.193126709513862</v>
      </c>
      <c r="J297" s="291">
        <v>61.347486289853173</v>
      </c>
      <c r="K297" s="291">
        <v>46.640299268854982</v>
      </c>
      <c r="L297" s="291">
        <v>34.487031413182279</v>
      </c>
      <c r="M297" s="307">
        <f t="shared" si="4"/>
        <v>223.55924366277756</v>
      </c>
    </row>
    <row r="298" spans="1:13" ht="13.15">
      <c r="A298" s="2" t="s">
        <v>111</v>
      </c>
      <c r="B298" s="2" t="s">
        <v>225</v>
      </c>
      <c r="C298" s="2" t="s">
        <v>226</v>
      </c>
      <c r="D298" s="2" t="s">
        <v>85</v>
      </c>
      <c r="E298" s="2" t="s">
        <v>79</v>
      </c>
      <c r="F298" s="291">
        <v>0</v>
      </c>
      <c r="G298" s="291">
        <v>0</v>
      </c>
      <c r="H298" s="291">
        <v>2.0463049940975728</v>
      </c>
      <c r="I298" s="291">
        <v>0.67889725499535725</v>
      </c>
      <c r="J298" s="291">
        <v>1.348266656618563</v>
      </c>
      <c r="K298" s="291">
        <v>2.0080580606271603</v>
      </c>
      <c r="L298" s="291">
        <v>0.66543919564658183</v>
      </c>
      <c r="M298" s="307">
        <f t="shared" si="4"/>
        <v>6.7469661619852355</v>
      </c>
    </row>
    <row r="299" spans="1:13" ht="13.15">
      <c r="A299" s="2" t="s">
        <v>111</v>
      </c>
      <c r="B299" s="2" t="s">
        <v>227</v>
      </c>
      <c r="C299" s="2" t="s">
        <v>228</v>
      </c>
      <c r="D299" s="2" t="s">
        <v>85</v>
      </c>
      <c r="E299" s="2" t="s">
        <v>79</v>
      </c>
      <c r="F299" s="291">
        <v>0</v>
      </c>
      <c r="G299" s="291">
        <v>0</v>
      </c>
      <c r="H299" s="291">
        <v>0</v>
      </c>
      <c r="I299" s="291">
        <v>0</v>
      </c>
      <c r="J299" s="291">
        <v>0</v>
      </c>
      <c r="K299" s="291">
        <v>0</v>
      </c>
      <c r="L299" s="291">
        <v>0</v>
      </c>
      <c r="M299" s="307">
        <f t="shared" si="4"/>
        <v>0</v>
      </c>
    </row>
    <row r="300" spans="1:13" ht="13.15">
      <c r="A300" s="2" t="s">
        <v>111</v>
      </c>
      <c r="B300" s="2" t="s">
        <v>229</v>
      </c>
      <c r="C300" s="2" t="s">
        <v>230</v>
      </c>
      <c r="D300" s="2" t="s">
        <v>85</v>
      </c>
      <c r="E300" s="2" t="s">
        <v>79</v>
      </c>
      <c r="F300" s="291">
        <v>0</v>
      </c>
      <c r="G300" s="291">
        <v>0</v>
      </c>
      <c r="H300" s="291">
        <v>15.080967507879066</v>
      </c>
      <c r="I300" s="291">
        <v>11.746705985607857</v>
      </c>
      <c r="J300" s="291">
        <v>8.8356227434840413</v>
      </c>
      <c r="K300" s="291">
        <v>6.1463637049597741</v>
      </c>
      <c r="L300" s="291">
        <v>5.4032347480975798</v>
      </c>
      <c r="M300" s="307">
        <f t="shared" si="4"/>
        <v>47.212894690028321</v>
      </c>
    </row>
    <row r="301" spans="1:13" ht="13.15">
      <c r="A301" s="2" t="s">
        <v>111</v>
      </c>
      <c r="B301" s="2" t="s">
        <v>231</v>
      </c>
      <c r="C301" s="2" t="s">
        <v>232</v>
      </c>
      <c r="D301" s="2" t="s">
        <v>85</v>
      </c>
      <c r="E301" s="2" t="s">
        <v>79</v>
      </c>
      <c r="F301" s="291">
        <v>0</v>
      </c>
      <c r="G301" s="291">
        <v>0</v>
      </c>
      <c r="H301" s="291">
        <v>0</v>
      </c>
      <c r="I301" s="291">
        <v>0</v>
      </c>
      <c r="J301" s="291">
        <v>0</v>
      </c>
      <c r="K301" s="291">
        <v>0</v>
      </c>
      <c r="L301" s="291">
        <v>0</v>
      </c>
      <c r="M301" s="307">
        <f t="shared" si="4"/>
        <v>0</v>
      </c>
    </row>
    <row r="302" spans="1:13" ht="13.15">
      <c r="A302" s="2" t="s">
        <v>111</v>
      </c>
      <c r="B302" s="2" t="s">
        <v>233</v>
      </c>
      <c r="C302" s="2" t="s">
        <v>234</v>
      </c>
      <c r="D302" s="2" t="s">
        <v>85</v>
      </c>
      <c r="E302" s="2" t="s">
        <v>79</v>
      </c>
      <c r="F302" s="291">
        <v>0</v>
      </c>
      <c r="G302" s="291">
        <v>0</v>
      </c>
      <c r="H302" s="291">
        <v>0</v>
      </c>
      <c r="I302" s="291">
        <v>0</v>
      </c>
      <c r="J302" s="291">
        <v>0</v>
      </c>
      <c r="K302" s="291">
        <v>0</v>
      </c>
      <c r="L302" s="291">
        <v>0</v>
      </c>
      <c r="M302" s="307">
        <f t="shared" si="4"/>
        <v>0</v>
      </c>
    </row>
    <row r="303" spans="1:13" ht="13.15">
      <c r="A303" s="2" t="s">
        <v>111</v>
      </c>
      <c r="B303" s="2" t="s">
        <v>235</v>
      </c>
      <c r="C303" s="2" t="s">
        <v>236</v>
      </c>
      <c r="D303" s="2" t="s">
        <v>85</v>
      </c>
      <c r="E303" s="2" t="s">
        <v>79</v>
      </c>
      <c r="F303" s="291">
        <v>0</v>
      </c>
      <c r="G303" s="291">
        <v>0</v>
      </c>
      <c r="H303" s="291">
        <v>0</v>
      </c>
      <c r="I303" s="291">
        <v>0</v>
      </c>
      <c r="J303" s="291">
        <v>0</v>
      </c>
      <c r="K303" s="291">
        <v>0</v>
      </c>
      <c r="L303" s="291">
        <v>0</v>
      </c>
      <c r="M303" s="307">
        <f t="shared" si="4"/>
        <v>0</v>
      </c>
    </row>
    <row r="304" spans="1:13" ht="13.15">
      <c r="A304" s="2" t="s">
        <v>111</v>
      </c>
      <c r="B304" s="2" t="s">
        <v>237</v>
      </c>
      <c r="C304" s="2" t="s">
        <v>238</v>
      </c>
      <c r="D304" s="2" t="s">
        <v>85</v>
      </c>
      <c r="E304" s="2" t="s">
        <v>79</v>
      </c>
      <c r="F304" s="291">
        <v>0</v>
      </c>
      <c r="G304" s="291">
        <v>0</v>
      </c>
      <c r="H304" s="291">
        <v>0</v>
      </c>
      <c r="I304" s="291">
        <v>0</v>
      </c>
      <c r="J304" s="291">
        <v>0</v>
      </c>
      <c r="K304" s="291">
        <v>0</v>
      </c>
      <c r="L304" s="291">
        <v>0</v>
      </c>
      <c r="M304" s="307">
        <f t="shared" si="4"/>
        <v>0</v>
      </c>
    </row>
    <row r="305" spans="1:13" ht="13.15">
      <c r="A305" s="2" t="s">
        <v>111</v>
      </c>
      <c r="B305" s="2" t="s">
        <v>239</v>
      </c>
      <c r="C305" s="2" t="s">
        <v>240</v>
      </c>
      <c r="D305" s="2" t="s">
        <v>85</v>
      </c>
      <c r="E305" s="2" t="s">
        <v>79</v>
      </c>
      <c r="F305" s="291">
        <v>0</v>
      </c>
      <c r="G305" s="291">
        <v>0</v>
      </c>
      <c r="H305" s="291">
        <v>56.426467091975077</v>
      </c>
      <c r="I305" s="291">
        <v>47.078585529504672</v>
      </c>
      <c r="J305" s="291">
        <v>21.027853274931282</v>
      </c>
      <c r="K305" s="291">
        <v>5.4300971272825365</v>
      </c>
      <c r="L305" s="291">
        <v>5.392776498051723</v>
      </c>
      <c r="M305" s="307">
        <f t="shared" si="4"/>
        <v>135.35577952174526</v>
      </c>
    </row>
    <row r="306" spans="1:13" ht="13.15">
      <c r="A306" s="2" t="s">
        <v>112</v>
      </c>
      <c r="B306" s="2" t="s">
        <v>155</v>
      </c>
      <c r="C306" s="2" t="s">
        <v>156</v>
      </c>
      <c r="D306" s="2" t="s">
        <v>85</v>
      </c>
      <c r="E306" s="2" t="s">
        <v>79</v>
      </c>
      <c r="F306" s="291">
        <v>0</v>
      </c>
      <c r="G306" s="291">
        <v>0</v>
      </c>
      <c r="H306" s="291">
        <v>431.51160381327475</v>
      </c>
      <c r="I306" s="291">
        <v>575.57334313110027</v>
      </c>
      <c r="J306" s="291">
        <v>735.11545029724573</v>
      </c>
      <c r="K306" s="291">
        <v>1106.0967071061377</v>
      </c>
      <c r="L306" s="291">
        <v>1752.5920358719834</v>
      </c>
      <c r="M306" s="307">
        <f t="shared" si="4"/>
        <v>4600.8891402197414</v>
      </c>
    </row>
    <row r="307" spans="1:13" ht="13.15">
      <c r="A307" s="2" t="s">
        <v>112</v>
      </c>
      <c r="B307" s="2" t="s">
        <v>157</v>
      </c>
      <c r="C307" s="2" t="s">
        <v>158</v>
      </c>
      <c r="D307" s="2" t="s">
        <v>85</v>
      </c>
      <c r="E307" s="2" t="s">
        <v>79</v>
      </c>
      <c r="F307" s="291">
        <v>0</v>
      </c>
      <c r="G307" s="291">
        <v>0</v>
      </c>
      <c r="H307" s="291">
        <v>1.6267571508338052</v>
      </c>
      <c r="I307" s="291">
        <v>0</v>
      </c>
      <c r="J307" s="291">
        <v>0</v>
      </c>
      <c r="K307" s="291">
        <v>0</v>
      </c>
      <c r="L307" s="291">
        <v>0</v>
      </c>
      <c r="M307" s="307">
        <f t="shared" si="4"/>
        <v>1.6267571508338052</v>
      </c>
    </row>
    <row r="308" spans="1:13" ht="13.15">
      <c r="A308" s="2" t="s">
        <v>112</v>
      </c>
      <c r="B308" s="2" t="s">
        <v>159</v>
      </c>
      <c r="C308" s="2" t="s">
        <v>160</v>
      </c>
      <c r="D308" s="2" t="s">
        <v>85</v>
      </c>
      <c r="E308" s="2" t="s">
        <v>79</v>
      </c>
      <c r="F308" s="291">
        <v>0</v>
      </c>
      <c r="G308" s="291">
        <v>0</v>
      </c>
      <c r="H308" s="291">
        <v>14.099552389205513</v>
      </c>
      <c r="I308" s="291">
        <v>26.163422347649544</v>
      </c>
      <c r="J308" s="291">
        <v>0</v>
      </c>
      <c r="K308" s="291">
        <v>0</v>
      </c>
      <c r="L308" s="291">
        <v>0.86136003585213738</v>
      </c>
      <c r="M308" s="307">
        <f t="shared" si="4"/>
        <v>41.124334772707194</v>
      </c>
    </row>
    <row r="309" spans="1:13" ht="13.15">
      <c r="A309" s="2" t="s">
        <v>112</v>
      </c>
      <c r="B309" s="2" t="s">
        <v>161</v>
      </c>
      <c r="C309" s="2" t="s">
        <v>162</v>
      </c>
      <c r="D309" s="2" t="s">
        <v>85</v>
      </c>
      <c r="E309" s="2" t="s">
        <v>79</v>
      </c>
      <c r="F309" s="291">
        <v>0</v>
      </c>
      <c r="G309" s="291">
        <v>0</v>
      </c>
      <c r="H309" s="291">
        <v>8.3145026303734966</v>
      </c>
      <c r="I309" s="291">
        <v>8.2705514403322411</v>
      </c>
      <c r="J309" s="291">
        <v>8.2198027652105772</v>
      </c>
      <c r="K309" s="291">
        <v>8.1590985093550135</v>
      </c>
      <c r="L309" s="291">
        <v>7.9779246947386726</v>
      </c>
      <c r="M309" s="307">
        <f t="shared" si="4"/>
        <v>40.941880040010005</v>
      </c>
    </row>
    <row r="310" spans="1:13" ht="13.15">
      <c r="A310" s="2" t="s">
        <v>112</v>
      </c>
      <c r="B310" s="2" t="s">
        <v>163</v>
      </c>
      <c r="C310" s="2" t="s">
        <v>164</v>
      </c>
      <c r="D310" s="2" t="s">
        <v>85</v>
      </c>
      <c r="E310" s="2" t="s">
        <v>79</v>
      </c>
      <c r="F310" s="291">
        <v>0</v>
      </c>
      <c r="G310" s="291">
        <v>0</v>
      </c>
      <c r="H310" s="291">
        <v>3.7199999138701814</v>
      </c>
      <c r="I310" s="291">
        <v>3.7168866902591491</v>
      </c>
      <c r="J310" s="291">
        <v>0.92743644320780061</v>
      </c>
      <c r="K310" s="291">
        <v>0.46262617436749515</v>
      </c>
      <c r="L310" s="291">
        <v>0.4619670864928952</v>
      </c>
      <c r="M310" s="307">
        <f t="shared" si="4"/>
        <v>9.288916308197523</v>
      </c>
    </row>
    <row r="311" spans="1:13" ht="13.15">
      <c r="A311" s="2" t="s">
        <v>112</v>
      </c>
      <c r="B311" s="2" t="s">
        <v>165</v>
      </c>
      <c r="C311" s="2" t="s">
        <v>166</v>
      </c>
      <c r="D311" s="2" t="s">
        <v>85</v>
      </c>
      <c r="E311" s="2" t="s">
        <v>79</v>
      </c>
      <c r="F311" s="291">
        <v>0</v>
      </c>
      <c r="G311" s="291">
        <v>0</v>
      </c>
      <c r="H311" s="291">
        <v>0</v>
      </c>
      <c r="I311" s="291">
        <v>0</v>
      </c>
      <c r="J311" s="291">
        <v>0</v>
      </c>
      <c r="K311" s="291">
        <v>0</v>
      </c>
      <c r="L311" s="291">
        <v>0</v>
      </c>
      <c r="M311" s="307">
        <f t="shared" si="4"/>
        <v>0</v>
      </c>
    </row>
    <row r="312" spans="1:13" ht="13.15">
      <c r="A312" s="2" t="s">
        <v>112</v>
      </c>
      <c r="B312" s="2" t="s">
        <v>167</v>
      </c>
      <c r="C312" s="2" t="s">
        <v>168</v>
      </c>
      <c r="D312" s="2" t="s">
        <v>85</v>
      </c>
      <c r="E312" s="2" t="s">
        <v>79</v>
      </c>
      <c r="F312" s="291">
        <v>0</v>
      </c>
      <c r="G312" s="291">
        <v>0</v>
      </c>
      <c r="H312" s="291">
        <v>25.77652791899467</v>
      </c>
      <c r="I312" s="291">
        <v>24.841746404031959</v>
      </c>
      <c r="J312" s="291">
        <v>98.110258450199964</v>
      </c>
      <c r="K312" s="291">
        <v>200.6766705210137</v>
      </c>
      <c r="L312" s="291">
        <v>369.26812543922091</v>
      </c>
      <c r="M312" s="307">
        <f t="shared" si="4"/>
        <v>718.67332873346118</v>
      </c>
    </row>
    <row r="313" spans="1:13" ht="13.15">
      <c r="A313" s="2" t="s">
        <v>112</v>
      </c>
      <c r="B313" s="2" t="s">
        <v>169</v>
      </c>
      <c r="C313" s="2" t="s">
        <v>170</v>
      </c>
      <c r="D313" s="2" t="s">
        <v>85</v>
      </c>
      <c r="E313" s="2" t="s">
        <v>79</v>
      </c>
      <c r="F313" s="291">
        <v>0</v>
      </c>
      <c r="G313" s="291">
        <v>0</v>
      </c>
      <c r="H313" s="291">
        <v>0.41648537012200809</v>
      </c>
      <c r="I313" s="291">
        <v>0.27855484082795301</v>
      </c>
      <c r="J313" s="291">
        <v>19.684251809714326</v>
      </c>
      <c r="K313" s="291">
        <v>48.652041694399003</v>
      </c>
      <c r="L313" s="291">
        <v>121.17097254578132</v>
      </c>
      <c r="M313" s="307">
        <f t="shared" si="4"/>
        <v>190.20230626084461</v>
      </c>
    </row>
    <row r="314" spans="1:13" ht="13.15">
      <c r="A314" s="2" t="s">
        <v>112</v>
      </c>
      <c r="B314" s="2" t="s">
        <v>171</v>
      </c>
      <c r="C314" s="2" t="s">
        <v>172</v>
      </c>
      <c r="D314" s="2" t="s">
        <v>85</v>
      </c>
      <c r="E314" s="2" t="s">
        <v>79</v>
      </c>
      <c r="F314" s="291">
        <v>0</v>
      </c>
      <c r="G314" s="291">
        <v>0</v>
      </c>
      <c r="H314" s="291">
        <v>1.7352076275560588</v>
      </c>
      <c r="I314" s="291">
        <v>2.5732898735572776</v>
      </c>
      <c r="J314" s="291">
        <v>2.7288485718118034</v>
      </c>
      <c r="K314" s="291">
        <v>8.2611816851338435E-2</v>
      </c>
      <c r="L314" s="291">
        <v>8.3045922739107408E-2</v>
      </c>
      <c r="M314" s="307">
        <f t="shared" si="4"/>
        <v>7.2030038125155862</v>
      </c>
    </row>
    <row r="315" spans="1:13" ht="13.15">
      <c r="A315" s="2" t="s">
        <v>112</v>
      </c>
      <c r="B315" s="2" t="s">
        <v>173</v>
      </c>
      <c r="C315" s="2" t="s">
        <v>174</v>
      </c>
      <c r="D315" s="2" t="s">
        <v>85</v>
      </c>
      <c r="E315" s="2" t="s">
        <v>79</v>
      </c>
      <c r="F315" s="291">
        <v>0</v>
      </c>
      <c r="G315" s="291">
        <v>0</v>
      </c>
      <c r="H315" s="291">
        <v>0</v>
      </c>
      <c r="I315" s="291">
        <v>0</v>
      </c>
      <c r="J315" s="291">
        <v>0</v>
      </c>
      <c r="K315" s="291">
        <v>0</v>
      </c>
      <c r="L315" s="291">
        <v>0</v>
      </c>
      <c r="M315" s="307">
        <f t="shared" si="4"/>
        <v>0</v>
      </c>
    </row>
    <row r="316" spans="1:13" ht="13.15">
      <c r="A316" s="2" t="s">
        <v>112</v>
      </c>
      <c r="B316" s="2" t="s">
        <v>175</v>
      </c>
      <c r="C316" s="2" t="s">
        <v>176</v>
      </c>
      <c r="D316" s="2" t="s">
        <v>85</v>
      </c>
      <c r="E316" s="2" t="s">
        <v>79</v>
      </c>
      <c r="F316" s="291">
        <v>0</v>
      </c>
      <c r="G316" s="291">
        <v>0</v>
      </c>
      <c r="H316" s="291">
        <v>0</v>
      </c>
      <c r="I316" s="291">
        <v>0</v>
      </c>
      <c r="J316" s="291">
        <v>15.043328515414197</v>
      </c>
      <c r="K316" s="291">
        <v>0.40061871654260822</v>
      </c>
      <c r="L316" s="291">
        <v>0.39891012422703809</v>
      </c>
      <c r="M316" s="307">
        <f t="shared" si="4"/>
        <v>15.842857356183844</v>
      </c>
    </row>
    <row r="317" spans="1:13" ht="13.15">
      <c r="A317" s="2" t="s">
        <v>112</v>
      </c>
      <c r="B317" s="2" t="s">
        <v>177</v>
      </c>
      <c r="C317" s="2" t="s">
        <v>178</v>
      </c>
      <c r="D317" s="2" t="s">
        <v>85</v>
      </c>
      <c r="E317" s="2" t="s">
        <v>79</v>
      </c>
      <c r="F317" s="291">
        <v>0</v>
      </c>
      <c r="G317" s="291">
        <v>0</v>
      </c>
      <c r="H317" s="291">
        <v>26.168602438039336</v>
      </c>
      <c r="I317" s="291">
        <v>38.074520574196875</v>
      </c>
      <c r="J317" s="291">
        <v>167.58874186904328</v>
      </c>
      <c r="K317" s="291">
        <v>362.87458347442492</v>
      </c>
      <c r="L317" s="291">
        <v>588.5093613202265</v>
      </c>
      <c r="M317" s="307">
        <f t="shared" si="4"/>
        <v>1183.2158096759308</v>
      </c>
    </row>
    <row r="318" spans="1:13" ht="13.15">
      <c r="A318" s="2" t="s">
        <v>112</v>
      </c>
      <c r="B318" s="2" t="s">
        <v>179</v>
      </c>
      <c r="C318" s="2" t="s">
        <v>180</v>
      </c>
      <c r="D318" s="2" t="s">
        <v>85</v>
      </c>
      <c r="E318" s="2" t="s">
        <v>79</v>
      </c>
      <c r="F318" s="291">
        <v>0</v>
      </c>
      <c r="G318" s="291">
        <v>0</v>
      </c>
      <c r="H318" s="291">
        <v>0.10339935862834049</v>
      </c>
      <c r="I318" s="291">
        <v>0.32983822728444739</v>
      </c>
      <c r="J318" s="291">
        <v>0.66884695350005119</v>
      </c>
      <c r="K318" s="291">
        <v>0.95606169690190113</v>
      </c>
      <c r="L318" s="291">
        <v>4.2585176660402749E-2</v>
      </c>
      <c r="M318" s="307">
        <f t="shared" si="4"/>
        <v>2.1007314129751427</v>
      </c>
    </row>
    <row r="319" spans="1:13" ht="13.15">
      <c r="A319" s="2" t="s">
        <v>112</v>
      </c>
      <c r="B319" s="2" t="s">
        <v>181</v>
      </c>
      <c r="C319" s="2" t="s">
        <v>182</v>
      </c>
      <c r="D319" s="2" t="s">
        <v>85</v>
      </c>
      <c r="E319" s="2" t="s">
        <v>79</v>
      </c>
      <c r="F319" s="291">
        <v>0</v>
      </c>
      <c r="G319" s="291">
        <v>0</v>
      </c>
      <c r="H319" s="291">
        <v>31.578303445365417</v>
      </c>
      <c r="I319" s="291">
        <v>29.992053153939541</v>
      </c>
      <c r="J319" s="291">
        <v>0.62179874997706208</v>
      </c>
      <c r="K319" s="291">
        <v>0.69041027373931541</v>
      </c>
      <c r="L319" s="291">
        <v>6.1109623938283004</v>
      </c>
      <c r="M319" s="307">
        <f t="shared" si="4"/>
        <v>68.993528016849638</v>
      </c>
    </row>
    <row r="320" spans="1:13" ht="13.15">
      <c r="A320" s="2" t="s">
        <v>112</v>
      </c>
      <c r="B320" s="2" t="s">
        <v>183</v>
      </c>
      <c r="C320" s="2" t="s">
        <v>184</v>
      </c>
      <c r="D320" s="2" t="s">
        <v>85</v>
      </c>
      <c r="E320" s="2" t="s">
        <v>79</v>
      </c>
      <c r="F320" s="291">
        <v>0</v>
      </c>
      <c r="G320" s="291">
        <v>0</v>
      </c>
      <c r="H320" s="291">
        <v>0</v>
      </c>
      <c r="I320" s="291">
        <v>0</v>
      </c>
      <c r="J320" s="291">
        <v>0</v>
      </c>
      <c r="K320" s="291">
        <v>0</v>
      </c>
      <c r="L320" s="291">
        <v>0</v>
      </c>
      <c r="M320" s="307">
        <f t="shared" si="4"/>
        <v>0</v>
      </c>
    </row>
    <row r="321" spans="1:13" ht="13.15">
      <c r="A321" s="2" t="s">
        <v>112</v>
      </c>
      <c r="B321" s="2" t="s">
        <v>185</v>
      </c>
      <c r="C321" s="2" t="s">
        <v>186</v>
      </c>
      <c r="D321" s="2" t="s">
        <v>85</v>
      </c>
      <c r="E321" s="2" t="s">
        <v>79</v>
      </c>
      <c r="F321" s="291">
        <v>0</v>
      </c>
      <c r="G321" s="291">
        <v>0</v>
      </c>
      <c r="H321" s="291">
        <v>0</v>
      </c>
      <c r="I321" s="291">
        <v>0</v>
      </c>
      <c r="J321" s="291">
        <v>0</v>
      </c>
      <c r="K321" s="291">
        <v>0</v>
      </c>
      <c r="L321" s="291">
        <v>0</v>
      </c>
      <c r="M321" s="307">
        <f t="shared" si="4"/>
        <v>0</v>
      </c>
    </row>
    <row r="322" spans="1:13" ht="13.15">
      <c r="A322" s="2" t="s">
        <v>112</v>
      </c>
      <c r="B322" s="2" t="s">
        <v>187</v>
      </c>
      <c r="C322" s="2" t="s">
        <v>188</v>
      </c>
      <c r="D322" s="2" t="s">
        <v>85</v>
      </c>
      <c r="E322" s="2" t="s">
        <v>79</v>
      </c>
      <c r="F322" s="291">
        <v>0</v>
      </c>
      <c r="G322" s="291">
        <v>0</v>
      </c>
      <c r="H322" s="291">
        <v>0</v>
      </c>
      <c r="I322" s="291">
        <v>0</v>
      </c>
      <c r="J322" s="291">
        <v>0</v>
      </c>
      <c r="K322" s="291">
        <v>0</v>
      </c>
      <c r="L322" s="291">
        <v>0</v>
      </c>
      <c r="M322" s="307">
        <f t="shared" si="4"/>
        <v>0</v>
      </c>
    </row>
    <row r="323" spans="1:13" ht="13.15">
      <c r="A323" s="2" t="s">
        <v>112</v>
      </c>
      <c r="B323" s="2" t="s">
        <v>189</v>
      </c>
      <c r="C323" s="2" t="s">
        <v>190</v>
      </c>
      <c r="D323" s="2" t="s">
        <v>85</v>
      </c>
      <c r="E323" s="2" t="s">
        <v>79</v>
      </c>
      <c r="F323" s="291">
        <v>0</v>
      </c>
      <c r="G323" s="291">
        <v>0</v>
      </c>
      <c r="H323" s="291">
        <v>0</v>
      </c>
      <c r="I323" s="291">
        <v>0</v>
      </c>
      <c r="J323" s="291">
        <v>0</v>
      </c>
      <c r="K323" s="291">
        <v>0</v>
      </c>
      <c r="L323" s="291">
        <v>0</v>
      </c>
      <c r="M323" s="307">
        <f t="shared" si="4"/>
        <v>0</v>
      </c>
    </row>
    <row r="324" spans="1:13" ht="13.15">
      <c r="A324" s="2" t="s">
        <v>112</v>
      </c>
      <c r="B324" s="2" t="s">
        <v>191</v>
      </c>
      <c r="C324" s="2" t="s">
        <v>192</v>
      </c>
      <c r="D324" s="2" t="s">
        <v>85</v>
      </c>
      <c r="E324" s="2" t="s">
        <v>79</v>
      </c>
      <c r="F324" s="291">
        <v>0</v>
      </c>
      <c r="G324" s="291">
        <v>0</v>
      </c>
      <c r="H324" s="291">
        <v>1.8639616181852183</v>
      </c>
      <c r="I324" s="291">
        <v>1.8619899927347834</v>
      </c>
      <c r="J324" s="291">
        <v>1.9053962399518367</v>
      </c>
      <c r="K324" s="291">
        <v>1.9467231665085984</v>
      </c>
      <c r="L324" s="291">
        <v>1.9438539822537584</v>
      </c>
      <c r="M324" s="307">
        <f t="shared" si="4"/>
        <v>9.5219249996341961</v>
      </c>
    </row>
    <row r="325" spans="1:13" ht="13.15">
      <c r="A325" s="2" t="s">
        <v>112</v>
      </c>
      <c r="B325" s="2" t="s">
        <v>193</v>
      </c>
      <c r="C325" s="2" t="s">
        <v>194</v>
      </c>
      <c r="D325" s="2" t="s">
        <v>85</v>
      </c>
      <c r="E325" s="2" t="s">
        <v>79</v>
      </c>
      <c r="F325" s="291">
        <v>0</v>
      </c>
      <c r="G325" s="291">
        <v>0</v>
      </c>
      <c r="H325" s="291">
        <v>0</v>
      </c>
      <c r="I325" s="291">
        <v>0</v>
      </c>
      <c r="J325" s="291">
        <v>0</v>
      </c>
      <c r="K325" s="291">
        <v>0</v>
      </c>
      <c r="L325" s="291">
        <v>0</v>
      </c>
      <c r="M325" s="307">
        <f t="shared" ref="M325:M388" si="5">SUM(F325:L325)</f>
        <v>0</v>
      </c>
    </row>
    <row r="326" spans="1:13" ht="13.15">
      <c r="A326" s="2" t="s">
        <v>112</v>
      </c>
      <c r="B326" s="2" t="s">
        <v>195</v>
      </c>
      <c r="C326" s="2" t="s">
        <v>196</v>
      </c>
      <c r="D326" s="2" t="s">
        <v>85</v>
      </c>
      <c r="E326" s="2" t="s">
        <v>79</v>
      </c>
      <c r="F326" s="291">
        <v>0</v>
      </c>
      <c r="G326" s="291">
        <v>0</v>
      </c>
      <c r="H326" s="291">
        <v>0</v>
      </c>
      <c r="I326" s="291">
        <v>0</v>
      </c>
      <c r="J326" s="291">
        <v>0</v>
      </c>
      <c r="K326" s="291">
        <v>0</v>
      </c>
      <c r="L326" s="291">
        <v>0</v>
      </c>
      <c r="M326" s="307">
        <f t="shared" si="5"/>
        <v>0</v>
      </c>
    </row>
    <row r="327" spans="1:13" ht="13.15">
      <c r="A327" s="2" t="s">
        <v>112</v>
      </c>
      <c r="B327" s="2" t="s">
        <v>197</v>
      </c>
      <c r="C327" s="2" t="s">
        <v>198</v>
      </c>
      <c r="D327" s="2" t="s">
        <v>85</v>
      </c>
      <c r="E327" s="2" t="s">
        <v>79</v>
      </c>
      <c r="F327" s="291">
        <v>0</v>
      </c>
      <c r="G327" s="291">
        <v>0</v>
      </c>
      <c r="H327" s="291">
        <v>0</v>
      </c>
      <c r="I327" s="291">
        <v>0</v>
      </c>
      <c r="J327" s="291">
        <v>0</v>
      </c>
      <c r="K327" s="291">
        <v>0</v>
      </c>
      <c r="L327" s="291">
        <v>0</v>
      </c>
      <c r="M327" s="307">
        <f t="shared" si="5"/>
        <v>0</v>
      </c>
    </row>
    <row r="328" spans="1:13" ht="13.15">
      <c r="A328" s="2" t="s">
        <v>112</v>
      </c>
      <c r="B328" s="2" t="s">
        <v>199</v>
      </c>
      <c r="C328" s="2" t="s">
        <v>200</v>
      </c>
      <c r="D328" s="2" t="s">
        <v>85</v>
      </c>
      <c r="E328" s="2" t="s">
        <v>79</v>
      </c>
      <c r="F328" s="291">
        <v>0</v>
      </c>
      <c r="G328" s="291">
        <v>0</v>
      </c>
      <c r="H328" s="291">
        <v>17.164584326448576</v>
      </c>
      <c r="I328" s="291">
        <v>15.932901018349822</v>
      </c>
      <c r="J328" s="291">
        <v>6.2611995090866799</v>
      </c>
      <c r="K328" s="291">
        <v>0.86799485190968728</v>
      </c>
      <c r="L328" s="291">
        <v>0.13616999422910497</v>
      </c>
      <c r="M328" s="307">
        <f t="shared" si="5"/>
        <v>40.362849700023872</v>
      </c>
    </row>
    <row r="329" spans="1:13" ht="13.15">
      <c r="A329" s="2" t="s">
        <v>112</v>
      </c>
      <c r="B329" s="2" t="s">
        <v>201</v>
      </c>
      <c r="C329" s="2" t="s">
        <v>202</v>
      </c>
      <c r="D329" s="2" t="s">
        <v>85</v>
      </c>
      <c r="E329" s="2" t="s">
        <v>79</v>
      </c>
      <c r="F329" s="291">
        <v>0</v>
      </c>
      <c r="G329" s="291">
        <v>0</v>
      </c>
      <c r="H329" s="291">
        <v>0</v>
      </c>
      <c r="I329" s="291">
        <v>0</v>
      </c>
      <c r="J329" s="291">
        <v>1.7624425652175266E-3</v>
      </c>
      <c r="K329" s="291">
        <v>6.5603501617239338E-2</v>
      </c>
      <c r="L329" s="291">
        <v>9.3861205700479552E-2</v>
      </c>
      <c r="M329" s="307">
        <f t="shared" si="5"/>
        <v>0.1612271498829364</v>
      </c>
    </row>
    <row r="330" spans="1:13" ht="13.15">
      <c r="A330" s="2" t="s">
        <v>112</v>
      </c>
      <c r="B330" s="2" t="s">
        <v>203</v>
      </c>
      <c r="C330" s="2" t="s">
        <v>204</v>
      </c>
      <c r="D330" s="2" t="s">
        <v>85</v>
      </c>
      <c r="E330" s="2" t="s">
        <v>79</v>
      </c>
      <c r="F330" s="291">
        <v>0</v>
      </c>
      <c r="G330" s="291">
        <v>0</v>
      </c>
      <c r="H330" s="291">
        <v>0</v>
      </c>
      <c r="I330" s="291">
        <v>0</v>
      </c>
      <c r="J330" s="291">
        <v>0</v>
      </c>
      <c r="K330" s="291">
        <v>0</v>
      </c>
      <c r="L330" s="291">
        <v>0</v>
      </c>
      <c r="M330" s="307">
        <f t="shared" si="5"/>
        <v>0</v>
      </c>
    </row>
    <row r="331" spans="1:13" ht="13.15">
      <c r="A331" s="2" t="s">
        <v>112</v>
      </c>
      <c r="B331" s="2" t="s">
        <v>205</v>
      </c>
      <c r="C331" s="2" t="s">
        <v>206</v>
      </c>
      <c r="D331" s="2" t="s">
        <v>85</v>
      </c>
      <c r="E331" s="2" t="s">
        <v>79</v>
      </c>
      <c r="F331" s="291">
        <v>0</v>
      </c>
      <c r="G331" s="291">
        <v>0</v>
      </c>
      <c r="H331" s="291">
        <v>0</v>
      </c>
      <c r="I331" s="291">
        <v>0</v>
      </c>
      <c r="J331" s="291">
        <v>0</v>
      </c>
      <c r="K331" s="291">
        <v>0</v>
      </c>
      <c r="L331" s="291">
        <v>0</v>
      </c>
      <c r="M331" s="307">
        <f t="shared" si="5"/>
        <v>0</v>
      </c>
    </row>
    <row r="332" spans="1:13" ht="13.15">
      <c r="A332" s="2" t="s">
        <v>112</v>
      </c>
      <c r="B332" s="2" t="s">
        <v>207</v>
      </c>
      <c r="C332" s="2" t="s">
        <v>208</v>
      </c>
      <c r="D332" s="2" t="s">
        <v>85</v>
      </c>
      <c r="E332" s="2" t="s">
        <v>79</v>
      </c>
      <c r="F332" s="291">
        <v>0</v>
      </c>
      <c r="G332" s="291">
        <v>0</v>
      </c>
      <c r="H332" s="291">
        <v>0</v>
      </c>
      <c r="I332" s="291">
        <v>0</v>
      </c>
      <c r="J332" s="291">
        <v>0</v>
      </c>
      <c r="K332" s="291">
        <v>0</v>
      </c>
      <c r="L332" s="291">
        <v>0</v>
      </c>
      <c r="M332" s="307">
        <f t="shared" si="5"/>
        <v>0</v>
      </c>
    </row>
    <row r="333" spans="1:13" ht="13.15">
      <c r="A333" s="2" t="s">
        <v>112</v>
      </c>
      <c r="B333" s="2" t="s">
        <v>209</v>
      </c>
      <c r="C333" s="2" t="s">
        <v>210</v>
      </c>
      <c r="D333" s="2" t="s">
        <v>85</v>
      </c>
      <c r="E333" s="2" t="s">
        <v>79</v>
      </c>
      <c r="F333" s="291">
        <v>0</v>
      </c>
      <c r="G333" s="291">
        <v>0</v>
      </c>
      <c r="H333" s="291">
        <v>0</v>
      </c>
      <c r="I333" s="291">
        <v>0</v>
      </c>
      <c r="J333" s="291">
        <v>0</v>
      </c>
      <c r="K333" s="291">
        <v>0</v>
      </c>
      <c r="L333" s="291">
        <v>0</v>
      </c>
      <c r="M333" s="307">
        <f t="shared" si="5"/>
        <v>0</v>
      </c>
    </row>
    <row r="334" spans="1:13" ht="13.15">
      <c r="A334" s="2" t="s">
        <v>112</v>
      </c>
      <c r="B334" s="2" t="s">
        <v>211</v>
      </c>
      <c r="C334" s="2" t="s">
        <v>212</v>
      </c>
      <c r="D334" s="2" t="s">
        <v>85</v>
      </c>
      <c r="E334" s="2" t="s">
        <v>79</v>
      </c>
      <c r="F334" s="291">
        <v>0</v>
      </c>
      <c r="G334" s="291">
        <v>0</v>
      </c>
      <c r="H334" s="291">
        <v>0</v>
      </c>
      <c r="I334" s="291">
        <v>0</v>
      </c>
      <c r="J334" s="291">
        <v>0</v>
      </c>
      <c r="K334" s="291">
        <v>0</v>
      </c>
      <c r="L334" s="291">
        <v>0</v>
      </c>
      <c r="M334" s="307">
        <f t="shared" si="5"/>
        <v>0</v>
      </c>
    </row>
    <row r="335" spans="1:13" ht="13.15">
      <c r="A335" s="2" t="s">
        <v>112</v>
      </c>
      <c r="B335" s="2" t="s">
        <v>213</v>
      </c>
      <c r="C335" s="2" t="s">
        <v>214</v>
      </c>
      <c r="D335" s="2" t="s">
        <v>85</v>
      </c>
      <c r="E335" s="2" t="s">
        <v>79</v>
      </c>
      <c r="F335" s="291">
        <v>0</v>
      </c>
      <c r="G335" s="291">
        <v>0</v>
      </c>
      <c r="H335" s="291">
        <v>0</v>
      </c>
      <c r="I335" s="291">
        <v>0</v>
      </c>
      <c r="J335" s="291">
        <v>0</v>
      </c>
      <c r="K335" s="291">
        <v>0</v>
      </c>
      <c r="L335" s="291">
        <v>0</v>
      </c>
      <c r="M335" s="307">
        <f t="shared" si="5"/>
        <v>0</v>
      </c>
    </row>
    <row r="336" spans="1:13" ht="13.15">
      <c r="A336" s="2" t="s">
        <v>112</v>
      </c>
      <c r="B336" s="2" t="s">
        <v>215</v>
      </c>
      <c r="C336" s="2" t="s">
        <v>216</v>
      </c>
      <c r="D336" s="2" t="s">
        <v>85</v>
      </c>
      <c r="E336" s="2" t="s">
        <v>79</v>
      </c>
      <c r="F336" s="291">
        <v>0</v>
      </c>
      <c r="G336" s="291">
        <v>0</v>
      </c>
      <c r="H336" s="291">
        <v>0</v>
      </c>
      <c r="I336" s="291">
        <v>0</v>
      </c>
      <c r="J336" s="291">
        <v>0</v>
      </c>
      <c r="K336" s="291">
        <v>0</v>
      </c>
      <c r="L336" s="291">
        <v>0</v>
      </c>
      <c r="M336" s="307">
        <f t="shared" si="5"/>
        <v>0</v>
      </c>
    </row>
    <row r="337" spans="1:13" ht="13.15">
      <c r="A337" s="2" t="s">
        <v>112</v>
      </c>
      <c r="B337" s="2" t="s">
        <v>217</v>
      </c>
      <c r="C337" s="2" t="s">
        <v>218</v>
      </c>
      <c r="D337" s="2" t="s">
        <v>85</v>
      </c>
      <c r="E337" s="2" t="s">
        <v>79</v>
      </c>
      <c r="F337" s="291">
        <v>0</v>
      </c>
      <c r="G337" s="291">
        <v>0</v>
      </c>
      <c r="H337" s="291">
        <v>0</v>
      </c>
      <c r="I337" s="291">
        <v>0</v>
      </c>
      <c r="J337" s="291">
        <v>0</v>
      </c>
      <c r="K337" s="291">
        <v>0</v>
      </c>
      <c r="L337" s="291">
        <v>0</v>
      </c>
      <c r="M337" s="307">
        <f t="shared" si="5"/>
        <v>0</v>
      </c>
    </row>
    <row r="338" spans="1:13" ht="13.15">
      <c r="A338" s="2" t="s">
        <v>112</v>
      </c>
      <c r="B338" s="2" t="s">
        <v>219</v>
      </c>
      <c r="C338" s="2" t="s">
        <v>220</v>
      </c>
      <c r="D338" s="2" t="s">
        <v>85</v>
      </c>
      <c r="E338" s="2" t="s">
        <v>79</v>
      </c>
      <c r="F338" s="291">
        <v>0</v>
      </c>
      <c r="G338" s="291">
        <v>0</v>
      </c>
      <c r="H338" s="291">
        <v>0</v>
      </c>
      <c r="I338" s="291">
        <v>0</v>
      </c>
      <c r="J338" s="291">
        <v>0</v>
      </c>
      <c r="K338" s="291">
        <v>0</v>
      </c>
      <c r="L338" s="291">
        <v>0</v>
      </c>
      <c r="M338" s="307">
        <f t="shared" si="5"/>
        <v>0</v>
      </c>
    </row>
    <row r="339" spans="1:13" ht="13.15">
      <c r="A339" s="2" t="s">
        <v>112</v>
      </c>
      <c r="B339" s="2" t="s">
        <v>221</v>
      </c>
      <c r="C339" s="2" t="s">
        <v>222</v>
      </c>
      <c r="D339" s="2" t="s">
        <v>85</v>
      </c>
      <c r="E339" s="2" t="s">
        <v>79</v>
      </c>
      <c r="F339" s="291">
        <v>0</v>
      </c>
      <c r="G339" s="291">
        <v>0</v>
      </c>
      <c r="H339" s="291">
        <v>0</v>
      </c>
      <c r="I339" s="291">
        <v>0</v>
      </c>
      <c r="J339" s="291">
        <v>0</v>
      </c>
      <c r="K339" s="291">
        <v>0</v>
      </c>
      <c r="L339" s="291">
        <v>0</v>
      </c>
      <c r="M339" s="307">
        <f t="shared" si="5"/>
        <v>0</v>
      </c>
    </row>
    <row r="340" spans="1:13" ht="13.15">
      <c r="A340" s="2" t="s">
        <v>112</v>
      </c>
      <c r="B340" s="2" t="s">
        <v>223</v>
      </c>
      <c r="C340" s="2" t="s">
        <v>224</v>
      </c>
      <c r="D340" s="2" t="s">
        <v>85</v>
      </c>
      <c r="E340" s="2" t="s">
        <v>79</v>
      </c>
      <c r="F340" s="291">
        <v>0</v>
      </c>
      <c r="G340" s="291">
        <v>0</v>
      </c>
      <c r="H340" s="291">
        <v>0</v>
      </c>
      <c r="I340" s="291">
        <v>0</v>
      </c>
      <c r="J340" s="291">
        <v>0</v>
      </c>
      <c r="K340" s="291">
        <v>52.773101800207016</v>
      </c>
      <c r="L340" s="291">
        <v>123.83850174787544</v>
      </c>
      <c r="M340" s="307">
        <f t="shared" si="5"/>
        <v>176.61160354808246</v>
      </c>
    </row>
    <row r="341" spans="1:13" ht="13.15">
      <c r="A341" s="2" t="s">
        <v>112</v>
      </c>
      <c r="B341" s="2" t="s">
        <v>225</v>
      </c>
      <c r="C341" s="2" t="s">
        <v>226</v>
      </c>
      <c r="D341" s="2" t="s">
        <v>85</v>
      </c>
      <c r="E341" s="2" t="s">
        <v>79</v>
      </c>
      <c r="F341" s="291">
        <v>0</v>
      </c>
      <c r="G341" s="291">
        <v>0</v>
      </c>
      <c r="H341" s="291">
        <v>1.3950586649158672</v>
      </c>
      <c r="I341" s="291">
        <v>1.239352330057643</v>
      </c>
      <c r="J341" s="291">
        <v>2.5100493962339838</v>
      </c>
      <c r="K341" s="291">
        <v>2.1343442539968525</v>
      </c>
      <c r="L341" s="291">
        <v>2.244959350490098</v>
      </c>
      <c r="M341" s="307">
        <f t="shared" si="5"/>
        <v>9.5237639956944449</v>
      </c>
    </row>
    <row r="342" spans="1:13" ht="13.15">
      <c r="A342" s="2" t="s">
        <v>112</v>
      </c>
      <c r="B342" s="2" t="s">
        <v>227</v>
      </c>
      <c r="C342" s="2" t="s">
        <v>228</v>
      </c>
      <c r="D342" s="2" t="s">
        <v>85</v>
      </c>
      <c r="E342" s="2" t="s">
        <v>79</v>
      </c>
      <c r="F342" s="291">
        <v>0</v>
      </c>
      <c r="G342" s="291">
        <v>0</v>
      </c>
      <c r="H342" s="291">
        <v>0</v>
      </c>
      <c r="I342" s="291">
        <v>0</v>
      </c>
      <c r="J342" s="291">
        <v>0</v>
      </c>
      <c r="K342" s="291">
        <v>0</v>
      </c>
      <c r="L342" s="291">
        <v>0</v>
      </c>
      <c r="M342" s="307">
        <f t="shared" si="5"/>
        <v>0</v>
      </c>
    </row>
    <row r="343" spans="1:13" ht="13.15">
      <c r="A343" s="2" t="s">
        <v>112</v>
      </c>
      <c r="B343" s="2" t="s">
        <v>229</v>
      </c>
      <c r="C343" s="2" t="s">
        <v>230</v>
      </c>
      <c r="D343" s="2" t="s">
        <v>85</v>
      </c>
      <c r="E343" s="2" t="s">
        <v>79</v>
      </c>
      <c r="F343" s="291">
        <v>0</v>
      </c>
      <c r="G343" s="291">
        <v>0</v>
      </c>
      <c r="H343" s="291">
        <v>1.2545545217336624</v>
      </c>
      <c r="I343" s="291">
        <v>0.9707283873147462</v>
      </c>
      <c r="J343" s="291">
        <v>4.8793939302004272</v>
      </c>
      <c r="K343" s="291">
        <v>8.1594548379764458</v>
      </c>
      <c r="L343" s="291">
        <v>15.938988627811471</v>
      </c>
      <c r="M343" s="307">
        <f t="shared" si="5"/>
        <v>31.203120305036752</v>
      </c>
    </row>
    <row r="344" spans="1:13" ht="13.15">
      <c r="A344" s="2" t="s">
        <v>112</v>
      </c>
      <c r="B344" s="2" t="s">
        <v>231</v>
      </c>
      <c r="C344" s="2" t="s">
        <v>232</v>
      </c>
      <c r="D344" s="2" t="s">
        <v>85</v>
      </c>
      <c r="E344" s="2" t="s">
        <v>79</v>
      </c>
      <c r="F344" s="291">
        <v>0</v>
      </c>
      <c r="G344" s="291">
        <v>0</v>
      </c>
      <c r="H344" s="291">
        <v>0</v>
      </c>
      <c r="I344" s="291">
        <v>0</v>
      </c>
      <c r="J344" s="291">
        <v>0</v>
      </c>
      <c r="K344" s="291">
        <v>0</v>
      </c>
      <c r="L344" s="291">
        <v>0</v>
      </c>
      <c r="M344" s="307">
        <f t="shared" si="5"/>
        <v>0</v>
      </c>
    </row>
    <row r="345" spans="1:13" ht="13.15">
      <c r="A345" s="2" t="s">
        <v>112</v>
      </c>
      <c r="B345" s="2" t="s">
        <v>233</v>
      </c>
      <c r="C345" s="2" t="s">
        <v>234</v>
      </c>
      <c r="D345" s="2" t="s">
        <v>85</v>
      </c>
      <c r="E345" s="2" t="s">
        <v>79</v>
      </c>
      <c r="F345" s="291">
        <v>0</v>
      </c>
      <c r="G345" s="291">
        <v>0</v>
      </c>
      <c r="H345" s="291">
        <v>15.597010820988263</v>
      </c>
      <c r="I345" s="291">
        <v>13.071021972014631</v>
      </c>
      <c r="J345" s="291">
        <v>12.344979991328239</v>
      </c>
      <c r="K345" s="291">
        <v>13.573947626843417</v>
      </c>
      <c r="L345" s="291">
        <v>12.664165240121337</v>
      </c>
      <c r="M345" s="307">
        <f t="shared" si="5"/>
        <v>67.251125651295879</v>
      </c>
    </row>
    <row r="346" spans="1:13" ht="13.15">
      <c r="A346" s="2" t="s">
        <v>112</v>
      </c>
      <c r="B346" s="2" t="s">
        <v>235</v>
      </c>
      <c r="C346" s="2" t="s">
        <v>236</v>
      </c>
      <c r="D346" s="2" t="s">
        <v>85</v>
      </c>
      <c r="E346" s="2" t="s">
        <v>79</v>
      </c>
      <c r="F346" s="291">
        <v>0</v>
      </c>
      <c r="G346" s="291">
        <v>0</v>
      </c>
      <c r="H346" s="291">
        <v>0</v>
      </c>
      <c r="I346" s="291">
        <v>0</v>
      </c>
      <c r="J346" s="291">
        <v>0</v>
      </c>
      <c r="K346" s="291">
        <v>0</v>
      </c>
      <c r="L346" s="291">
        <v>0</v>
      </c>
      <c r="M346" s="307">
        <f t="shared" si="5"/>
        <v>0</v>
      </c>
    </row>
    <row r="347" spans="1:13" ht="13.15">
      <c r="A347" s="2" t="s">
        <v>112</v>
      </c>
      <c r="B347" s="2" t="s">
        <v>237</v>
      </c>
      <c r="C347" s="2" t="s">
        <v>238</v>
      </c>
      <c r="D347" s="2" t="s">
        <v>85</v>
      </c>
      <c r="E347" s="2" t="s">
        <v>79</v>
      </c>
      <c r="F347" s="291">
        <v>0</v>
      </c>
      <c r="G347" s="291">
        <v>0</v>
      </c>
      <c r="H347" s="291">
        <v>138.7729692108461</v>
      </c>
      <c r="I347" s="291">
        <v>183.65908109845267</v>
      </c>
      <c r="J347" s="291">
        <v>137.8437893992207</v>
      </c>
      <c r="K347" s="291">
        <v>128.13030671253378</v>
      </c>
      <c r="L347" s="291">
        <v>161.59385357894678</v>
      </c>
      <c r="M347" s="307">
        <f t="shared" si="5"/>
        <v>750</v>
      </c>
    </row>
    <row r="348" spans="1:13" ht="13.15">
      <c r="A348" s="2" t="s">
        <v>112</v>
      </c>
      <c r="B348" s="2" t="s">
        <v>239</v>
      </c>
      <c r="C348" s="2" t="s">
        <v>240</v>
      </c>
      <c r="D348" s="2" t="s">
        <v>85</v>
      </c>
      <c r="E348" s="2" t="s">
        <v>79</v>
      </c>
      <c r="F348" s="291">
        <v>0</v>
      </c>
      <c r="G348" s="291">
        <v>0</v>
      </c>
      <c r="H348" s="291">
        <v>18.579381616107774</v>
      </c>
      <c r="I348" s="291">
        <v>18.047917896036633</v>
      </c>
      <c r="J348" s="291">
        <v>44.221275114469108</v>
      </c>
      <c r="K348" s="291">
        <v>71.938048264316478</v>
      </c>
      <c r="L348" s="291">
        <v>137.70499307833899</v>
      </c>
      <c r="M348" s="307">
        <f t="shared" si="5"/>
        <v>290.49161596926899</v>
      </c>
    </row>
    <row r="349" spans="1:13" ht="13.15">
      <c r="A349" s="2" t="s">
        <v>113</v>
      </c>
      <c r="B349" s="2" t="s">
        <v>155</v>
      </c>
      <c r="C349" s="2" t="s">
        <v>156</v>
      </c>
      <c r="D349" s="2" t="s">
        <v>85</v>
      </c>
      <c r="E349" s="2" t="s">
        <v>79</v>
      </c>
      <c r="F349" s="291">
        <v>15.507589650428324</v>
      </c>
      <c r="G349" s="291">
        <v>238.94077291792922</v>
      </c>
      <c r="H349" s="291">
        <v>769.05882592171474</v>
      </c>
      <c r="I349" s="291">
        <v>991.59684498805677</v>
      </c>
      <c r="J349" s="291">
        <v>1216.1998861512782</v>
      </c>
      <c r="K349" s="291">
        <v>998.29653248926979</v>
      </c>
      <c r="L349" s="291">
        <v>444.5583754809183</v>
      </c>
      <c r="M349" s="307">
        <f t="shared" si="5"/>
        <v>4674.1588275995955</v>
      </c>
    </row>
    <row r="350" spans="1:13" ht="13.15">
      <c r="A350" s="2" t="s">
        <v>113</v>
      </c>
      <c r="B350" s="2" t="s">
        <v>157</v>
      </c>
      <c r="C350" s="2" t="s">
        <v>158</v>
      </c>
      <c r="D350" s="2" t="s">
        <v>85</v>
      </c>
      <c r="E350" s="2" t="s">
        <v>79</v>
      </c>
      <c r="F350" s="291">
        <v>0</v>
      </c>
      <c r="G350" s="291">
        <v>0.48001677494244055</v>
      </c>
      <c r="H350" s="291">
        <v>0.61215008926485193</v>
      </c>
      <c r="I350" s="291">
        <v>0.62274500752225836</v>
      </c>
      <c r="J350" s="291">
        <v>0.29551051859487754</v>
      </c>
      <c r="K350" s="291">
        <v>0.2979001370597385</v>
      </c>
      <c r="L350" s="291">
        <v>0.29507051891807934</v>
      </c>
      <c r="M350" s="307">
        <f t="shared" si="5"/>
        <v>2.6033930463022461</v>
      </c>
    </row>
    <row r="351" spans="1:13" ht="13.15">
      <c r="A351" s="2" t="s">
        <v>113</v>
      </c>
      <c r="B351" s="2" t="s">
        <v>159</v>
      </c>
      <c r="C351" s="2" t="s">
        <v>160</v>
      </c>
      <c r="D351" s="2" t="s">
        <v>85</v>
      </c>
      <c r="E351" s="2" t="s">
        <v>79</v>
      </c>
      <c r="F351" s="291">
        <v>0</v>
      </c>
      <c r="G351" s="291">
        <v>7.7703085232734113</v>
      </c>
      <c r="H351" s="291">
        <v>7.7107507313626664</v>
      </c>
      <c r="I351" s="291">
        <v>8.0999205201183688</v>
      </c>
      <c r="J351" s="291">
        <v>1.2887879570593763</v>
      </c>
      <c r="K351" s="291">
        <v>1.2992096216218538</v>
      </c>
      <c r="L351" s="291">
        <v>1.2868690193265881</v>
      </c>
      <c r="M351" s="307">
        <f t="shared" si="5"/>
        <v>27.455846372762267</v>
      </c>
    </row>
    <row r="352" spans="1:13" ht="13.15">
      <c r="A352" s="2" t="s">
        <v>113</v>
      </c>
      <c r="B352" s="2" t="s">
        <v>161</v>
      </c>
      <c r="C352" s="2" t="s">
        <v>162</v>
      </c>
      <c r="D352" s="2" t="s">
        <v>85</v>
      </c>
      <c r="E352" s="2" t="s">
        <v>79</v>
      </c>
      <c r="F352" s="291">
        <v>0</v>
      </c>
      <c r="G352" s="291">
        <v>0</v>
      </c>
      <c r="H352" s="291">
        <v>15.837147867378086</v>
      </c>
      <c r="I352" s="291">
        <v>15.753431314918558</v>
      </c>
      <c r="J352" s="291">
        <v>15.656767171829669</v>
      </c>
      <c r="K352" s="291">
        <v>15.541140017819071</v>
      </c>
      <c r="L352" s="291">
        <v>19.687459327338978</v>
      </c>
      <c r="M352" s="307">
        <f t="shared" si="5"/>
        <v>82.475945699284352</v>
      </c>
    </row>
    <row r="353" spans="1:13" ht="13.15">
      <c r="A353" s="2" t="s">
        <v>113</v>
      </c>
      <c r="B353" s="2" t="s">
        <v>163</v>
      </c>
      <c r="C353" s="2" t="s">
        <v>164</v>
      </c>
      <c r="D353" s="2" t="s">
        <v>85</v>
      </c>
      <c r="E353" s="2" t="s">
        <v>79</v>
      </c>
      <c r="F353" s="291">
        <v>0</v>
      </c>
      <c r="G353" s="291">
        <v>0</v>
      </c>
      <c r="H353" s="291">
        <v>3.7252279597555251</v>
      </c>
      <c r="I353" s="291">
        <v>3.7631549938864479</v>
      </c>
      <c r="J353" s="291">
        <v>3.6984164786988614</v>
      </c>
      <c r="K353" s="291">
        <v>16.972236612682277</v>
      </c>
      <c r="L353" s="291">
        <v>26.191959176200012</v>
      </c>
      <c r="M353" s="307">
        <f t="shared" si="5"/>
        <v>54.350995221223123</v>
      </c>
    </row>
    <row r="354" spans="1:13" ht="13.15">
      <c r="A354" s="2" t="s">
        <v>113</v>
      </c>
      <c r="B354" s="2" t="s">
        <v>165</v>
      </c>
      <c r="C354" s="2" t="s">
        <v>166</v>
      </c>
      <c r="D354" s="2" t="s">
        <v>85</v>
      </c>
      <c r="E354" s="2" t="s">
        <v>79</v>
      </c>
      <c r="F354" s="291">
        <v>0</v>
      </c>
      <c r="G354" s="291">
        <v>0</v>
      </c>
      <c r="H354" s="291">
        <v>0</v>
      </c>
      <c r="I354" s="291">
        <v>0</v>
      </c>
      <c r="J354" s="291">
        <v>0</v>
      </c>
      <c r="K354" s="291">
        <v>0</v>
      </c>
      <c r="L354" s="291">
        <v>0</v>
      </c>
      <c r="M354" s="307">
        <f t="shared" si="5"/>
        <v>0</v>
      </c>
    </row>
    <row r="355" spans="1:13" ht="13.15">
      <c r="A355" s="2" t="s">
        <v>113</v>
      </c>
      <c r="B355" s="2" t="s">
        <v>167</v>
      </c>
      <c r="C355" s="2" t="s">
        <v>168</v>
      </c>
      <c r="D355" s="2" t="s">
        <v>85</v>
      </c>
      <c r="E355" s="2" t="s">
        <v>79</v>
      </c>
      <c r="F355" s="291">
        <v>11.922797811771995</v>
      </c>
      <c r="G355" s="291">
        <v>134.98755132507983</v>
      </c>
      <c r="H355" s="291">
        <v>322.82456956560725</v>
      </c>
      <c r="I355" s="291">
        <v>486.06072462358691</v>
      </c>
      <c r="J355" s="291">
        <v>615.16982301962503</v>
      </c>
      <c r="K355" s="291">
        <v>485.6720136388671</v>
      </c>
      <c r="L355" s="291">
        <v>165.84195044835181</v>
      </c>
      <c r="M355" s="307">
        <f t="shared" si="5"/>
        <v>2222.4794304328898</v>
      </c>
    </row>
    <row r="356" spans="1:13" ht="13.15">
      <c r="A356" s="2" t="s">
        <v>113</v>
      </c>
      <c r="B356" s="2" t="s">
        <v>169</v>
      </c>
      <c r="C356" s="2" t="s">
        <v>170</v>
      </c>
      <c r="D356" s="2" t="s">
        <v>85</v>
      </c>
      <c r="E356" s="2" t="s">
        <v>79</v>
      </c>
      <c r="F356" s="291">
        <v>0</v>
      </c>
      <c r="G356" s="291">
        <v>0</v>
      </c>
      <c r="H356" s="291">
        <v>0</v>
      </c>
      <c r="I356" s="291">
        <v>0</v>
      </c>
      <c r="J356" s="291">
        <v>0</v>
      </c>
      <c r="K356" s="291">
        <v>0</v>
      </c>
      <c r="L356" s="291">
        <v>0</v>
      </c>
      <c r="M356" s="307">
        <f t="shared" si="5"/>
        <v>0</v>
      </c>
    </row>
    <row r="357" spans="1:13" ht="13.15">
      <c r="A357" s="2" t="s">
        <v>113</v>
      </c>
      <c r="B357" s="2" t="s">
        <v>171</v>
      </c>
      <c r="C357" s="2" t="s">
        <v>172</v>
      </c>
      <c r="D357" s="2" t="s">
        <v>85</v>
      </c>
      <c r="E357" s="2" t="s">
        <v>79</v>
      </c>
      <c r="F357" s="291">
        <v>0.31084484288372688</v>
      </c>
      <c r="G357" s="291">
        <v>2.0097991808560458</v>
      </c>
      <c r="H357" s="291">
        <v>3.2114208112018265</v>
      </c>
      <c r="I357" s="291">
        <v>2.6420139343717906</v>
      </c>
      <c r="J357" s="291">
        <v>3.3293026190301528E-2</v>
      </c>
      <c r="K357" s="291">
        <v>5.4773205339856586E-2</v>
      </c>
      <c r="L357" s="291">
        <v>3.3431785408337918E-2</v>
      </c>
      <c r="M357" s="307">
        <f t="shared" si="5"/>
        <v>8.2955767862518854</v>
      </c>
    </row>
    <row r="358" spans="1:13" ht="13.15">
      <c r="A358" s="2" t="s">
        <v>113</v>
      </c>
      <c r="B358" s="2" t="s">
        <v>173</v>
      </c>
      <c r="C358" s="2" t="s">
        <v>174</v>
      </c>
      <c r="D358" s="2" t="s">
        <v>85</v>
      </c>
      <c r="E358" s="2" t="s">
        <v>79</v>
      </c>
      <c r="F358" s="291">
        <v>0</v>
      </c>
      <c r="G358" s="291">
        <v>0</v>
      </c>
      <c r="H358" s="291">
        <v>0</v>
      </c>
      <c r="I358" s="291">
        <v>0</v>
      </c>
      <c r="J358" s="291">
        <v>0</v>
      </c>
      <c r="K358" s="291">
        <v>0</v>
      </c>
      <c r="L358" s="291">
        <v>0</v>
      </c>
      <c r="M358" s="307">
        <f t="shared" si="5"/>
        <v>0</v>
      </c>
    </row>
    <row r="359" spans="1:13" ht="13.15">
      <c r="A359" s="2" t="s">
        <v>113</v>
      </c>
      <c r="B359" s="2" t="s">
        <v>175</v>
      </c>
      <c r="C359" s="2" t="s">
        <v>176</v>
      </c>
      <c r="D359" s="2" t="s">
        <v>85</v>
      </c>
      <c r="E359" s="2" t="s">
        <v>79</v>
      </c>
      <c r="F359" s="291">
        <v>0</v>
      </c>
      <c r="G359" s="291">
        <v>0.59479611384849806</v>
      </c>
      <c r="H359" s="291">
        <v>2.8023449282570367</v>
      </c>
      <c r="I359" s="291">
        <v>0</v>
      </c>
      <c r="J359" s="291">
        <v>0</v>
      </c>
      <c r="K359" s="291">
        <v>0</v>
      </c>
      <c r="L359" s="291">
        <v>0</v>
      </c>
      <c r="M359" s="307">
        <f t="shared" si="5"/>
        <v>3.3971410421055346</v>
      </c>
    </row>
    <row r="360" spans="1:13" ht="13.15">
      <c r="A360" s="2" t="s">
        <v>113</v>
      </c>
      <c r="B360" s="2" t="s">
        <v>177</v>
      </c>
      <c r="C360" s="2" t="s">
        <v>178</v>
      </c>
      <c r="D360" s="2" t="s">
        <v>85</v>
      </c>
      <c r="E360" s="2" t="s">
        <v>79</v>
      </c>
      <c r="F360" s="291">
        <v>2.8842861524352128</v>
      </c>
      <c r="G360" s="291">
        <v>15.339061281496942</v>
      </c>
      <c r="H360" s="291">
        <v>79.062302992325371</v>
      </c>
      <c r="I360" s="291">
        <v>84.675997974897513</v>
      </c>
      <c r="J360" s="291">
        <v>125.42891331872391</v>
      </c>
      <c r="K360" s="291">
        <v>138.70336401563608</v>
      </c>
      <c r="L360" s="291">
        <v>54.147337567695622</v>
      </c>
      <c r="M360" s="307">
        <f t="shared" si="5"/>
        <v>500.2412633032107</v>
      </c>
    </row>
    <row r="361" spans="1:13" ht="13.15">
      <c r="A361" s="2" t="s">
        <v>113</v>
      </c>
      <c r="B361" s="2" t="s">
        <v>179</v>
      </c>
      <c r="C361" s="2" t="s">
        <v>180</v>
      </c>
      <c r="D361" s="2" t="s">
        <v>85</v>
      </c>
      <c r="E361" s="2" t="s">
        <v>79</v>
      </c>
      <c r="F361" s="291">
        <v>0</v>
      </c>
      <c r="G361" s="291">
        <v>0</v>
      </c>
      <c r="H361" s="291">
        <v>0</v>
      </c>
      <c r="I361" s="291">
        <v>0</v>
      </c>
      <c r="J361" s="291">
        <v>0</v>
      </c>
      <c r="K361" s="291">
        <v>0</v>
      </c>
      <c r="L361" s="291">
        <v>0</v>
      </c>
      <c r="M361" s="307">
        <f t="shared" si="5"/>
        <v>0</v>
      </c>
    </row>
    <row r="362" spans="1:13" ht="13.15">
      <c r="A362" s="2" t="s">
        <v>113</v>
      </c>
      <c r="B362" s="2" t="s">
        <v>181</v>
      </c>
      <c r="C362" s="2" t="s">
        <v>182</v>
      </c>
      <c r="D362" s="2" t="s">
        <v>85</v>
      </c>
      <c r="E362" s="2" t="s">
        <v>79</v>
      </c>
      <c r="F362" s="291">
        <v>6.3490666762832826E-2</v>
      </c>
      <c r="G362" s="291">
        <v>65.201696869610316</v>
      </c>
      <c r="H362" s="291">
        <v>117.71032410939091</v>
      </c>
      <c r="I362" s="291">
        <v>223.18235743577338</v>
      </c>
      <c r="J362" s="291">
        <v>268.88527755919682</v>
      </c>
      <c r="K362" s="291">
        <v>190.02689050255199</v>
      </c>
      <c r="L362" s="291">
        <v>94.269041465632313</v>
      </c>
      <c r="M362" s="307">
        <f t="shared" si="5"/>
        <v>959.3390786089185</v>
      </c>
    </row>
    <row r="363" spans="1:13" ht="13.15">
      <c r="A363" s="2" t="s">
        <v>113</v>
      </c>
      <c r="B363" s="2" t="s">
        <v>183</v>
      </c>
      <c r="C363" s="2" t="s">
        <v>184</v>
      </c>
      <c r="D363" s="2" t="s">
        <v>85</v>
      </c>
      <c r="E363" s="2" t="s">
        <v>79</v>
      </c>
      <c r="F363" s="291">
        <v>0</v>
      </c>
      <c r="G363" s="291">
        <v>0</v>
      </c>
      <c r="H363" s="291">
        <v>0</v>
      </c>
      <c r="I363" s="291">
        <v>0</v>
      </c>
      <c r="J363" s="291">
        <v>0</v>
      </c>
      <c r="K363" s="291">
        <v>0</v>
      </c>
      <c r="L363" s="291">
        <v>0</v>
      </c>
      <c r="M363" s="307">
        <f t="shared" si="5"/>
        <v>0</v>
      </c>
    </row>
    <row r="364" spans="1:13" ht="13.15">
      <c r="A364" s="2" t="s">
        <v>113</v>
      </c>
      <c r="B364" s="2" t="s">
        <v>185</v>
      </c>
      <c r="C364" s="2" t="s">
        <v>186</v>
      </c>
      <c r="D364" s="2" t="s">
        <v>85</v>
      </c>
      <c r="E364" s="2" t="s">
        <v>79</v>
      </c>
      <c r="F364" s="291">
        <v>1.4208143974021089E-2</v>
      </c>
      <c r="G364" s="291">
        <v>0.326065177636787</v>
      </c>
      <c r="H364" s="291">
        <v>1.0912151360937035</v>
      </c>
      <c r="I364" s="291">
        <v>0.40383901004381173</v>
      </c>
      <c r="J364" s="291">
        <v>1.9809937913364404</v>
      </c>
      <c r="K364" s="291">
        <v>1.7433135302083289</v>
      </c>
      <c r="L364" s="291">
        <v>0.18576894418176579</v>
      </c>
      <c r="M364" s="307">
        <f t="shared" si="5"/>
        <v>5.7454037334748582</v>
      </c>
    </row>
    <row r="365" spans="1:13" ht="13.15">
      <c r="A365" s="2" t="s">
        <v>113</v>
      </c>
      <c r="B365" s="2" t="s">
        <v>187</v>
      </c>
      <c r="C365" s="2" t="s">
        <v>188</v>
      </c>
      <c r="D365" s="2" t="s">
        <v>85</v>
      </c>
      <c r="E365" s="2" t="s">
        <v>79</v>
      </c>
      <c r="F365" s="291">
        <v>0</v>
      </c>
      <c r="G365" s="291">
        <v>0</v>
      </c>
      <c r="H365" s="291">
        <v>0</v>
      </c>
      <c r="I365" s="291">
        <v>0</v>
      </c>
      <c r="J365" s="291">
        <v>0</v>
      </c>
      <c r="K365" s="291">
        <v>0</v>
      </c>
      <c r="L365" s="291">
        <v>0</v>
      </c>
      <c r="M365" s="307">
        <f t="shared" si="5"/>
        <v>0</v>
      </c>
    </row>
    <row r="366" spans="1:13" ht="13.15">
      <c r="A366" s="2" t="s">
        <v>113</v>
      </c>
      <c r="B366" s="2" t="s">
        <v>189</v>
      </c>
      <c r="C366" s="2" t="s">
        <v>190</v>
      </c>
      <c r="D366" s="2" t="s">
        <v>85</v>
      </c>
      <c r="E366" s="2" t="s">
        <v>79</v>
      </c>
      <c r="F366" s="291">
        <v>0</v>
      </c>
      <c r="G366" s="291">
        <v>0</v>
      </c>
      <c r="H366" s="291">
        <v>0</v>
      </c>
      <c r="I366" s="291">
        <v>0</v>
      </c>
      <c r="J366" s="291">
        <v>0</v>
      </c>
      <c r="K366" s="291">
        <v>0</v>
      </c>
      <c r="L366" s="291">
        <v>0</v>
      </c>
      <c r="M366" s="307">
        <f t="shared" si="5"/>
        <v>0</v>
      </c>
    </row>
    <row r="367" spans="1:13" ht="13.15">
      <c r="A367" s="2" t="s">
        <v>113</v>
      </c>
      <c r="B367" s="2" t="s">
        <v>191</v>
      </c>
      <c r="C367" s="2" t="s">
        <v>192</v>
      </c>
      <c r="D367" s="2" t="s">
        <v>85</v>
      </c>
      <c r="E367" s="2" t="s">
        <v>79</v>
      </c>
      <c r="F367" s="291">
        <v>1.061043330508888E-2</v>
      </c>
      <c r="G367" s="291">
        <v>1.3594882099615024</v>
      </c>
      <c r="H367" s="291">
        <v>3.1527576073003227</v>
      </c>
      <c r="I367" s="291">
        <v>7.9379410095641649</v>
      </c>
      <c r="J367" s="291">
        <v>22.876370770515404</v>
      </c>
      <c r="K367" s="291">
        <v>14.068068764843595</v>
      </c>
      <c r="L367" s="291">
        <v>6.0417713542919724</v>
      </c>
      <c r="M367" s="307">
        <f t="shared" si="5"/>
        <v>55.44700814978205</v>
      </c>
    </row>
    <row r="368" spans="1:13" ht="13.15">
      <c r="A368" s="2" t="s">
        <v>113</v>
      </c>
      <c r="B368" s="2" t="s">
        <v>193</v>
      </c>
      <c r="C368" s="2" t="s">
        <v>194</v>
      </c>
      <c r="D368" s="2" t="s">
        <v>85</v>
      </c>
      <c r="E368" s="2" t="s">
        <v>79</v>
      </c>
      <c r="F368" s="291">
        <v>0.17432990804609116</v>
      </c>
      <c r="G368" s="291">
        <v>1.2645885840832614</v>
      </c>
      <c r="H368" s="291">
        <v>7.2148127201532706</v>
      </c>
      <c r="I368" s="291">
        <v>7.384687721598012</v>
      </c>
      <c r="J368" s="291">
        <v>21.104887421754579</v>
      </c>
      <c r="K368" s="291">
        <v>4.6485843425993432</v>
      </c>
      <c r="L368" s="291">
        <v>0.95470574893775872</v>
      </c>
      <c r="M368" s="307">
        <f t="shared" si="5"/>
        <v>42.746596447172323</v>
      </c>
    </row>
    <row r="369" spans="1:13" ht="13.15">
      <c r="A369" s="2" t="s">
        <v>113</v>
      </c>
      <c r="B369" s="2" t="s">
        <v>195</v>
      </c>
      <c r="C369" s="2" t="s">
        <v>196</v>
      </c>
      <c r="D369" s="2" t="s">
        <v>85</v>
      </c>
      <c r="E369" s="2" t="s">
        <v>79</v>
      </c>
      <c r="F369" s="291">
        <v>0</v>
      </c>
      <c r="G369" s="291">
        <v>0</v>
      </c>
      <c r="H369" s="291">
        <v>0</v>
      </c>
      <c r="I369" s="291">
        <v>0</v>
      </c>
      <c r="J369" s="291">
        <v>0</v>
      </c>
      <c r="K369" s="291">
        <v>0</v>
      </c>
      <c r="L369" s="291">
        <v>0</v>
      </c>
      <c r="M369" s="307">
        <f t="shared" si="5"/>
        <v>0</v>
      </c>
    </row>
    <row r="370" spans="1:13" ht="13.15">
      <c r="A370" s="2" t="s">
        <v>113</v>
      </c>
      <c r="B370" s="2" t="s">
        <v>197</v>
      </c>
      <c r="C370" s="2" t="s">
        <v>198</v>
      </c>
      <c r="D370" s="2" t="s">
        <v>85</v>
      </c>
      <c r="E370" s="2" t="s">
        <v>79</v>
      </c>
      <c r="F370" s="291">
        <v>0</v>
      </c>
      <c r="G370" s="291">
        <v>0</v>
      </c>
      <c r="H370" s="291">
        <v>0</v>
      </c>
      <c r="I370" s="291">
        <v>0</v>
      </c>
      <c r="J370" s="291">
        <v>0</v>
      </c>
      <c r="K370" s="291">
        <v>0</v>
      </c>
      <c r="L370" s="291">
        <v>0</v>
      </c>
      <c r="M370" s="307">
        <f t="shared" si="5"/>
        <v>0</v>
      </c>
    </row>
    <row r="371" spans="1:13" ht="13.15">
      <c r="A371" s="2" t="s">
        <v>113</v>
      </c>
      <c r="B371" s="2" t="s">
        <v>199</v>
      </c>
      <c r="C371" s="2" t="s">
        <v>200</v>
      </c>
      <c r="D371" s="2" t="s">
        <v>85</v>
      </c>
      <c r="E371" s="2" t="s">
        <v>79</v>
      </c>
      <c r="F371" s="291">
        <v>7.1218639388033328E-2</v>
      </c>
      <c r="G371" s="291">
        <v>8.3768732712075415</v>
      </c>
      <c r="H371" s="291">
        <v>30.966590127723705</v>
      </c>
      <c r="I371" s="291">
        <v>27.038591478746877</v>
      </c>
      <c r="J371" s="291">
        <v>0</v>
      </c>
      <c r="K371" s="291">
        <v>0</v>
      </c>
      <c r="L371" s="291">
        <v>0</v>
      </c>
      <c r="M371" s="307">
        <f t="shared" si="5"/>
        <v>66.453273517066165</v>
      </c>
    </row>
    <row r="372" spans="1:13" ht="13.15">
      <c r="A372" s="2" t="s">
        <v>113</v>
      </c>
      <c r="B372" s="2" t="s">
        <v>201</v>
      </c>
      <c r="C372" s="2" t="s">
        <v>202</v>
      </c>
      <c r="D372" s="2" t="s">
        <v>85</v>
      </c>
      <c r="E372" s="2" t="s">
        <v>79</v>
      </c>
      <c r="F372" s="291">
        <v>0</v>
      </c>
      <c r="G372" s="291">
        <v>0</v>
      </c>
      <c r="H372" s="291">
        <v>0</v>
      </c>
      <c r="I372" s="291">
        <v>0</v>
      </c>
      <c r="J372" s="291">
        <v>0</v>
      </c>
      <c r="K372" s="291">
        <v>0</v>
      </c>
      <c r="L372" s="291">
        <v>0</v>
      </c>
      <c r="M372" s="307">
        <f t="shared" si="5"/>
        <v>0</v>
      </c>
    </row>
    <row r="373" spans="1:13" ht="13.15">
      <c r="A373" s="2" t="s">
        <v>113</v>
      </c>
      <c r="B373" s="2" t="s">
        <v>203</v>
      </c>
      <c r="C373" s="2" t="s">
        <v>204</v>
      </c>
      <c r="D373" s="2" t="s">
        <v>85</v>
      </c>
      <c r="E373" s="2" t="s">
        <v>79</v>
      </c>
      <c r="F373" s="291">
        <v>0</v>
      </c>
      <c r="G373" s="291">
        <v>0</v>
      </c>
      <c r="H373" s="291">
        <v>0</v>
      </c>
      <c r="I373" s="291">
        <v>5.7882514287022679E-2</v>
      </c>
      <c r="J373" s="291">
        <v>4.0035358436121173</v>
      </c>
      <c r="K373" s="291">
        <v>2.8339040462984237</v>
      </c>
      <c r="L373" s="291">
        <v>0.22556972303943224</v>
      </c>
      <c r="M373" s="307">
        <f t="shared" si="5"/>
        <v>7.1208921272369965</v>
      </c>
    </row>
    <row r="374" spans="1:13" ht="13.15">
      <c r="A374" s="2" t="s">
        <v>113</v>
      </c>
      <c r="B374" s="2" t="s">
        <v>205</v>
      </c>
      <c r="C374" s="2" t="s">
        <v>206</v>
      </c>
      <c r="D374" s="2" t="s">
        <v>85</v>
      </c>
      <c r="E374" s="2" t="s">
        <v>79</v>
      </c>
      <c r="F374" s="291">
        <v>0</v>
      </c>
      <c r="G374" s="291">
        <v>0</v>
      </c>
      <c r="H374" s="291">
        <v>0</v>
      </c>
      <c r="I374" s="291">
        <v>0</v>
      </c>
      <c r="J374" s="291">
        <v>0</v>
      </c>
      <c r="K374" s="291">
        <v>0</v>
      </c>
      <c r="L374" s="291">
        <v>0</v>
      </c>
      <c r="M374" s="307">
        <f t="shared" si="5"/>
        <v>0</v>
      </c>
    </row>
    <row r="375" spans="1:13" ht="13.15">
      <c r="A375" s="2" t="s">
        <v>113</v>
      </c>
      <c r="B375" s="2" t="s">
        <v>207</v>
      </c>
      <c r="C375" s="2" t="s">
        <v>208</v>
      </c>
      <c r="D375" s="2" t="s">
        <v>85</v>
      </c>
      <c r="E375" s="2" t="s">
        <v>79</v>
      </c>
      <c r="F375" s="291">
        <v>0</v>
      </c>
      <c r="G375" s="291">
        <v>0</v>
      </c>
      <c r="H375" s="291">
        <v>0</v>
      </c>
      <c r="I375" s="291">
        <v>0</v>
      </c>
      <c r="J375" s="291">
        <v>0</v>
      </c>
      <c r="K375" s="291">
        <v>0</v>
      </c>
      <c r="L375" s="291">
        <v>0</v>
      </c>
      <c r="M375" s="307">
        <f t="shared" si="5"/>
        <v>0</v>
      </c>
    </row>
    <row r="376" spans="1:13" ht="13.15">
      <c r="A376" s="2" t="s">
        <v>113</v>
      </c>
      <c r="B376" s="2" t="s">
        <v>209</v>
      </c>
      <c r="C376" s="2" t="s">
        <v>210</v>
      </c>
      <c r="D376" s="2" t="s">
        <v>85</v>
      </c>
      <c r="E376" s="2" t="s">
        <v>79</v>
      </c>
      <c r="F376" s="291">
        <v>0</v>
      </c>
      <c r="G376" s="291">
        <v>0</v>
      </c>
      <c r="H376" s="291">
        <v>0</v>
      </c>
      <c r="I376" s="291">
        <v>0</v>
      </c>
      <c r="J376" s="291">
        <v>0</v>
      </c>
      <c r="K376" s="291">
        <v>0</v>
      </c>
      <c r="L376" s="291">
        <v>0</v>
      </c>
      <c r="M376" s="307">
        <f t="shared" si="5"/>
        <v>0</v>
      </c>
    </row>
    <row r="377" spans="1:13" ht="13.15">
      <c r="A377" s="2" t="s">
        <v>113</v>
      </c>
      <c r="B377" s="2" t="s">
        <v>211</v>
      </c>
      <c r="C377" s="2" t="s">
        <v>212</v>
      </c>
      <c r="D377" s="2" t="s">
        <v>85</v>
      </c>
      <c r="E377" s="2" t="s">
        <v>79</v>
      </c>
      <c r="F377" s="291">
        <v>0</v>
      </c>
      <c r="G377" s="291">
        <v>0</v>
      </c>
      <c r="H377" s="291">
        <v>0</v>
      </c>
      <c r="I377" s="291">
        <v>0</v>
      </c>
      <c r="J377" s="291">
        <v>0</v>
      </c>
      <c r="K377" s="291">
        <v>0</v>
      </c>
      <c r="L377" s="291">
        <v>0</v>
      </c>
      <c r="M377" s="307">
        <f t="shared" si="5"/>
        <v>0</v>
      </c>
    </row>
    <row r="378" spans="1:13" ht="13.15">
      <c r="A378" s="2" t="s">
        <v>113</v>
      </c>
      <c r="B378" s="2" t="s">
        <v>213</v>
      </c>
      <c r="C378" s="2" t="s">
        <v>214</v>
      </c>
      <c r="D378" s="2" t="s">
        <v>85</v>
      </c>
      <c r="E378" s="2" t="s">
        <v>79</v>
      </c>
      <c r="F378" s="291">
        <v>0</v>
      </c>
      <c r="G378" s="291">
        <v>0</v>
      </c>
      <c r="H378" s="291">
        <v>0</v>
      </c>
      <c r="I378" s="291">
        <v>19.472899731375879</v>
      </c>
      <c r="J378" s="291">
        <v>19.19619252601435</v>
      </c>
      <c r="K378" s="291">
        <v>19.915358872651051</v>
      </c>
      <c r="L378" s="291">
        <v>0</v>
      </c>
      <c r="M378" s="307">
        <f t="shared" si="5"/>
        <v>58.584451130041288</v>
      </c>
    </row>
    <row r="379" spans="1:13" ht="13.15">
      <c r="A379" s="2" t="s">
        <v>113</v>
      </c>
      <c r="B379" s="2" t="s">
        <v>215</v>
      </c>
      <c r="C379" s="2" t="s">
        <v>216</v>
      </c>
      <c r="D379" s="2" t="s">
        <v>85</v>
      </c>
      <c r="E379" s="2" t="s">
        <v>79</v>
      </c>
      <c r="F379" s="291">
        <v>0</v>
      </c>
      <c r="G379" s="291">
        <v>0</v>
      </c>
      <c r="H379" s="291">
        <v>0</v>
      </c>
      <c r="I379" s="291">
        <v>0</v>
      </c>
      <c r="J379" s="291">
        <v>0</v>
      </c>
      <c r="K379" s="291">
        <v>0</v>
      </c>
      <c r="L379" s="291">
        <v>0</v>
      </c>
      <c r="M379" s="307">
        <f t="shared" si="5"/>
        <v>0</v>
      </c>
    </row>
    <row r="380" spans="1:13" ht="13.15">
      <c r="A380" s="2" t="s">
        <v>113</v>
      </c>
      <c r="B380" s="2" t="s">
        <v>217</v>
      </c>
      <c r="C380" s="2" t="s">
        <v>218</v>
      </c>
      <c r="D380" s="2" t="s">
        <v>85</v>
      </c>
      <c r="E380" s="2" t="s">
        <v>79</v>
      </c>
      <c r="F380" s="291">
        <v>0</v>
      </c>
      <c r="G380" s="291">
        <v>0</v>
      </c>
      <c r="H380" s="291">
        <v>8.7404545049809617</v>
      </c>
      <c r="I380" s="291">
        <v>8.8284020483689805</v>
      </c>
      <c r="J380" s="291">
        <v>8.8747512756811169</v>
      </c>
      <c r="K380" s="291">
        <v>3.0546473392776283</v>
      </c>
      <c r="L380" s="291">
        <v>3.0239174086673497</v>
      </c>
      <c r="M380" s="307">
        <f t="shared" si="5"/>
        <v>32.52217257697604</v>
      </c>
    </row>
    <row r="381" spans="1:13" ht="13.15">
      <c r="A381" s="2" t="s">
        <v>113</v>
      </c>
      <c r="B381" s="2" t="s">
        <v>219</v>
      </c>
      <c r="C381" s="2" t="s">
        <v>220</v>
      </c>
      <c r="D381" s="2" t="s">
        <v>85</v>
      </c>
      <c r="E381" s="2" t="s">
        <v>79</v>
      </c>
      <c r="F381" s="291">
        <v>0</v>
      </c>
      <c r="G381" s="291">
        <v>0</v>
      </c>
      <c r="H381" s="291">
        <v>2.5482999636384713</v>
      </c>
      <c r="I381" s="291">
        <v>3.4176054525689188</v>
      </c>
      <c r="J381" s="291">
        <v>3.3690417529220213</v>
      </c>
      <c r="K381" s="291">
        <v>3.3924578227668429</v>
      </c>
      <c r="L381" s="291">
        <v>3.3583294989661061</v>
      </c>
      <c r="M381" s="307">
        <f t="shared" si="5"/>
        <v>16.085734490862361</v>
      </c>
    </row>
    <row r="382" spans="1:13" ht="13.15">
      <c r="A382" s="2" t="s">
        <v>113</v>
      </c>
      <c r="B382" s="2" t="s">
        <v>221</v>
      </c>
      <c r="C382" s="2" t="s">
        <v>222</v>
      </c>
      <c r="D382" s="2" t="s">
        <v>85</v>
      </c>
      <c r="E382" s="2" t="s">
        <v>79</v>
      </c>
      <c r="F382" s="291">
        <v>0</v>
      </c>
      <c r="G382" s="291">
        <v>0</v>
      </c>
      <c r="H382" s="291">
        <v>0</v>
      </c>
      <c r="I382" s="291">
        <v>0</v>
      </c>
      <c r="J382" s="291">
        <v>0</v>
      </c>
      <c r="K382" s="291">
        <v>0</v>
      </c>
      <c r="L382" s="291">
        <v>0</v>
      </c>
      <c r="M382" s="307">
        <f t="shared" si="5"/>
        <v>0</v>
      </c>
    </row>
    <row r="383" spans="1:13" ht="13.15">
      <c r="A383" s="2" t="s">
        <v>113</v>
      </c>
      <c r="B383" s="2" t="s">
        <v>223</v>
      </c>
      <c r="C383" s="2" t="s">
        <v>224</v>
      </c>
      <c r="D383" s="2" t="s">
        <v>85</v>
      </c>
      <c r="E383" s="2" t="s">
        <v>79</v>
      </c>
      <c r="F383" s="291">
        <v>5.580305186132118E-2</v>
      </c>
      <c r="G383" s="291">
        <v>1.230527605932632</v>
      </c>
      <c r="H383" s="291">
        <v>8.1848109862241927</v>
      </c>
      <c r="I383" s="291">
        <v>16.679035507588875</v>
      </c>
      <c r="J383" s="291">
        <v>29.887148868293412</v>
      </c>
      <c r="K383" s="291">
        <v>32.091831356932211</v>
      </c>
      <c r="L383" s="291">
        <v>9.2228223854741209</v>
      </c>
      <c r="M383" s="307">
        <f t="shared" si="5"/>
        <v>97.351979762306755</v>
      </c>
    </row>
    <row r="384" spans="1:13" ht="13.15">
      <c r="A384" s="2" t="s">
        <v>113</v>
      </c>
      <c r="B384" s="2" t="s">
        <v>225</v>
      </c>
      <c r="C384" s="2" t="s">
        <v>226</v>
      </c>
      <c r="D384" s="2" t="s">
        <v>85</v>
      </c>
      <c r="E384" s="2" t="s">
        <v>79</v>
      </c>
      <c r="F384" s="291">
        <v>0</v>
      </c>
      <c r="G384" s="291">
        <v>0</v>
      </c>
      <c r="H384" s="291">
        <v>0.4125473175039388</v>
      </c>
      <c r="I384" s="291">
        <v>0.83486834969349522</v>
      </c>
      <c r="J384" s="291">
        <v>1.2352800021695245</v>
      </c>
      <c r="K384" s="291">
        <v>1.6603574772239593</v>
      </c>
      <c r="L384" s="291">
        <v>1.6445864954259541</v>
      </c>
      <c r="M384" s="307">
        <f t="shared" si="5"/>
        <v>5.7876396420168712</v>
      </c>
    </row>
    <row r="385" spans="1:13" ht="13.15">
      <c r="A385" s="2" t="s">
        <v>113</v>
      </c>
      <c r="B385" s="2" t="s">
        <v>227</v>
      </c>
      <c r="C385" s="2" t="s">
        <v>228</v>
      </c>
      <c r="D385" s="2" t="s">
        <v>85</v>
      </c>
      <c r="E385" s="2" t="s">
        <v>79</v>
      </c>
      <c r="F385" s="291">
        <v>0</v>
      </c>
      <c r="G385" s="291">
        <v>0</v>
      </c>
      <c r="H385" s="291">
        <v>0</v>
      </c>
      <c r="I385" s="291">
        <v>0</v>
      </c>
      <c r="J385" s="291">
        <v>0</v>
      </c>
      <c r="K385" s="291">
        <v>0</v>
      </c>
      <c r="L385" s="291">
        <v>0</v>
      </c>
      <c r="M385" s="307">
        <f t="shared" si="5"/>
        <v>0</v>
      </c>
    </row>
    <row r="386" spans="1:13" ht="13.15">
      <c r="A386" s="2" t="s">
        <v>113</v>
      </c>
      <c r="B386" s="2" t="s">
        <v>229</v>
      </c>
      <c r="C386" s="2" t="s">
        <v>230</v>
      </c>
      <c r="D386" s="2" t="s">
        <v>85</v>
      </c>
      <c r="E386" s="2" t="s">
        <v>79</v>
      </c>
      <c r="F386" s="291">
        <v>0</v>
      </c>
      <c r="G386" s="291">
        <v>0</v>
      </c>
      <c r="H386" s="291">
        <v>6.6851114705355092</v>
      </c>
      <c r="I386" s="291">
        <v>13.555157998924621</v>
      </c>
      <c r="J386" s="291">
        <v>18.616155240117294</v>
      </c>
      <c r="K386" s="291">
        <v>17.749061697822569</v>
      </c>
      <c r="L386" s="291">
        <v>16.732885587938696</v>
      </c>
      <c r="M386" s="307">
        <f t="shared" si="5"/>
        <v>73.33837199533869</v>
      </c>
    </row>
    <row r="387" spans="1:13" ht="13.15">
      <c r="A387" s="2" t="s">
        <v>113</v>
      </c>
      <c r="B387" s="2" t="s">
        <v>231</v>
      </c>
      <c r="C387" s="2" t="s">
        <v>232</v>
      </c>
      <c r="D387" s="2" t="s">
        <v>85</v>
      </c>
      <c r="E387" s="2" t="s">
        <v>79</v>
      </c>
      <c r="F387" s="291">
        <v>0</v>
      </c>
      <c r="G387" s="291">
        <v>0</v>
      </c>
      <c r="H387" s="291">
        <v>0</v>
      </c>
      <c r="I387" s="291">
        <v>0</v>
      </c>
      <c r="J387" s="291">
        <v>0</v>
      </c>
      <c r="K387" s="291">
        <v>0</v>
      </c>
      <c r="L387" s="291">
        <v>0</v>
      </c>
      <c r="M387" s="307">
        <f t="shared" si="5"/>
        <v>0</v>
      </c>
    </row>
    <row r="388" spans="1:13" ht="13.15">
      <c r="A388" s="2" t="s">
        <v>113</v>
      </c>
      <c r="B388" s="2" t="s">
        <v>233</v>
      </c>
      <c r="C388" s="2" t="s">
        <v>234</v>
      </c>
      <c r="D388" s="2" t="s">
        <v>85</v>
      </c>
      <c r="E388" s="2" t="s">
        <v>79</v>
      </c>
      <c r="F388" s="291">
        <v>0</v>
      </c>
      <c r="G388" s="291">
        <v>0</v>
      </c>
      <c r="H388" s="291">
        <v>0</v>
      </c>
      <c r="I388" s="291">
        <v>0</v>
      </c>
      <c r="J388" s="291">
        <v>0</v>
      </c>
      <c r="K388" s="291">
        <v>0</v>
      </c>
      <c r="L388" s="291">
        <v>0</v>
      </c>
      <c r="M388" s="307">
        <f t="shared" si="5"/>
        <v>0</v>
      </c>
    </row>
    <row r="389" spans="1:13" ht="13.15">
      <c r="A389" s="2" t="s">
        <v>113</v>
      </c>
      <c r="B389" s="2" t="s">
        <v>235</v>
      </c>
      <c r="C389" s="2" t="s">
        <v>236</v>
      </c>
      <c r="D389" s="2" t="s">
        <v>85</v>
      </c>
      <c r="E389" s="2" t="s">
        <v>79</v>
      </c>
      <c r="F389" s="291">
        <v>0</v>
      </c>
      <c r="G389" s="291">
        <v>0</v>
      </c>
      <c r="H389" s="291">
        <v>27.458748046648008</v>
      </c>
      <c r="I389" s="291">
        <v>1.9257654791695529</v>
      </c>
      <c r="J389" s="291">
        <v>1.8269969222907869</v>
      </c>
      <c r="K389" s="291">
        <v>1.7642623492966263</v>
      </c>
      <c r="L389" s="291">
        <v>1.6999644667373803</v>
      </c>
      <c r="M389" s="307">
        <f t="shared" ref="M389:M452" si="6">SUM(F389:L389)</f>
        <v>34.675737264142349</v>
      </c>
    </row>
    <row r="390" spans="1:13" ht="13.15">
      <c r="A390" s="2" t="s">
        <v>113</v>
      </c>
      <c r="B390" s="2" t="s">
        <v>237</v>
      </c>
      <c r="C390" s="2" t="s">
        <v>238</v>
      </c>
      <c r="D390" s="2" t="s">
        <v>85</v>
      </c>
      <c r="E390" s="2" t="s">
        <v>79</v>
      </c>
      <c r="F390" s="291">
        <v>0</v>
      </c>
      <c r="G390" s="291">
        <v>0</v>
      </c>
      <c r="H390" s="291">
        <v>0</v>
      </c>
      <c r="I390" s="291">
        <v>0</v>
      </c>
      <c r="J390" s="291">
        <v>0</v>
      </c>
      <c r="K390" s="291">
        <v>0</v>
      </c>
      <c r="L390" s="291">
        <v>0</v>
      </c>
      <c r="M390" s="307">
        <f t="shared" si="6"/>
        <v>0</v>
      </c>
    </row>
    <row r="391" spans="1:13" ht="13.15">
      <c r="A391" s="2" t="s">
        <v>113</v>
      </c>
      <c r="B391" s="2" t="s">
        <v>239</v>
      </c>
      <c r="C391" s="2" t="s">
        <v>240</v>
      </c>
      <c r="D391" s="2" t="s">
        <v>85</v>
      </c>
      <c r="E391" s="2" t="s">
        <v>79</v>
      </c>
      <c r="F391" s="291">
        <v>0</v>
      </c>
      <c r="G391" s="291">
        <v>0</v>
      </c>
      <c r="H391" s="291">
        <v>60.567979012969225</v>
      </c>
      <c r="I391" s="291">
        <v>52.739265930200837</v>
      </c>
      <c r="J391" s="291">
        <v>46.251185735801791</v>
      </c>
      <c r="K391" s="291">
        <v>40.286600186920822</v>
      </c>
      <c r="L391" s="291">
        <v>33.19437760753538</v>
      </c>
      <c r="M391" s="307">
        <f t="shared" si="6"/>
        <v>233.03940847342807</v>
      </c>
    </row>
    <row r="392" spans="1:13" ht="13.15">
      <c r="A392" s="2" t="s">
        <v>114</v>
      </c>
      <c r="B392" s="2" t="s">
        <v>155</v>
      </c>
      <c r="C392" s="2" t="s">
        <v>156</v>
      </c>
      <c r="D392" s="2" t="s">
        <v>85</v>
      </c>
      <c r="E392" s="2" t="s">
        <v>79</v>
      </c>
      <c r="F392" s="291">
        <v>11.916020444338045</v>
      </c>
      <c r="G392" s="291">
        <v>44.038203317892318</v>
      </c>
      <c r="H392" s="291">
        <v>187.4005160145592</v>
      </c>
      <c r="I392" s="291">
        <v>244.84518919595769</v>
      </c>
      <c r="J392" s="291">
        <v>248.81429009233452</v>
      </c>
      <c r="K392" s="291">
        <v>416.70250157372396</v>
      </c>
      <c r="L392" s="291">
        <v>650.41034952872656</v>
      </c>
      <c r="M392" s="307">
        <f t="shared" si="6"/>
        <v>1804.1270701675323</v>
      </c>
    </row>
    <row r="393" spans="1:13" ht="13.15">
      <c r="A393" s="2" t="s">
        <v>114</v>
      </c>
      <c r="B393" s="2" t="s">
        <v>157</v>
      </c>
      <c r="C393" s="2" t="s">
        <v>158</v>
      </c>
      <c r="D393" s="2" t="s">
        <v>85</v>
      </c>
      <c r="E393" s="2" t="s">
        <v>79</v>
      </c>
      <c r="F393" s="291">
        <v>0.38015100000000002</v>
      </c>
      <c r="G393" s="291">
        <v>2.4525791548571551E-2</v>
      </c>
      <c r="H393" s="291">
        <v>0.1861134972883253</v>
      </c>
      <c r="I393" s="291">
        <v>1.2575463679837122</v>
      </c>
      <c r="J393" s="291">
        <v>8.0138263440440921E-2</v>
      </c>
      <c r="K393" s="291">
        <v>7.9943552357412975E-2</v>
      </c>
      <c r="L393" s="291">
        <v>7.9826348192543972E-2</v>
      </c>
      <c r="M393" s="307">
        <f t="shared" si="6"/>
        <v>2.0882448208110067</v>
      </c>
    </row>
    <row r="394" spans="1:13" ht="13.15">
      <c r="A394" s="2" t="s">
        <v>114</v>
      </c>
      <c r="B394" s="2" t="s">
        <v>159</v>
      </c>
      <c r="C394" s="2" t="s">
        <v>160</v>
      </c>
      <c r="D394" s="2" t="s">
        <v>85</v>
      </c>
      <c r="E394" s="2" t="s">
        <v>79</v>
      </c>
      <c r="F394" s="291">
        <v>4.4913599999999994</v>
      </c>
      <c r="G394" s="291">
        <v>10.593681376681694</v>
      </c>
      <c r="H394" s="291">
        <v>7.3804550687356265</v>
      </c>
      <c r="I394" s="291">
        <v>4.5777595375721063</v>
      </c>
      <c r="J394" s="291">
        <v>0.81714180834172945</v>
      </c>
      <c r="K394" s="291">
        <v>0.81516189779144166</v>
      </c>
      <c r="L394" s="291">
        <v>0.81396688652524629</v>
      </c>
      <c r="M394" s="307">
        <f t="shared" si="6"/>
        <v>29.489526575647847</v>
      </c>
    </row>
    <row r="395" spans="1:13" ht="13.15">
      <c r="A395" s="2" t="s">
        <v>114</v>
      </c>
      <c r="B395" s="2" t="s">
        <v>161</v>
      </c>
      <c r="C395" s="2" t="s">
        <v>162</v>
      </c>
      <c r="D395" s="2" t="s">
        <v>85</v>
      </c>
      <c r="E395" s="2" t="s">
        <v>79</v>
      </c>
      <c r="F395" s="291">
        <v>0</v>
      </c>
      <c r="G395" s="291">
        <v>0</v>
      </c>
      <c r="H395" s="291">
        <v>1.3197623222815074</v>
      </c>
      <c r="I395" s="291">
        <v>13.127859429098802</v>
      </c>
      <c r="J395" s="291">
        <v>13.047305976524729</v>
      </c>
      <c r="K395" s="291">
        <v>15.541140017819075</v>
      </c>
      <c r="L395" s="291">
        <v>18.014668665538938</v>
      </c>
      <c r="M395" s="307">
        <f t="shared" si="6"/>
        <v>61.050736411263046</v>
      </c>
    </row>
    <row r="396" spans="1:13" ht="13.15">
      <c r="A396" s="2" t="s">
        <v>114</v>
      </c>
      <c r="B396" s="2" t="s">
        <v>163</v>
      </c>
      <c r="C396" s="2" t="s">
        <v>164</v>
      </c>
      <c r="D396" s="2" t="s">
        <v>85</v>
      </c>
      <c r="E396" s="2" t="s">
        <v>79</v>
      </c>
      <c r="F396" s="291">
        <v>0</v>
      </c>
      <c r="G396" s="291">
        <v>0</v>
      </c>
      <c r="H396" s="291">
        <v>3.3119979297065005</v>
      </c>
      <c r="I396" s="291">
        <v>3.399283017960828</v>
      </c>
      <c r="J396" s="291">
        <v>4.2563057468571115</v>
      </c>
      <c r="K396" s="291">
        <v>4.2463564337570396</v>
      </c>
      <c r="L396" s="291">
        <v>4.3110611110523891</v>
      </c>
      <c r="M396" s="307">
        <f t="shared" si="6"/>
        <v>19.525004239333867</v>
      </c>
    </row>
    <row r="397" spans="1:13" ht="13.15">
      <c r="A397" s="2" t="s">
        <v>114</v>
      </c>
      <c r="B397" s="2" t="s">
        <v>165</v>
      </c>
      <c r="C397" s="2" t="s">
        <v>166</v>
      </c>
      <c r="D397" s="2" t="s">
        <v>85</v>
      </c>
      <c r="E397" s="2" t="s">
        <v>79</v>
      </c>
      <c r="F397" s="291">
        <v>0</v>
      </c>
      <c r="G397" s="291">
        <v>0</v>
      </c>
      <c r="H397" s="291">
        <v>0</v>
      </c>
      <c r="I397" s="291">
        <v>0</v>
      </c>
      <c r="J397" s="291">
        <v>0</v>
      </c>
      <c r="K397" s="291">
        <v>0</v>
      </c>
      <c r="L397" s="291">
        <v>0</v>
      </c>
      <c r="M397" s="307">
        <f t="shared" si="6"/>
        <v>0</v>
      </c>
    </row>
    <row r="398" spans="1:13" ht="13.15">
      <c r="A398" s="2" t="s">
        <v>114</v>
      </c>
      <c r="B398" s="2" t="s">
        <v>167</v>
      </c>
      <c r="C398" s="2" t="s">
        <v>168</v>
      </c>
      <c r="D398" s="2" t="s">
        <v>85</v>
      </c>
      <c r="E398" s="2" t="s">
        <v>79</v>
      </c>
      <c r="F398" s="291">
        <v>1.0316656380375426</v>
      </c>
      <c r="G398" s="291">
        <v>5.517902703678371</v>
      </c>
      <c r="H398" s="291">
        <v>86.381163835229174</v>
      </c>
      <c r="I398" s="291">
        <v>102.11905825953424</v>
      </c>
      <c r="J398" s="291">
        <v>99.042039259105948</v>
      </c>
      <c r="K398" s="291">
        <v>98.536359051941403</v>
      </c>
      <c r="L398" s="291">
        <v>111.37205839266021</v>
      </c>
      <c r="M398" s="307">
        <f t="shared" si="6"/>
        <v>504.0002471401869</v>
      </c>
    </row>
    <row r="399" spans="1:13" ht="13.15">
      <c r="A399" s="2" t="s">
        <v>114</v>
      </c>
      <c r="B399" s="2" t="s">
        <v>169</v>
      </c>
      <c r="C399" s="2" t="s">
        <v>170</v>
      </c>
      <c r="D399" s="2" t="s">
        <v>85</v>
      </c>
      <c r="E399" s="2" t="s">
        <v>79</v>
      </c>
      <c r="F399" s="291">
        <v>8.9390000000000008E-3</v>
      </c>
      <c r="G399" s="291">
        <v>1.9904228689221265E-3</v>
      </c>
      <c r="H399" s="291">
        <v>0.20249239147779191</v>
      </c>
      <c r="I399" s="291">
        <v>0.83093027490597859</v>
      </c>
      <c r="J399" s="291">
        <v>1.8033684398513947</v>
      </c>
      <c r="K399" s="291">
        <v>4.5393579999622551</v>
      </c>
      <c r="L399" s="291">
        <v>3.9656658760034582</v>
      </c>
      <c r="M399" s="307">
        <f t="shared" si="6"/>
        <v>11.352744405069801</v>
      </c>
    </row>
    <row r="400" spans="1:13" ht="13.15">
      <c r="A400" s="2" t="s">
        <v>114</v>
      </c>
      <c r="B400" s="2" t="s">
        <v>171</v>
      </c>
      <c r="C400" s="2" t="s">
        <v>172</v>
      </c>
      <c r="D400" s="2" t="s">
        <v>85</v>
      </c>
      <c r="E400" s="2" t="s">
        <v>79</v>
      </c>
      <c r="F400" s="291">
        <v>0.187781</v>
      </c>
      <c r="G400" s="291">
        <v>0.73236017123694497</v>
      </c>
      <c r="H400" s="291">
        <v>3.5682039109949657</v>
      </c>
      <c r="I400" s="291">
        <v>3.3170622687451337</v>
      </c>
      <c r="J400" s="291">
        <v>1.3480218204322776</v>
      </c>
      <c r="K400" s="291">
        <v>0.58411316842161831</v>
      </c>
      <c r="L400" s="291">
        <v>0.10626594899706766</v>
      </c>
      <c r="M400" s="307">
        <f t="shared" si="6"/>
        <v>9.8438082888280078</v>
      </c>
    </row>
    <row r="401" spans="1:13" ht="13.15">
      <c r="A401" s="2" t="s">
        <v>114</v>
      </c>
      <c r="B401" s="2" t="s">
        <v>173</v>
      </c>
      <c r="C401" s="2" t="s">
        <v>174</v>
      </c>
      <c r="D401" s="2" t="s">
        <v>85</v>
      </c>
      <c r="E401" s="2" t="s">
        <v>79</v>
      </c>
      <c r="F401" s="291">
        <v>0.14550772731470621</v>
      </c>
      <c r="G401" s="291">
        <v>5.6983888497954149</v>
      </c>
      <c r="H401" s="291">
        <v>4.4692495013276403</v>
      </c>
      <c r="I401" s="291">
        <v>5.7067804959144048</v>
      </c>
      <c r="J401" s="291">
        <v>10.487636733161548</v>
      </c>
      <c r="K401" s="291">
        <v>30.40561604695921</v>
      </c>
      <c r="L401" s="291">
        <v>119.92402162638672</v>
      </c>
      <c r="M401" s="307">
        <f t="shared" si="6"/>
        <v>176.83720098085965</v>
      </c>
    </row>
    <row r="402" spans="1:13" ht="13.15">
      <c r="A402" s="2" t="s">
        <v>114</v>
      </c>
      <c r="B402" s="2" t="s">
        <v>175</v>
      </c>
      <c r="C402" s="2" t="s">
        <v>176</v>
      </c>
      <c r="D402" s="2" t="s">
        <v>85</v>
      </c>
      <c r="E402" s="2" t="s">
        <v>79</v>
      </c>
      <c r="F402" s="291">
        <v>0</v>
      </c>
      <c r="G402" s="291">
        <v>0</v>
      </c>
      <c r="H402" s="291">
        <v>2.3814164784089678</v>
      </c>
      <c r="I402" s="291">
        <v>1.9617110834504488</v>
      </c>
      <c r="J402" s="291">
        <v>0</v>
      </c>
      <c r="K402" s="291">
        <v>0</v>
      </c>
      <c r="L402" s="291">
        <v>0</v>
      </c>
      <c r="M402" s="307">
        <f t="shared" si="6"/>
        <v>4.3431275618594167</v>
      </c>
    </row>
    <row r="403" spans="1:13" ht="13.15">
      <c r="A403" s="2" t="s">
        <v>114</v>
      </c>
      <c r="B403" s="2" t="s">
        <v>177</v>
      </c>
      <c r="C403" s="2" t="s">
        <v>178</v>
      </c>
      <c r="D403" s="2" t="s">
        <v>85</v>
      </c>
      <c r="E403" s="2" t="s">
        <v>79</v>
      </c>
      <c r="F403" s="291">
        <v>3.6070068145276464</v>
      </c>
      <c r="G403" s="291">
        <v>14.412103008987163</v>
      </c>
      <c r="H403" s="291">
        <v>17.978407291384759</v>
      </c>
      <c r="I403" s="291">
        <v>42.734608966619653</v>
      </c>
      <c r="J403" s="291">
        <v>68.578001147996915</v>
      </c>
      <c r="K403" s="291">
        <v>192.42514306283724</v>
      </c>
      <c r="L403" s="291">
        <v>272.9410469804501</v>
      </c>
      <c r="M403" s="307">
        <f t="shared" si="6"/>
        <v>612.67631727280343</v>
      </c>
    </row>
    <row r="404" spans="1:13" ht="13.15">
      <c r="A404" s="2" t="s">
        <v>114</v>
      </c>
      <c r="B404" s="2" t="s">
        <v>179</v>
      </c>
      <c r="C404" s="2" t="s">
        <v>180</v>
      </c>
      <c r="D404" s="2" t="s">
        <v>85</v>
      </c>
      <c r="E404" s="2" t="s">
        <v>79</v>
      </c>
      <c r="F404" s="291">
        <v>9.0441000000000011E-3</v>
      </c>
      <c r="G404" s="291">
        <v>0</v>
      </c>
      <c r="H404" s="291">
        <v>0.13483098090379347</v>
      </c>
      <c r="I404" s="291">
        <v>0.135933249426751</v>
      </c>
      <c r="J404" s="291">
        <v>0.13577416911794518</v>
      </c>
      <c r="K404" s="291">
        <v>1.0835634143650386</v>
      </c>
      <c r="L404" s="291">
        <v>1.3060187104407532</v>
      </c>
      <c r="M404" s="307">
        <f t="shared" si="6"/>
        <v>2.8051646242542816</v>
      </c>
    </row>
    <row r="405" spans="1:13" ht="13.15">
      <c r="A405" s="2" t="s">
        <v>114</v>
      </c>
      <c r="B405" s="2" t="s">
        <v>181</v>
      </c>
      <c r="C405" s="2" t="s">
        <v>182</v>
      </c>
      <c r="D405" s="2" t="s">
        <v>85</v>
      </c>
      <c r="E405" s="2" t="s">
        <v>79</v>
      </c>
      <c r="F405" s="291">
        <v>3.092462150062442E-2</v>
      </c>
      <c r="G405" s="291">
        <v>1.1719064845881499</v>
      </c>
      <c r="H405" s="291">
        <v>2.4647325165835534</v>
      </c>
      <c r="I405" s="291">
        <v>4.5157656326973017</v>
      </c>
      <c r="J405" s="291">
        <v>6.9923613334624024</v>
      </c>
      <c r="K405" s="291">
        <v>17.270349481161873</v>
      </c>
      <c r="L405" s="291">
        <v>21.447790690003082</v>
      </c>
      <c r="M405" s="307">
        <f t="shared" si="6"/>
        <v>53.893830759996987</v>
      </c>
    </row>
    <row r="406" spans="1:13" ht="13.15">
      <c r="A406" s="2" t="s">
        <v>114</v>
      </c>
      <c r="B406" s="2" t="s">
        <v>183</v>
      </c>
      <c r="C406" s="2" t="s">
        <v>184</v>
      </c>
      <c r="D406" s="2" t="s">
        <v>85</v>
      </c>
      <c r="E406" s="2" t="s">
        <v>79</v>
      </c>
      <c r="F406" s="291">
        <v>0</v>
      </c>
      <c r="G406" s="291">
        <v>0</v>
      </c>
      <c r="H406" s="291">
        <v>0</v>
      </c>
      <c r="I406" s="291">
        <v>0</v>
      </c>
      <c r="J406" s="291">
        <v>0</v>
      </c>
      <c r="K406" s="291">
        <v>0</v>
      </c>
      <c r="L406" s="291">
        <v>0</v>
      </c>
      <c r="M406" s="307">
        <f t="shared" si="6"/>
        <v>0</v>
      </c>
    </row>
    <row r="407" spans="1:13" ht="13.15">
      <c r="A407" s="2" t="s">
        <v>114</v>
      </c>
      <c r="B407" s="2" t="s">
        <v>185</v>
      </c>
      <c r="C407" s="2" t="s">
        <v>186</v>
      </c>
      <c r="D407" s="2" t="s">
        <v>85</v>
      </c>
      <c r="E407" s="2" t="s">
        <v>79</v>
      </c>
      <c r="F407" s="291">
        <v>0</v>
      </c>
      <c r="G407" s="291">
        <v>0</v>
      </c>
      <c r="H407" s="291">
        <v>0</v>
      </c>
      <c r="I407" s="291">
        <v>0</v>
      </c>
      <c r="J407" s="291">
        <v>0</v>
      </c>
      <c r="K407" s="291">
        <v>0</v>
      </c>
      <c r="L407" s="291">
        <v>0</v>
      </c>
      <c r="M407" s="307">
        <f t="shared" si="6"/>
        <v>0</v>
      </c>
    </row>
    <row r="408" spans="1:13" ht="13.15">
      <c r="A408" s="2" t="s">
        <v>114</v>
      </c>
      <c r="B408" s="2" t="s">
        <v>187</v>
      </c>
      <c r="C408" s="2" t="s">
        <v>188</v>
      </c>
      <c r="D408" s="2" t="s">
        <v>85</v>
      </c>
      <c r="E408" s="2" t="s">
        <v>79</v>
      </c>
      <c r="F408" s="291">
        <v>0</v>
      </c>
      <c r="G408" s="291">
        <v>0</v>
      </c>
      <c r="H408" s="291">
        <v>0</v>
      </c>
      <c r="I408" s="291">
        <v>0</v>
      </c>
      <c r="J408" s="291">
        <v>0</v>
      </c>
      <c r="K408" s="291">
        <v>0</v>
      </c>
      <c r="L408" s="291">
        <v>0</v>
      </c>
      <c r="M408" s="307">
        <f t="shared" si="6"/>
        <v>0</v>
      </c>
    </row>
    <row r="409" spans="1:13" ht="13.15">
      <c r="A409" s="2" t="s">
        <v>114</v>
      </c>
      <c r="B409" s="2" t="s">
        <v>189</v>
      </c>
      <c r="C409" s="2" t="s">
        <v>190</v>
      </c>
      <c r="D409" s="2" t="s">
        <v>85</v>
      </c>
      <c r="E409" s="2" t="s">
        <v>79</v>
      </c>
      <c r="F409" s="291">
        <v>0</v>
      </c>
      <c r="G409" s="291">
        <v>0</v>
      </c>
      <c r="H409" s="291">
        <v>1.0796426203702549</v>
      </c>
      <c r="I409" s="291">
        <v>1.7417559789324912</v>
      </c>
      <c r="J409" s="291">
        <v>1.6211308015596682</v>
      </c>
      <c r="K409" s="291">
        <v>0.72219308605663712</v>
      </c>
      <c r="L409" s="291">
        <v>1.6435792386344346</v>
      </c>
      <c r="M409" s="307">
        <f t="shared" si="6"/>
        <v>6.8083017255534868</v>
      </c>
    </row>
    <row r="410" spans="1:13" ht="13.15">
      <c r="A410" s="2" t="s">
        <v>114</v>
      </c>
      <c r="B410" s="2" t="s">
        <v>191</v>
      </c>
      <c r="C410" s="2" t="s">
        <v>192</v>
      </c>
      <c r="D410" s="2" t="s">
        <v>85</v>
      </c>
      <c r="E410" s="2" t="s">
        <v>79</v>
      </c>
      <c r="F410" s="291">
        <v>0</v>
      </c>
      <c r="G410" s="291">
        <v>0</v>
      </c>
      <c r="H410" s="291">
        <v>1.0603862725732891</v>
      </c>
      <c r="I410" s="291">
        <v>2.5006428069619009</v>
      </c>
      <c r="J410" s="291">
        <v>3.6632685957708033</v>
      </c>
      <c r="K410" s="291">
        <v>1.5557800431459921</v>
      </c>
      <c r="L410" s="291">
        <v>0.19187229341225348</v>
      </c>
      <c r="M410" s="307">
        <f t="shared" si="6"/>
        <v>8.9719500118642372</v>
      </c>
    </row>
    <row r="411" spans="1:13" ht="13.15">
      <c r="A411" s="2" t="s">
        <v>114</v>
      </c>
      <c r="B411" s="2" t="s">
        <v>193</v>
      </c>
      <c r="C411" s="2" t="s">
        <v>194</v>
      </c>
      <c r="D411" s="2" t="s">
        <v>85</v>
      </c>
      <c r="E411" s="2" t="s">
        <v>79</v>
      </c>
      <c r="F411" s="291">
        <v>0</v>
      </c>
      <c r="G411" s="291">
        <v>0</v>
      </c>
      <c r="H411" s="291">
        <v>0</v>
      </c>
      <c r="I411" s="291">
        <v>0</v>
      </c>
      <c r="J411" s="291">
        <v>0</v>
      </c>
      <c r="K411" s="291">
        <v>0</v>
      </c>
      <c r="L411" s="291">
        <v>0</v>
      </c>
      <c r="M411" s="307">
        <f t="shared" si="6"/>
        <v>0</v>
      </c>
    </row>
    <row r="412" spans="1:13" ht="13.15">
      <c r="A412" s="2" t="s">
        <v>114</v>
      </c>
      <c r="B412" s="2" t="s">
        <v>195</v>
      </c>
      <c r="C412" s="2" t="s">
        <v>196</v>
      </c>
      <c r="D412" s="2" t="s">
        <v>85</v>
      </c>
      <c r="E412" s="2" t="s">
        <v>79</v>
      </c>
      <c r="F412" s="291">
        <v>0</v>
      </c>
      <c r="G412" s="291">
        <v>0</v>
      </c>
      <c r="H412" s="291">
        <v>0</v>
      </c>
      <c r="I412" s="291">
        <v>0</v>
      </c>
      <c r="J412" s="291">
        <v>0</v>
      </c>
      <c r="K412" s="291">
        <v>0</v>
      </c>
      <c r="L412" s="291">
        <v>0</v>
      </c>
      <c r="M412" s="307">
        <f t="shared" si="6"/>
        <v>0</v>
      </c>
    </row>
    <row r="413" spans="1:13" ht="13.15">
      <c r="A413" s="2" t="s">
        <v>114</v>
      </c>
      <c r="B413" s="2" t="s">
        <v>197</v>
      </c>
      <c r="C413" s="2" t="s">
        <v>198</v>
      </c>
      <c r="D413" s="2" t="s">
        <v>85</v>
      </c>
      <c r="E413" s="2" t="s">
        <v>79</v>
      </c>
      <c r="F413" s="291">
        <v>2.5501499999999996E-2</v>
      </c>
      <c r="G413" s="291">
        <v>3.2314714319237624E-2</v>
      </c>
      <c r="H413" s="291">
        <v>0.66158029458646728</v>
      </c>
      <c r="I413" s="291">
        <v>0.54234625849336704</v>
      </c>
      <c r="J413" s="291">
        <v>0.69184330409100958</v>
      </c>
      <c r="K413" s="291">
        <v>0.69016808070716562</v>
      </c>
      <c r="L413" s="291">
        <v>0.52934938942308973</v>
      </c>
      <c r="M413" s="307">
        <f t="shared" si="6"/>
        <v>3.1731035416203368</v>
      </c>
    </row>
    <row r="414" spans="1:13" ht="13.15">
      <c r="A414" s="2" t="s">
        <v>114</v>
      </c>
      <c r="B414" s="2" t="s">
        <v>199</v>
      </c>
      <c r="C414" s="2" t="s">
        <v>200</v>
      </c>
      <c r="D414" s="2" t="s">
        <v>85</v>
      </c>
      <c r="E414" s="2" t="s">
        <v>79</v>
      </c>
      <c r="F414" s="291">
        <v>1.9981390429575248</v>
      </c>
      <c r="G414" s="291">
        <v>5.7832695116823221</v>
      </c>
      <c r="H414" s="291">
        <v>12.261865114108206</v>
      </c>
      <c r="I414" s="291">
        <v>8.6122908837637464</v>
      </c>
      <c r="J414" s="291">
        <v>3.794116342367257</v>
      </c>
      <c r="K414" s="291">
        <v>2.730552179758583</v>
      </c>
      <c r="L414" s="291">
        <v>2.7192066324299455</v>
      </c>
      <c r="M414" s="307">
        <f t="shared" si="6"/>
        <v>37.899439707067579</v>
      </c>
    </row>
    <row r="415" spans="1:13" ht="13.15">
      <c r="A415" s="2" t="s">
        <v>114</v>
      </c>
      <c r="B415" s="2" t="s">
        <v>201</v>
      </c>
      <c r="C415" s="2" t="s">
        <v>202</v>
      </c>
      <c r="D415" s="2" t="s">
        <v>85</v>
      </c>
      <c r="E415" s="2" t="s">
        <v>79</v>
      </c>
      <c r="F415" s="291">
        <v>0</v>
      </c>
      <c r="G415" s="291">
        <v>0</v>
      </c>
      <c r="H415" s="291">
        <v>0</v>
      </c>
      <c r="I415" s="291">
        <v>0</v>
      </c>
      <c r="J415" s="291">
        <v>0</v>
      </c>
      <c r="K415" s="291">
        <v>0</v>
      </c>
      <c r="L415" s="291">
        <v>0</v>
      </c>
      <c r="M415" s="307">
        <f t="shared" si="6"/>
        <v>0</v>
      </c>
    </row>
    <row r="416" spans="1:13" ht="13.15">
      <c r="A416" s="2" t="s">
        <v>114</v>
      </c>
      <c r="B416" s="2" t="s">
        <v>203</v>
      </c>
      <c r="C416" s="2" t="s">
        <v>204</v>
      </c>
      <c r="D416" s="2" t="s">
        <v>85</v>
      </c>
      <c r="E416" s="2" t="s">
        <v>79</v>
      </c>
      <c r="F416" s="291">
        <v>0</v>
      </c>
      <c r="G416" s="291">
        <v>0</v>
      </c>
      <c r="H416" s="291">
        <v>0</v>
      </c>
      <c r="I416" s="291">
        <v>0</v>
      </c>
      <c r="J416" s="291">
        <v>0</v>
      </c>
      <c r="K416" s="291">
        <v>0</v>
      </c>
      <c r="L416" s="291">
        <v>0</v>
      </c>
      <c r="M416" s="307">
        <f t="shared" si="6"/>
        <v>0</v>
      </c>
    </row>
    <row r="417" spans="1:13" ht="13.15">
      <c r="A417" s="2" t="s">
        <v>114</v>
      </c>
      <c r="B417" s="2" t="s">
        <v>205</v>
      </c>
      <c r="C417" s="2" t="s">
        <v>206</v>
      </c>
      <c r="D417" s="2" t="s">
        <v>85</v>
      </c>
      <c r="E417" s="2" t="s">
        <v>79</v>
      </c>
      <c r="F417" s="291">
        <v>0</v>
      </c>
      <c r="G417" s="291">
        <v>0</v>
      </c>
      <c r="H417" s="291">
        <v>0</v>
      </c>
      <c r="I417" s="291">
        <v>0</v>
      </c>
      <c r="J417" s="291">
        <v>0.45404662220031755</v>
      </c>
      <c r="K417" s="291">
        <v>2.5986089312868539</v>
      </c>
      <c r="L417" s="291">
        <v>3.8083445490517307</v>
      </c>
      <c r="M417" s="307">
        <f t="shared" si="6"/>
        <v>6.8610001025389025</v>
      </c>
    </row>
    <row r="418" spans="1:13" ht="13.15">
      <c r="A418" s="2" t="s">
        <v>114</v>
      </c>
      <c r="B418" s="2" t="s">
        <v>207</v>
      </c>
      <c r="C418" s="2" t="s">
        <v>208</v>
      </c>
      <c r="D418" s="2" t="s">
        <v>85</v>
      </c>
      <c r="E418" s="2" t="s">
        <v>79</v>
      </c>
      <c r="F418" s="291">
        <v>0</v>
      </c>
      <c r="G418" s="291">
        <v>0</v>
      </c>
      <c r="H418" s="291">
        <v>0</v>
      </c>
      <c r="I418" s="291">
        <v>0</v>
      </c>
      <c r="J418" s="291">
        <v>0</v>
      </c>
      <c r="K418" s="291">
        <v>0</v>
      </c>
      <c r="L418" s="291">
        <v>0</v>
      </c>
      <c r="M418" s="307">
        <f t="shared" si="6"/>
        <v>0</v>
      </c>
    </row>
    <row r="419" spans="1:13" ht="13.15">
      <c r="A419" s="2" t="s">
        <v>114</v>
      </c>
      <c r="B419" s="2" t="s">
        <v>209</v>
      </c>
      <c r="C419" s="2" t="s">
        <v>210</v>
      </c>
      <c r="D419" s="2" t="s">
        <v>85</v>
      </c>
      <c r="E419" s="2" t="s">
        <v>79</v>
      </c>
      <c r="F419" s="291">
        <v>0</v>
      </c>
      <c r="G419" s="291">
        <v>0</v>
      </c>
      <c r="H419" s="291">
        <v>0</v>
      </c>
      <c r="I419" s="291">
        <v>0</v>
      </c>
      <c r="J419" s="291">
        <v>0</v>
      </c>
      <c r="K419" s="291">
        <v>0</v>
      </c>
      <c r="L419" s="291">
        <v>0</v>
      </c>
      <c r="M419" s="307">
        <f t="shared" si="6"/>
        <v>0</v>
      </c>
    </row>
    <row r="420" spans="1:13" ht="13.15">
      <c r="A420" s="2" t="s">
        <v>114</v>
      </c>
      <c r="B420" s="2" t="s">
        <v>211</v>
      </c>
      <c r="C420" s="2" t="s">
        <v>212</v>
      </c>
      <c r="D420" s="2" t="s">
        <v>85</v>
      </c>
      <c r="E420" s="2" t="s">
        <v>79</v>
      </c>
      <c r="F420" s="291">
        <v>0</v>
      </c>
      <c r="G420" s="291">
        <v>0</v>
      </c>
      <c r="H420" s="291">
        <v>0</v>
      </c>
      <c r="I420" s="291">
        <v>0</v>
      </c>
      <c r="J420" s="291">
        <v>0</v>
      </c>
      <c r="K420" s="291">
        <v>0</v>
      </c>
      <c r="L420" s="291">
        <v>0</v>
      </c>
      <c r="M420" s="307">
        <f t="shared" si="6"/>
        <v>0</v>
      </c>
    </row>
    <row r="421" spans="1:13" ht="13.15">
      <c r="A421" s="2" t="s">
        <v>114</v>
      </c>
      <c r="B421" s="2" t="s">
        <v>213</v>
      </c>
      <c r="C421" s="2" t="s">
        <v>214</v>
      </c>
      <c r="D421" s="2" t="s">
        <v>85</v>
      </c>
      <c r="E421" s="2" t="s">
        <v>79</v>
      </c>
      <c r="F421" s="291">
        <v>0</v>
      </c>
      <c r="G421" s="291">
        <v>0</v>
      </c>
      <c r="H421" s="291">
        <v>0</v>
      </c>
      <c r="I421" s="291">
        <v>5.841559689222759</v>
      </c>
      <c r="J421" s="291">
        <v>0.27589675947496933</v>
      </c>
      <c r="K421" s="291">
        <v>11.907023709600489</v>
      </c>
      <c r="L421" s="291">
        <v>24.04518142328838</v>
      </c>
      <c r="M421" s="307">
        <f t="shared" si="6"/>
        <v>42.069661581586601</v>
      </c>
    </row>
    <row r="422" spans="1:13" ht="13.15">
      <c r="A422" s="2" t="s">
        <v>114</v>
      </c>
      <c r="B422" s="2" t="s">
        <v>215</v>
      </c>
      <c r="C422" s="2" t="s">
        <v>216</v>
      </c>
      <c r="D422" s="2" t="s">
        <v>85</v>
      </c>
      <c r="E422" s="2" t="s">
        <v>79</v>
      </c>
      <c r="F422" s="291">
        <v>0</v>
      </c>
      <c r="G422" s="291">
        <v>0</v>
      </c>
      <c r="H422" s="291">
        <v>0</v>
      </c>
      <c r="I422" s="291">
        <v>0</v>
      </c>
      <c r="J422" s="291">
        <v>0</v>
      </c>
      <c r="K422" s="291">
        <v>0</v>
      </c>
      <c r="L422" s="291">
        <v>0</v>
      </c>
      <c r="M422" s="307">
        <f t="shared" si="6"/>
        <v>0</v>
      </c>
    </row>
    <row r="423" spans="1:13" ht="13.15">
      <c r="A423" s="2" t="s">
        <v>114</v>
      </c>
      <c r="B423" s="2" t="s">
        <v>217</v>
      </c>
      <c r="C423" s="2" t="s">
        <v>218</v>
      </c>
      <c r="D423" s="2" t="s">
        <v>85</v>
      </c>
      <c r="E423" s="2" t="s">
        <v>79</v>
      </c>
      <c r="F423" s="291">
        <v>0</v>
      </c>
      <c r="G423" s="291">
        <v>0</v>
      </c>
      <c r="H423" s="291">
        <v>0</v>
      </c>
      <c r="I423" s="291">
        <v>0</v>
      </c>
      <c r="J423" s="291">
        <v>0</v>
      </c>
      <c r="K423" s="291">
        <v>0</v>
      </c>
      <c r="L423" s="291">
        <v>0</v>
      </c>
      <c r="M423" s="307">
        <f t="shared" si="6"/>
        <v>0</v>
      </c>
    </row>
    <row r="424" spans="1:13" ht="13.15">
      <c r="A424" s="2" t="s">
        <v>114</v>
      </c>
      <c r="B424" s="2" t="s">
        <v>219</v>
      </c>
      <c r="C424" s="2" t="s">
        <v>220</v>
      </c>
      <c r="D424" s="2" t="s">
        <v>85</v>
      </c>
      <c r="E424" s="2" t="s">
        <v>79</v>
      </c>
      <c r="F424" s="291">
        <v>0</v>
      </c>
      <c r="G424" s="291">
        <v>0</v>
      </c>
      <c r="H424" s="291">
        <v>0</v>
      </c>
      <c r="I424" s="291">
        <v>0</v>
      </c>
      <c r="J424" s="291">
        <v>0</v>
      </c>
      <c r="K424" s="291">
        <v>0</v>
      </c>
      <c r="L424" s="291">
        <v>0</v>
      </c>
      <c r="M424" s="307">
        <f t="shared" si="6"/>
        <v>0</v>
      </c>
    </row>
    <row r="425" spans="1:13" ht="13.15">
      <c r="A425" s="2" t="s">
        <v>114</v>
      </c>
      <c r="B425" s="2" t="s">
        <v>221</v>
      </c>
      <c r="C425" s="2" t="s">
        <v>222</v>
      </c>
      <c r="D425" s="2" t="s">
        <v>85</v>
      </c>
      <c r="E425" s="2" t="s">
        <v>79</v>
      </c>
      <c r="F425" s="291">
        <v>0</v>
      </c>
      <c r="G425" s="291">
        <v>0</v>
      </c>
      <c r="H425" s="291">
        <v>0</v>
      </c>
      <c r="I425" s="291">
        <v>0</v>
      </c>
      <c r="J425" s="291">
        <v>0</v>
      </c>
      <c r="K425" s="291">
        <v>0</v>
      </c>
      <c r="L425" s="291">
        <v>0</v>
      </c>
      <c r="M425" s="307">
        <f t="shared" si="6"/>
        <v>0</v>
      </c>
    </row>
    <row r="426" spans="1:13" ht="13.15">
      <c r="A426" s="2" t="s">
        <v>114</v>
      </c>
      <c r="B426" s="2" t="s">
        <v>223</v>
      </c>
      <c r="C426" s="2" t="s">
        <v>224</v>
      </c>
      <c r="D426" s="2" t="s">
        <v>85</v>
      </c>
      <c r="E426" s="2" t="s">
        <v>79</v>
      </c>
      <c r="F426" s="291">
        <v>0</v>
      </c>
      <c r="G426" s="291">
        <v>0</v>
      </c>
      <c r="H426" s="291">
        <v>32.126876979462402</v>
      </c>
      <c r="I426" s="291">
        <v>31.367323937949855</v>
      </c>
      <c r="J426" s="291">
        <v>16.706853893814163</v>
      </c>
      <c r="K426" s="291">
        <v>7.8782749434156631</v>
      </c>
      <c r="L426" s="291">
        <v>31.412284298697038</v>
      </c>
      <c r="M426" s="307">
        <f t="shared" si="6"/>
        <v>119.49161405333911</v>
      </c>
    </row>
    <row r="427" spans="1:13" ht="13.15">
      <c r="A427" s="2" t="s">
        <v>114</v>
      </c>
      <c r="B427" s="2" t="s">
        <v>225</v>
      </c>
      <c r="C427" s="2" t="s">
        <v>226</v>
      </c>
      <c r="D427" s="2" t="s">
        <v>85</v>
      </c>
      <c r="E427" s="2" t="s">
        <v>79</v>
      </c>
      <c r="F427" s="291">
        <v>0</v>
      </c>
      <c r="G427" s="291">
        <v>0</v>
      </c>
      <c r="H427" s="291">
        <v>0.74270032323586832</v>
      </c>
      <c r="I427" s="291">
        <v>0.74246814216787593</v>
      </c>
      <c r="J427" s="291">
        <v>0.74160158864905656</v>
      </c>
      <c r="K427" s="291">
        <v>0.73980551468104661</v>
      </c>
      <c r="L427" s="291">
        <v>0.73872107790545549</v>
      </c>
      <c r="M427" s="307">
        <f t="shared" si="6"/>
        <v>3.7052966466393027</v>
      </c>
    </row>
    <row r="428" spans="1:13" ht="13.15">
      <c r="A428" s="2" t="s">
        <v>114</v>
      </c>
      <c r="B428" s="2" t="s">
        <v>227</v>
      </c>
      <c r="C428" s="2" t="s">
        <v>228</v>
      </c>
      <c r="D428" s="2" t="s">
        <v>85</v>
      </c>
      <c r="E428" s="2" t="s">
        <v>79</v>
      </c>
      <c r="F428" s="291">
        <v>0</v>
      </c>
      <c r="G428" s="291">
        <v>0</v>
      </c>
      <c r="H428" s="291">
        <v>0</v>
      </c>
      <c r="I428" s="291">
        <v>0</v>
      </c>
      <c r="J428" s="291">
        <v>0</v>
      </c>
      <c r="K428" s="291">
        <v>0</v>
      </c>
      <c r="L428" s="291">
        <v>0</v>
      </c>
      <c r="M428" s="307">
        <f t="shared" si="6"/>
        <v>0</v>
      </c>
    </row>
    <row r="429" spans="1:13" ht="13.15">
      <c r="A429" s="2" t="s">
        <v>114</v>
      </c>
      <c r="B429" s="2" t="s">
        <v>229</v>
      </c>
      <c r="C429" s="2" t="s">
        <v>230</v>
      </c>
      <c r="D429" s="2" t="s">
        <v>85</v>
      </c>
      <c r="E429" s="2" t="s">
        <v>79</v>
      </c>
      <c r="F429" s="291">
        <v>0</v>
      </c>
      <c r="G429" s="291">
        <v>6.9760282505531984E-2</v>
      </c>
      <c r="H429" s="291">
        <v>1.8730779951476229</v>
      </c>
      <c r="I429" s="291">
        <v>1.9525795972677318</v>
      </c>
      <c r="J429" s="291">
        <v>1.7132749496967383</v>
      </c>
      <c r="K429" s="291">
        <v>1.7305286856842224</v>
      </c>
      <c r="L429" s="291">
        <v>1.8047275377151364</v>
      </c>
      <c r="M429" s="307">
        <f t="shared" si="6"/>
        <v>9.1439490480169834</v>
      </c>
    </row>
    <row r="430" spans="1:13" ht="13.15">
      <c r="A430" s="2" t="s">
        <v>114</v>
      </c>
      <c r="B430" s="2" t="s">
        <v>231</v>
      </c>
      <c r="C430" s="2" t="s">
        <v>232</v>
      </c>
      <c r="D430" s="2" t="s">
        <v>85</v>
      </c>
      <c r="E430" s="2" t="s">
        <v>79</v>
      </c>
      <c r="F430" s="291">
        <v>0</v>
      </c>
      <c r="G430" s="291">
        <v>0</v>
      </c>
      <c r="H430" s="291">
        <v>0</v>
      </c>
      <c r="I430" s="291">
        <v>0</v>
      </c>
      <c r="J430" s="291">
        <v>0</v>
      </c>
      <c r="K430" s="291">
        <v>0</v>
      </c>
      <c r="L430" s="291">
        <v>0</v>
      </c>
      <c r="M430" s="307">
        <f t="shared" si="6"/>
        <v>0</v>
      </c>
    </row>
    <row r="431" spans="1:13" ht="13.15">
      <c r="A431" s="2" t="s">
        <v>114</v>
      </c>
      <c r="B431" s="2" t="s">
        <v>233</v>
      </c>
      <c r="C431" s="2" t="s">
        <v>234</v>
      </c>
      <c r="D431" s="2" t="s">
        <v>85</v>
      </c>
      <c r="E431" s="2" t="s">
        <v>79</v>
      </c>
      <c r="F431" s="291">
        <v>0</v>
      </c>
      <c r="G431" s="291">
        <v>0</v>
      </c>
      <c r="H431" s="291">
        <v>0</v>
      </c>
      <c r="I431" s="291">
        <v>0</v>
      </c>
      <c r="J431" s="291">
        <v>0</v>
      </c>
      <c r="K431" s="291">
        <v>0</v>
      </c>
      <c r="L431" s="291">
        <v>0</v>
      </c>
      <c r="M431" s="307">
        <f t="shared" si="6"/>
        <v>0</v>
      </c>
    </row>
    <row r="432" spans="1:13" ht="13.15">
      <c r="A432" s="2" t="s">
        <v>114</v>
      </c>
      <c r="B432" s="2" t="s">
        <v>235</v>
      </c>
      <c r="C432" s="2" t="s">
        <v>236</v>
      </c>
      <c r="D432" s="2" t="s">
        <v>85</v>
      </c>
      <c r="E432" s="2" t="s">
        <v>79</v>
      </c>
      <c r="F432" s="291">
        <v>0</v>
      </c>
      <c r="G432" s="291">
        <v>0</v>
      </c>
      <c r="H432" s="291">
        <v>0.737109273295112</v>
      </c>
      <c r="I432" s="291">
        <v>0.11577965860238483</v>
      </c>
      <c r="J432" s="291">
        <v>0.89241230263919191</v>
      </c>
      <c r="K432" s="291">
        <v>0.21710953444327291</v>
      </c>
      <c r="L432" s="291">
        <v>0.2167911623681692</v>
      </c>
      <c r="M432" s="307">
        <f t="shared" si="6"/>
        <v>2.179201931348131</v>
      </c>
    </row>
    <row r="433" spans="1:13" ht="13.15">
      <c r="A433" s="2" t="s">
        <v>114</v>
      </c>
      <c r="B433" s="2" t="s">
        <v>237</v>
      </c>
      <c r="C433" s="2" t="s">
        <v>238</v>
      </c>
      <c r="D433" s="2" t="s">
        <v>85</v>
      </c>
      <c r="E433" s="2" t="s">
        <v>79</v>
      </c>
      <c r="F433" s="291">
        <v>0</v>
      </c>
      <c r="G433" s="291">
        <v>0</v>
      </c>
      <c r="H433" s="291">
        <v>8.8497325179543285E-2</v>
      </c>
      <c r="I433" s="291">
        <v>0.10324842206197177</v>
      </c>
      <c r="J433" s="291">
        <v>0.14936540568624884</v>
      </c>
      <c r="K433" s="291">
        <v>0.39476665736126193</v>
      </c>
      <c r="L433" s="291">
        <v>0.44358161059150986</v>
      </c>
      <c r="M433" s="307">
        <f t="shared" si="6"/>
        <v>1.1794594208805356</v>
      </c>
    </row>
    <row r="434" spans="1:13" ht="13.15">
      <c r="A434" s="2" t="s">
        <v>114</v>
      </c>
      <c r="B434" s="2" t="s">
        <v>239</v>
      </c>
      <c r="C434" s="2" t="s">
        <v>240</v>
      </c>
      <c r="D434" s="2" t="s">
        <v>85</v>
      </c>
      <c r="E434" s="2" t="s">
        <v>79</v>
      </c>
      <c r="F434" s="291">
        <v>0</v>
      </c>
      <c r="G434" s="291">
        <v>0</v>
      </c>
      <c r="H434" s="291">
        <v>6.8329754037935482</v>
      </c>
      <c r="I434" s="291">
        <v>7.4839165481399856</v>
      </c>
      <c r="J434" s="291">
        <v>11.365406139608371</v>
      </c>
      <c r="K434" s="291">
        <v>19.853607391724896</v>
      </c>
      <c r="L434" s="291">
        <v>28.41734039047444</v>
      </c>
      <c r="M434" s="307">
        <f t="shared" si="6"/>
        <v>73.953245873741238</v>
      </c>
    </row>
    <row r="435" spans="1:13" ht="13.15">
      <c r="A435" s="2" t="s">
        <v>115</v>
      </c>
      <c r="B435" s="2" t="s">
        <v>155</v>
      </c>
      <c r="C435" s="2" t="s">
        <v>156</v>
      </c>
      <c r="D435" s="2" t="s">
        <v>85</v>
      </c>
      <c r="E435" s="2" t="s">
        <v>79</v>
      </c>
      <c r="F435" s="291">
        <v>2.9448805143540113</v>
      </c>
      <c r="G435" s="291">
        <v>70.485734068586211</v>
      </c>
      <c r="H435" s="291">
        <v>487.35320403158124</v>
      </c>
      <c r="I435" s="291">
        <v>574.56560845914021</v>
      </c>
      <c r="J435" s="291">
        <v>529.53595418174802</v>
      </c>
      <c r="K435" s="291">
        <v>477.79438683034658</v>
      </c>
      <c r="L435" s="291">
        <v>266.41608624284396</v>
      </c>
      <c r="M435" s="307">
        <f t="shared" si="6"/>
        <v>2409.0958543286001</v>
      </c>
    </row>
    <row r="436" spans="1:13" ht="13.15">
      <c r="A436" s="2" t="s">
        <v>115</v>
      </c>
      <c r="B436" s="2" t="s">
        <v>157</v>
      </c>
      <c r="C436" s="2" t="s">
        <v>158</v>
      </c>
      <c r="D436" s="2" t="s">
        <v>85</v>
      </c>
      <c r="E436" s="2" t="s">
        <v>79</v>
      </c>
      <c r="F436" s="291">
        <v>0</v>
      </c>
      <c r="G436" s="291">
        <v>0</v>
      </c>
      <c r="H436" s="291">
        <v>0.946085273941765</v>
      </c>
      <c r="I436" s="291">
        <v>5.8940554335101827E-2</v>
      </c>
      <c r="J436" s="291">
        <v>5.8578891020989995E-2</v>
      </c>
      <c r="K436" s="291">
        <v>7.946658088402514E-2</v>
      </c>
      <c r="L436" s="291">
        <v>0.11939577976419449</v>
      </c>
      <c r="M436" s="307">
        <f t="shared" si="6"/>
        <v>1.2624670799460764</v>
      </c>
    </row>
    <row r="437" spans="1:13" ht="13.15">
      <c r="A437" s="2" t="s">
        <v>115</v>
      </c>
      <c r="B437" s="2" t="s">
        <v>159</v>
      </c>
      <c r="C437" s="2" t="s">
        <v>160</v>
      </c>
      <c r="D437" s="2" t="s">
        <v>85</v>
      </c>
      <c r="E437" s="2" t="s">
        <v>79</v>
      </c>
      <c r="F437" s="291">
        <v>0</v>
      </c>
      <c r="G437" s="291">
        <v>0.49760571723053171</v>
      </c>
      <c r="H437" s="291">
        <v>4.7434206186092451</v>
      </c>
      <c r="I437" s="291">
        <v>2.613682249061049</v>
      </c>
      <c r="J437" s="291">
        <v>1.6645290893721087E-2</v>
      </c>
      <c r="K437" s="291">
        <v>0.25561068037531764</v>
      </c>
      <c r="L437" s="291">
        <v>0.51579320475122126</v>
      </c>
      <c r="M437" s="307">
        <f t="shared" si="6"/>
        <v>8.6427577609210857</v>
      </c>
    </row>
    <row r="438" spans="1:13" ht="13.15">
      <c r="A438" s="2" t="s">
        <v>115</v>
      </c>
      <c r="B438" s="2" t="s">
        <v>161</v>
      </c>
      <c r="C438" s="2" t="s">
        <v>162</v>
      </c>
      <c r="D438" s="2" t="s">
        <v>85</v>
      </c>
      <c r="E438" s="2" t="s">
        <v>79</v>
      </c>
      <c r="F438" s="291">
        <v>0</v>
      </c>
      <c r="G438" s="291">
        <v>0</v>
      </c>
      <c r="H438" s="291">
        <v>2.9034771090193159</v>
      </c>
      <c r="I438" s="291">
        <v>5.3824223659305073</v>
      </c>
      <c r="J438" s="291">
        <v>18.657647546430358</v>
      </c>
      <c r="K438" s="291">
        <v>34.320017539350445</v>
      </c>
      <c r="L438" s="291">
        <v>34.09919425977013</v>
      </c>
      <c r="M438" s="307">
        <f t="shared" si="6"/>
        <v>95.362758820500758</v>
      </c>
    </row>
    <row r="439" spans="1:13" ht="13.15">
      <c r="A439" s="2" t="s">
        <v>115</v>
      </c>
      <c r="B439" s="2" t="s">
        <v>163</v>
      </c>
      <c r="C439" s="2" t="s">
        <v>164</v>
      </c>
      <c r="D439" s="2" t="s">
        <v>85</v>
      </c>
      <c r="E439" s="2" t="s">
        <v>79</v>
      </c>
      <c r="F439" s="291">
        <v>0</v>
      </c>
      <c r="G439" s="291">
        <v>0</v>
      </c>
      <c r="H439" s="291">
        <v>6.6159812206209292</v>
      </c>
      <c r="I439" s="291">
        <v>8.8655106856461519</v>
      </c>
      <c r="J439" s="291">
        <v>9.1858154010624418</v>
      </c>
      <c r="K439" s="291">
        <v>7.6339121035890853</v>
      </c>
      <c r="L439" s="291">
        <v>5.1577002914487551</v>
      </c>
      <c r="M439" s="309">
        <f t="shared" si="6"/>
        <v>37.458919702367361</v>
      </c>
    </row>
    <row r="440" spans="1:13" ht="13.15">
      <c r="A440" s="2" t="s">
        <v>115</v>
      </c>
      <c r="B440" s="2" t="s">
        <v>165</v>
      </c>
      <c r="C440" s="2" t="s">
        <v>166</v>
      </c>
      <c r="D440" s="2" t="s">
        <v>85</v>
      </c>
      <c r="E440" s="2" t="s">
        <v>79</v>
      </c>
      <c r="F440" s="291">
        <v>0</v>
      </c>
      <c r="G440" s="291">
        <v>0</v>
      </c>
      <c r="H440" s="291">
        <v>0</v>
      </c>
      <c r="I440" s="291">
        <v>0</v>
      </c>
      <c r="J440" s="291">
        <v>0</v>
      </c>
      <c r="K440" s="291">
        <v>0</v>
      </c>
      <c r="L440" s="291">
        <v>0</v>
      </c>
      <c r="M440" s="307">
        <f t="shared" si="6"/>
        <v>0</v>
      </c>
    </row>
    <row r="441" spans="1:13" ht="13.15">
      <c r="A441" s="2" t="s">
        <v>115</v>
      </c>
      <c r="B441" s="2" t="s">
        <v>167</v>
      </c>
      <c r="C441" s="2" t="s">
        <v>168</v>
      </c>
      <c r="D441" s="2" t="s">
        <v>85</v>
      </c>
      <c r="E441" s="2" t="s">
        <v>79</v>
      </c>
      <c r="F441" s="291">
        <v>2.8793305143540113</v>
      </c>
      <c r="G441" s="291">
        <v>44.720145770617243</v>
      </c>
      <c r="H441" s="291">
        <v>249.58442362760587</v>
      </c>
      <c r="I441" s="291">
        <v>356.91591885050724</v>
      </c>
      <c r="J441" s="291">
        <v>372.31813045473831</v>
      </c>
      <c r="K441" s="291">
        <v>302.00620307200114</v>
      </c>
      <c r="L441" s="291">
        <v>108.44733533703911</v>
      </c>
      <c r="M441" s="307">
        <f t="shared" si="6"/>
        <v>1436.871487626863</v>
      </c>
    </row>
    <row r="442" spans="1:13" ht="13.15">
      <c r="A442" s="2" t="s">
        <v>115</v>
      </c>
      <c r="B442" s="2" t="s">
        <v>169</v>
      </c>
      <c r="C442" s="2" t="s">
        <v>170</v>
      </c>
      <c r="D442" s="2" t="s">
        <v>85</v>
      </c>
      <c r="E442" s="2" t="s">
        <v>79</v>
      </c>
      <c r="F442" s="291">
        <v>0</v>
      </c>
      <c r="G442" s="291">
        <v>0</v>
      </c>
      <c r="H442" s="291">
        <v>0</v>
      </c>
      <c r="I442" s="291">
        <v>0</v>
      </c>
      <c r="J442" s="291">
        <v>0</v>
      </c>
      <c r="K442" s="291">
        <v>0</v>
      </c>
      <c r="L442" s="291">
        <v>0</v>
      </c>
      <c r="M442" s="307">
        <f t="shared" si="6"/>
        <v>0</v>
      </c>
    </row>
    <row r="443" spans="1:13" ht="13.15">
      <c r="A443" s="2" t="s">
        <v>115</v>
      </c>
      <c r="B443" s="2" t="s">
        <v>171</v>
      </c>
      <c r="C443" s="2" t="s">
        <v>172</v>
      </c>
      <c r="D443" s="2" t="s">
        <v>85</v>
      </c>
      <c r="E443" s="2" t="s">
        <v>79</v>
      </c>
      <c r="F443" s="291">
        <v>0</v>
      </c>
      <c r="G443" s="291">
        <v>0.41002711099795797</v>
      </c>
      <c r="H443" s="291">
        <v>2.1528871578215529</v>
      </c>
      <c r="I443" s="291">
        <v>1.9160409022381708</v>
      </c>
      <c r="J443" s="291">
        <v>0.8344922720884892</v>
      </c>
      <c r="K443" s="291">
        <v>9.135895040030366E-2</v>
      </c>
      <c r="L443" s="291">
        <v>9.077112485437322E-2</v>
      </c>
      <c r="M443" s="307">
        <f t="shared" si="6"/>
        <v>5.4955775184008484</v>
      </c>
    </row>
    <row r="444" spans="1:13" ht="13.15">
      <c r="A444" s="2" t="s">
        <v>115</v>
      </c>
      <c r="B444" s="2" t="s">
        <v>173</v>
      </c>
      <c r="C444" s="2" t="s">
        <v>174</v>
      </c>
      <c r="D444" s="2" t="s">
        <v>85</v>
      </c>
      <c r="E444" s="2" t="s">
        <v>79</v>
      </c>
      <c r="F444" s="291">
        <v>0</v>
      </c>
      <c r="G444" s="291">
        <v>0</v>
      </c>
      <c r="H444" s="291">
        <v>0</v>
      </c>
      <c r="I444" s="291">
        <v>0</v>
      </c>
      <c r="J444" s="291">
        <v>0</v>
      </c>
      <c r="K444" s="291">
        <v>0</v>
      </c>
      <c r="L444" s="291">
        <v>0</v>
      </c>
      <c r="M444" s="307">
        <f t="shared" si="6"/>
        <v>0</v>
      </c>
    </row>
    <row r="445" spans="1:13" ht="13.15">
      <c r="A445" s="2" t="s">
        <v>115</v>
      </c>
      <c r="B445" s="2" t="s">
        <v>175</v>
      </c>
      <c r="C445" s="2" t="s">
        <v>176</v>
      </c>
      <c r="D445" s="2" t="s">
        <v>85</v>
      </c>
      <c r="E445" s="2" t="s">
        <v>79</v>
      </c>
      <c r="F445" s="291">
        <v>0</v>
      </c>
      <c r="G445" s="291">
        <v>0</v>
      </c>
      <c r="H445" s="291">
        <v>4.4222043704553668E-2</v>
      </c>
      <c r="I445" s="291">
        <v>0</v>
      </c>
      <c r="J445" s="291">
        <v>0</v>
      </c>
      <c r="K445" s="291">
        <v>0</v>
      </c>
      <c r="L445" s="291">
        <v>0</v>
      </c>
      <c r="M445" s="307">
        <f t="shared" si="6"/>
        <v>4.4222043704553668E-2</v>
      </c>
    </row>
    <row r="446" spans="1:13" ht="13.15">
      <c r="A446" s="2" t="s">
        <v>115</v>
      </c>
      <c r="B446" s="2" t="s">
        <v>177</v>
      </c>
      <c r="C446" s="2" t="s">
        <v>178</v>
      </c>
      <c r="D446" s="2" t="s">
        <v>85</v>
      </c>
      <c r="E446" s="2" t="s">
        <v>79</v>
      </c>
      <c r="F446" s="291">
        <v>0</v>
      </c>
      <c r="G446" s="291">
        <v>10.633397599803118</v>
      </c>
      <c r="H446" s="291">
        <v>63.544805583180171</v>
      </c>
      <c r="I446" s="291">
        <v>76.181480838658558</v>
      </c>
      <c r="J446" s="291">
        <v>49.995610567486715</v>
      </c>
      <c r="K446" s="291">
        <v>80.826940026318979</v>
      </c>
      <c r="L446" s="291">
        <v>67.91762918654041</v>
      </c>
      <c r="M446" s="307">
        <f t="shared" si="6"/>
        <v>349.09986380198796</v>
      </c>
    </row>
    <row r="447" spans="1:13" ht="13.15">
      <c r="A447" s="2" t="s">
        <v>115</v>
      </c>
      <c r="B447" s="2" t="s">
        <v>179</v>
      </c>
      <c r="C447" s="2" t="s">
        <v>180</v>
      </c>
      <c r="D447" s="2" t="s">
        <v>85</v>
      </c>
      <c r="E447" s="2" t="s">
        <v>79</v>
      </c>
      <c r="F447" s="291">
        <v>0</v>
      </c>
      <c r="G447" s="291">
        <v>0.51627892879764548</v>
      </c>
      <c r="H447" s="291">
        <v>1.8309089954880031</v>
      </c>
      <c r="I447" s="291">
        <v>1.2255385510049286</v>
      </c>
      <c r="J447" s="291">
        <v>0</v>
      </c>
      <c r="K447" s="291">
        <v>0</v>
      </c>
      <c r="L447" s="291">
        <v>0</v>
      </c>
      <c r="M447" s="307">
        <f t="shared" si="6"/>
        <v>3.5727264752905774</v>
      </c>
    </row>
    <row r="448" spans="1:13" ht="13.15">
      <c r="A448" s="2" t="s">
        <v>115</v>
      </c>
      <c r="B448" s="2" t="s">
        <v>181</v>
      </c>
      <c r="C448" s="2" t="s">
        <v>182</v>
      </c>
      <c r="D448" s="2" t="s">
        <v>85</v>
      </c>
      <c r="E448" s="2" t="s">
        <v>79</v>
      </c>
      <c r="F448" s="291">
        <v>0</v>
      </c>
      <c r="G448" s="291">
        <v>4.1056102395098204</v>
      </c>
      <c r="H448" s="291">
        <v>15.918628648597778</v>
      </c>
      <c r="I448" s="291">
        <v>6.5866333341655201</v>
      </c>
      <c r="J448" s="291">
        <v>7.0796194456331483</v>
      </c>
      <c r="K448" s="291">
        <v>9.7345790082921209</v>
      </c>
      <c r="L448" s="291">
        <v>9.7876185800138913</v>
      </c>
      <c r="M448" s="309">
        <f t="shared" si="6"/>
        <v>53.212689256212279</v>
      </c>
    </row>
    <row r="449" spans="1:13" ht="13.15">
      <c r="A449" s="2" t="s">
        <v>115</v>
      </c>
      <c r="B449" s="2" t="s">
        <v>183</v>
      </c>
      <c r="C449" s="2" t="s">
        <v>184</v>
      </c>
      <c r="D449" s="2" t="s">
        <v>85</v>
      </c>
      <c r="E449" s="2" t="s">
        <v>79</v>
      </c>
      <c r="F449" s="291">
        <v>0</v>
      </c>
      <c r="G449" s="291">
        <v>0</v>
      </c>
      <c r="H449" s="291">
        <v>0</v>
      </c>
      <c r="I449" s="291">
        <v>0</v>
      </c>
      <c r="J449" s="291">
        <v>0</v>
      </c>
      <c r="K449" s="291">
        <v>0</v>
      </c>
      <c r="L449" s="291">
        <v>0</v>
      </c>
      <c r="M449" s="307">
        <f t="shared" si="6"/>
        <v>0</v>
      </c>
    </row>
    <row r="450" spans="1:13" ht="13.15">
      <c r="A450" s="2" t="s">
        <v>115</v>
      </c>
      <c r="B450" s="2" t="s">
        <v>185</v>
      </c>
      <c r="C450" s="2" t="s">
        <v>186</v>
      </c>
      <c r="D450" s="2" t="s">
        <v>85</v>
      </c>
      <c r="E450" s="2" t="s">
        <v>79</v>
      </c>
      <c r="F450" s="291">
        <v>0</v>
      </c>
      <c r="G450" s="291">
        <v>0</v>
      </c>
      <c r="H450" s="291">
        <v>0</v>
      </c>
      <c r="I450" s="291">
        <v>0</v>
      </c>
      <c r="J450" s="291">
        <v>0</v>
      </c>
      <c r="K450" s="291">
        <v>0</v>
      </c>
      <c r="L450" s="291">
        <v>0</v>
      </c>
      <c r="M450" s="307">
        <f t="shared" si="6"/>
        <v>0</v>
      </c>
    </row>
    <row r="451" spans="1:13" ht="13.15">
      <c r="A451" s="2" t="s">
        <v>115</v>
      </c>
      <c r="B451" s="2" t="s">
        <v>187</v>
      </c>
      <c r="C451" s="2" t="s">
        <v>188</v>
      </c>
      <c r="D451" s="2" t="s">
        <v>85</v>
      </c>
      <c r="E451" s="2" t="s">
        <v>79</v>
      </c>
      <c r="F451" s="291">
        <v>0</v>
      </c>
      <c r="G451" s="291">
        <v>0</v>
      </c>
      <c r="H451" s="291">
        <v>0</v>
      </c>
      <c r="I451" s="291">
        <v>0</v>
      </c>
      <c r="J451" s="291">
        <v>0</v>
      </c>
      <c r="K451" s="291">
        <v>0</v>
      </c>
      <c r="L451" s="291">
        <v>0</v>
      </c>
      <c r="M451" s="307">
        <f t="shared" si="6"/>
        <v>0</v>
      </c>
    </row>
    <row r="452" spans="1:13" ht="13.15">
      <c r="A452" s="2" t="s">
        <v>115</v>
      </c>
      <c r="B452" s="2" t="s">
        <v>189</v>
      </c>
      <c r="C452" s="2" t="s">
        <v>190</v>
      </c>
      <c r="D452" s="2" t="s">
        <v>85</v>
      </c>
      <c r="E452" s="2" t="s">
        <v>79</v>
      </c>
      <c r="F452" s="291">
        <v>0</v>
      </c>
      <c r="G452" s="291">
        <v>0</v>
      </c>
      <c r="H452" s="291">
        <v>0</v>
      </c>
      <c r="I452" s="291">
        <v>0</v>
      </c>
      <c r="J452" s="291">
        <v>0</v>
      </c>
      <c r="K452" s="291">
        <v>0</v>
      </c>
      <c r="L452" s="291">
        <v>0</v>
      </c>
      <c r="M452" s="307">
        <f t="shared" si="6"/>
        <v>0</v>
      </c>
    </row>
    <row r="453" spans="1:13" ht="13.15">
      <c r="A453" s="2" t="s">
        <v>115</v>
      </c>
      <c r="B453" s="2" t="s">
        <v>191</v>
      </c>
      <c r="C453" s="2" t="s">
        <v>192</v>
      </c>
      <c r="D453" s="2" t="s">
        <v>85</v>
      </c>
      <c r="E453" s="2" t="s">
        <v>79</v>
      </c>
      <c r="F453" s="291">
        <v>6.5549999999999997E-2</v>
      </c>
      <c r="G453" s="291">
        <v>1.9447924246520865</v>
      </c>
      <c r="H453" s="291">
        <v>5.8137271880774479</v>
      </c>
      <c r="I453" s="291">
        <v>5.6809664614235302</v>
      </c>
      <c r="J453" s="291">
        <v>5.5726965210040502</v>
      </c>
      <c r="K453" s="291">
        <v>0.66478214972135841</v>
      </c>
      <c r="L453" s="291">
        <v>0.66050478085522635</v>
      </c>
      <c r="M453" s="307">
        <f t="shared" ref="M453:M516" si="7">SUM(F453:L453)</f>
        <v>20.403019525733701</v>
      </c>
    </row>
    <row r="454" spans="1:13" ht="13.15">
      <c r="A454" s="2" t="s">
        <v>115</v>
      </c>
      <c r="B454" s="2" t="s">
        <v>193</v>
      </c>
      <c r="C454" s="2" t="s">
        <v>194</v>
      </c>
      <c r="D454" s="2" t="s">
        <v>85</v>
      </c>
      <c r="E454" s="2" t="s">
        <v>79</v>
      </c>
      <c r="F454" s="291">
        <v>0</v>
      </c>
      <c r="G454" s="291">
        <v>0.91797594051304965</v>
      </c>
      <c r="H454" s="291">
        <v>4.5218288201580785</v>
      </c>
      <c r="I454" s="291">
        <v>2.5570926870237014</v>
      </c>
      <c r="J454" s="291">
        <v>1.3367775517319767</v>
      </c>
      <c r="K454" s="291">
        <v>0.28253496559784774</v>
      </c>
      <c r="L454" s="291">
        <v>0.28071706740977448</v>
      </c>
      <c r="M454" s="307">
        <f t="shared" si="7"/>
        <v>9.8969270324344283</v>
      </c>
    </row>
    <row r="455" spans="1:13" ht="13.15">
      <c r="A455" s="2" t="s">
        <v>115</v>
      </c>
      <c r="B455" s="2" t="s">
        <v>195</v>
      </c>
      <c r="C455" s="2" t="s">
        <v>196</v>
      </c>
      <c r="D455" s="2" t="s">
        <v>85</v>
      </c>
      <c r="E455" s="2" t="s">
        <v>79</v>
      </c>
      <c r="F455" s="291">
        <v>0</v>
      </c>
      <c r="G455" s="291">
        <v>0</v>
      </c>
      <c r="H455" s="291">
        <v>0</v>
      </c>
      <c r="I455" s="291">
        <v>0</v>
      </c>
      <c r="J455" s="291">
        <v>0</v>
      </c>
      <c r="K455" s="291">
        <v>0</v>
      </c>
      <c r="L455" s="291">
        <v>0</v>
      </c>
      <c r="M455" s="307">
        <f t="shared" si="7"/>
        <v>0</v>
      </c>
    </row>
    <row r="456" spans="1:13" ht="13.15">
      <c r="A456" s="2" t="s">
        <v>115</v>
      </c>
      <c r="B456" s="2" t="s">
        <v>197</v>
      </c>
      <c r="C456" s="2" t="s">
        <v>198</v>
      </c>
      <c r="D456" s="2" t="s">
        <v>85</v>
      </c>
      <c r="E456" s="2" t="s">
        <v>79</v>
      </c>
      <c r="F456" s="291">
        <v>0</v>
      </c>
      <c r="G456" s="291">
        <v>0.18152656564569794</v>
      </c>
      <c r="H456" s="291">
        <v>1.0754560159943447</v>
      </c>
      <c r="I456" s="291">
        <v>2.4116510148779167</v>
      </c>
      <c r="J456" s="291">
        <v>0.82303341884490955</v>
      </c>
      <c r="K456" s="291">
        <v>0</v>
      </c>
      <c r="L456" s="291">
        <v>4.1403375240809399E-2</v>
      </c>
      <c r="M456" s="307">
        <f t="shared" si="7"/>
        <v>4.5330703906036787</v>
      </c>
    </row>
    <row r="457" spans="1:13" ht="13.15">
      <c r="A457" s="2" t="s">
        <v>115</v>
      </c>
      <c r="B457" s="2" t="s">
        <v>199</v>
      </c>
      <c r="C457" s="2" t="s">
        <v>200</v>
      </c>
      <c r="D457" s="2" t="s">
        <v>85</v>
      </c>
      <c r="E457" s="2" t="s">
        <v>79</v>
      </c>
      <c r="F457" s="291">
        <v>0</v>
      </c>
      <c r="G457" s="291">
        <v>6.5583737708190508</v>
      </c>
      <c r="H457" s="291">
        <v>50.462002691688838</v>
      </c>
      <c r="I457" s="291">
        <v>42.857665281597583</v>
      </c>
      <c r="J457" s="291">
        <v>26.852484287592457</v>
      </c>
      <c r="K457" s="291">
        <v>13.295974662298313</v>
      </c>
      <c r="L457" s="291">
        <v>13.311778727367281</v>
      </c>
      <c r="M457" s="307">
        <f t="shared" si="7"/>
        <v>153.33827942136352</v>
      </c>
    </row>
    <row r="458" spans="1:13" ht="13.15">
      <c r="A458" s="2" t="s">
        <v>115</v>
      </c>
      <c r="B458" s="2" t="s">
        <v>201</v>
      </c>
      <c r="C458" s="2" t="s">
        <v>202</v>
      </c>
      <c r="D458" s="2" t="s">
        <v>85</v>
      </c>
      <c r="E458" s="2" t="s">
        <v>79</v>
      </c>
      <c r="F458" s="291">
        <v>0</v>
      </c>
      <c r="G458" s="291">
        <v>0</v>
      </c>
      <c r="H458" s="291">
        <v>0</v>
      </c>
      <c r="I458" s="291">
        <v>0</v>
      </c>
      <c r="J458" s="291">
        <v>0</v>
      </c>
      <c r="K458" s="291">
        <v>0</v>
      </c>
      <c r="L458" s="291">
        <v>0</v>
      </c>
      <c r="M458" s="307">
        <f t="shared" si="7"/>
        <v>0</v>
      </c>
    </row>
    <row r="459" spans="1:13" ht="13.15">
      <c r="A459" s="2" t="s">
        <v>115</v>
      </c>
      <c r="B459" s="2" t="s">
        <v>203</v>
      </c>
      <c r="C459" s="2" t="s">
        <v>204</v>
      </c>
      <c r="D459" s="2" t="s">
        <v>85</v>
      </c>
      <c r="E459" s="2" t="s">
        <v>79</v>
      </c>
      <c r="F459" s="291">
        <v>0</v>
      </c>
      <c r="G459" s="291">
        <v>0</v>
      </c>
      <c r="H459" s="291">
        <v>0</v>
      </c>
      <c r="I459" s="291">
        <v>0</v>
      </c>
      <c r="J459" s="291">
        <v>0</v>
      </c>
      <c r="K459" s="291">
        <v>0</v>
      </c>
      <c r="L459" s="291">
        <v>0</v>
      </c>
      <c r="M459" s="307">
        <f t="shared" si="7"/>
        <v>0</v>
      </c>
    </row>
    <row r="460" spans="1:13" ht="13.15">
      <c r="A460" s="2" t="s">
        <v>115</v>
      </c>
      <c r="B460" s="2" t="s">
        <v>205</v>
      </c>
      <c r="C460" s="2" t="s">
        <v>206</v>
      </c>
      <c r="D460" s="2" t="s">
        <v>85</v>
      </c>
      <c r="E460" s="2" t="s">
        <v>79</v>
      </c>
      <c r="F460" s="291">
        <v>0</v>
      </c>
      <c r="G460" s="291">
        <v>0</v>
      </c>
      <c r="H460" s="291">
        <v>0</v>
      </c>
      <c r="I460" s="291">
        <v>0</v>
      </c>
      <c r="J460" s="291">
        <v>0</v>
      </c>
      <c r="K460" s="291">
        <v>0</v>
      </c>
      <c r="L460" s="291">
        <v>0</v>
      </c>
      <c r="M460" s="307">
        <f t="shared" si="7"/>
        <v>0</v>
      </c>
    </row>
    <row r="461" spans="1:13" ht="13.15">
      <c r="A461" s="2" t="s">
        <v>115</v>
      </c>
      <c r="B461" s="2" t="s">
        <v>207</v>
      </c>
      <c r="C461" s="2" t="s">
        <v>208</v>
      </c>
      <c r="D461" s="2" t="s">
        <v>85</v>
      </c>
      <c r="E461" s="2" t="s">
        <v>79</v>
      </c>
      <c r="F461" s="291">
        <v>0</v>
      </c>
      <c r="G461" s="291">
        <v>0</v>
      </c>
      <c r="H461" s="291">
        <v>0</v>
      </c>
      <c r="I461" s="291">
        <v>0</v>
      </c>
      <c r="J461" s="291">
        <v>0</v>
      </c>
      <c r="K461" s="291">
        <v>0</v>
      </c>
      <c r="L461" s="291">
        <v>0</v>
      </c>
      <c r="M461" s="307">
        <f t="shared" si="7"/>
        <v>0</v>
      </c>
    </row>
    <row r="462" spans="1:13" ht="13.15">
      <c r="A462" s="2" t="s">
        <v>115</v>
      </c>
      <c r="B462" s="2" t="s">
        <v>209</v>
      </c>
      <c r="C462" s="2" t="s">
        <v>210</v>
      </c>
      <c r="D462" s="2" t="s">
        <v>85</v>
      </c>
      <c r="E462" s="2" t="s">
        <v>79</v>
      </c>
      <c r="F462" s="291">
        <v>0</v>
      </c>
      <c r="G462" s="291">
        <v>0</v>
      </c>
      <c r="H462" s="291">
        <v>0</v>
      </c>
      <c r="I462" s="291">
        <v>0</v>
      </c>
      <c r="J462" s="291">
        <v>0</v>
      </c>
      <c r="K462" s="291">
        <v>0</v>
      </c>
      <c r="L462" s="291">
        <v>0</v>
      </c>
      <c r="M462" s="307">
        <f t="shared" si="7"/>
        <v>0</v>
      </c>
    </row>
    <row r="463" spans="1:13" ht="13.15">
      <c r="A463" s="2" t="s">
        <v>115</v>
      </c>
      <c r="B463" s="2" t="s">
        <v>211</v>
      </c>
      <c r="C463" s="2" t="s">
        <v>212</v>
      </c>
      <c r="D463" s="2" t="s">
        <v>85</v>
      </c>
      <c r="E463" s="2" t="s">
        <v>79</v>
      </c>
      <c r="F463" s="291">
        <v>0</v>
      </c>
      <c r="G463" s="291">
        <v>0</v>
      </c>
      <c r="H463" s="291">
        <v>0</v>
      </c>
      <c r="I463" s="291">
        <v>0</v>
      </c>
      <c r="J463" s="291">
        <v>0</v>
      </c>
      <c r="K463" s="291">
        <v>0</v>
      </c>
      <c r="L463" s="291">
        <v>0</v>
      </c>
      <c r="M463" s="307">
        <f t="shared" si="7"/>
        <v>0</v>
      </c>
    </row>
    <row r="464" spans="1:13" ht="13.15">
      <c r="A464" s="2" t="s">
        <v>115</v>
      </c>
      <c r="B464" s="2" t="s">
        <v>213</v>
      </c>
      <c r="C464" s="2" t="s">
        <v>214</v>
      </c>
      <c r="D464" s="2" t="s">
        <v>85</v>
      </c>
      <c r="E464" s="2" t="s">
        <v>79</v>
      </c>
      <c r="F464" s="291">
        <v>0</v>
      </c>
      <c r="G464" s="291">
        <v>0</v>
      </c>
      <c r="H464" s="291">
        <v>0</v>
      </c>
      <c r="I464" s="291">
        <v>0</v>
      </c>
      <c r="J464" s="291">
        <v>10.507864927749361</v>
      </c>
      <c r="K464" s="291">
        <v>13.821232865040043</v>
      </c>
      <c r="L464" s="291">
        <v>12.288219550413928</v>
      </c>
      <c r="M464" s="307">
        <f t="shared" si="7"/>
        <v>36.617317343203332</v>
      </c>
    </row>
    <row r="465" spans="1:13" ht="13.15">
      <c r="A465" s="2" t="s">
        <v>115</v>
      </c>
      <c r="B465" s="2" t="s">
        <v>215</v>
      </c>
      <c r="C465" s="2" t="s">
        <v>216</v>
      </c>
      <c r="D465" s="2" t="s">
        <v>85</v>
      </c>
      <c r="E465" s="2" t="s">
        <v>79</v>
      </c>
      <c r="F465" s="291">
        <v>0</v>
      </c>
      <c r="G465" s="291">
        <v>0</v>
      </c>
      <c r="H465" s="291">
        <v>0</v>
      </c>
      <c r="I465" s="291">
        <v>0</v>
      </c>
      <c r="J465" s="291">
        <v>0</v>
      </c>
      <c r="K465" s="291">
        <v>0</v>
      </c>
      <c r="L465" s="291">
        <v>0</v>
      </c>
      <c r="M465" s="307">
        <f t="shared" si="7"/>
        <v>0</v>
      </c>
    </row>
    <row r="466" spans="1:13" ht="13.15">
      <c r="A466" s="2" t="s">
        <v>115</v>
      </c>
      <c r="B466" s="2" t="s">
        <v>217</v>
      </c>
      <c r="C466" s="2" t="s">
        <v>218</v>
      </c>
      <c r="D466" s="2" t="s">
        <v>85</v>
      </c>
      <c r="E466" s="2" t="s">
        <v>79</v>
      </c>
      <c r="F466" s="291">
        <v>0</v>
      </c>
      <c r="G466" s="291">
        <v>0</v>
      </c>
      <c r="H466" s="291">
        <v>0</v>
      </c>
      <c r="I466" s="291">
        <v>0</v>
      </c>
      <c r="J466" s="291">
        <v>1.9775631823912052</v>
      </c>
      <c r="K466" s="291">
        <v>2.3306607899523732</v>
      </c>
      <c r="L466" s="291">
        <v>1.2808460698399813</v>
      </c>
      <c r="M466" s="307">
        <f t="shared" si="7"/>
        <v>5.5890700421835593</v>
      </c>
    </row>
    <row r="467" spans="1:13" ht="13.15">
      <c r="A467" s="2" t="s">
        <v>115</v>
      </c>
      <c r="B467" s="2" t="s">
        <v>219</v>
      </c>
      <c r="C467" s="2" t="s">
        <v>220</v>
      </c>
      <c r="D467" s="2" t="s">
        <v>85</v>
      </c>
      <c r="E467" s="2" t="s">
        <v>79</v>
      </c>
      <c r="F467" s="291">
        <v>0</v>
      </c>
      <c r="G467" s="291">
        <v>0</v>
      </c>
      <c r="H467" s="291">
        <v>0</v>
      </c>
      <c r="I467" s="291">
        <v>0</v>
      </c>
      <c r="J467" s="291">
        <v>0</v>
      </c>
      <c r="K467" s="291">
        <v>0</v>
      </c>
      <c r="L467" s="291">
        <v>0</v>
      </c>
      <c r="M467" s="307">
        <f t="shared" si="7"/>
        <v>0</v>
      </c>
    </row>
    <row r="468" spans="1:13" ht="13.15">
      <c r="A468" s="2" t="s">
        <v>115</v>
      </c>
      <c r="B468" s="2" t="s">
        <v>221</v>
      </c>
      <c r="C468" s="2" t="s">
        <v>222</v>
      </c>
      <c r="D468" s="2" t="s">
        <v>85</v>
      </c>
      <c r="E468" s="2" t="s">
        <v>79</v>
      </c>
      <c r="F468" s="291">
        <v>0</v>
      </c>
      <c r="G468" s="291">
        <v>0</v>
      </c>
      <c r="H468" s="291">
        <v>0</v>
      </c>
      <c r="I468" s="291">
        <v>0</v>
      </c>
      <c r="J468" s="291">
        <v>0</v>
      </c>
      <c r="K468" s="291">
        <v>0</v>
      </c>
      <c r="L468" s="291">
        <v>0</v>
      </c>
      <c r="M468" s="307">
        <f t="shared" si="7"/>
        <v>0</v>
      </c>
    </row>
    <row r="469" spans="1:13" ht="13.15">
      <c r="A469" s="2" t="s">
        <v>115</v>
      </c>
      <c r="B469" s="2" t="s">
        <v>223</v>
      </c>
      <c r="C469" s="2" t="s">
        <v>224</v>
      </c>
      <c r="D469" s="2" t="s">
        <v>85</v>
      </c>
      <c r="E469" s="2" t="s">
        <v>79</v>
      </c>
      <c r="F469" s="291">
        <v>0</v>
      </c>
      <c r="G469" s="291">
        <v>0</v>
      </c>
      <c r="H469" s="291">
        <v>6.3164099410825099</v>
      </c>
      <c r="I469" s="291">
        <v>9.4721114083712123</v>
      </c>
      <c r="J469" s="291">
        <v>7.4612587822551886</v>
      </c>
      <c r="K469" s="291">
        <v>0.50496521366889136</v>
      </c>
      <c r="L469" s="291">
        <v>0.50171614555788324</v>
      </c>
      <c r="M469" s="307">
        <f t="shared" si="7"/>
        <v>24.256461490935685</v>
      </c>
    </row>
    <row r="470" spans="1:13" ht="13.15">
      <c r="A470" s="2" t="s">
        <v>115</v>
      </c>
      <c r="B470" s="2" t="s">
        <v>225</v>
      </c>
      <c r="C470" s="2" t="s">
        <v>226</v>
      </c>
      <c r="D470" s="2" t="s">
        <v>85</v>
      </c>
      <c r="E470" s="2" t="s">
        <v>79</v>
      </c>
      <c r="F470" s="291">
        <v>0</v>
      </c>
      <c r="G470" s="291">
        <v>0</v>
      </c>
      <c r="H470" s="291">
        <v>3.6645656565033793</v>
      </c>
      <c r="I470" s="291">
        <v>2.7518092706608863</v>
      </c>
      <c r="J470" s="291">
        <v>1.9500538286725899</v>
      </c>
      <c r="K470" s="291">
        <v>5.7152131123897956E-2</v>
      </c>
      <c r="L470" s="291">
        <v>5.6784400512591787E-2</v>
      </c>
      <c r="M470" s="307">
        <f t="shared" si="7"/>
        <v>8.4803652874733455</v>
      </c>
    </row>
    <row r="471" spans="1:13" ht="13.15">
      <c r="A471" s="2" t="s">
        <v>115</v>
      </c>
      <c r="B471" s="2" t="s">
        <v>227</v>
      </c>
      <c r="C471" s="2" t="s">
        <v>228</v>
      </c>
      <c r="D471" s="2" t="s">
        <v>85</v>
      </c>
      <c r="E471" s="2" t="s">
        <v>79</v>
      </c>
      <c r="F471" s="291">
        <v>0</v>
      </c>
      <c r="G471" s="291">
        <v>0</v>
      </c>
      <c r="H471" s="291">
        <v>0</v>
      </c>
      <c r="I471" s="291">
        <v>0</v>
      </c>
      <c r="J471" s="291">
        <v>0</v>
      </c>
      <c r="K471" s="291">
        <v>0</v>
      </c>
      <c r="L471" s="291">
        <v>0</v>
      </c>
      <c r="M471" s="307">
        <f t="shared" si="7"/>
        <v>0</v>
      </c>
    </row>
    <row r="472" spans="1:13" ht="13.15">
      <c r="A472" s="2" t="s">
        <v>115</v>
      </c>
      <c r="B472" s="2" t="s">
        <v>229</v>
      </c>
      <c r="C472" s="2" t="s">
        <v>230</v>
      </c>
      <c r="D472" s="2" t="s">
        <v>85</v>
      </c>
      <c r="E472" s="2" t="s">
        <v>79</v>
      </c>
      <c r="F472" s="291">
        <v>0</v>
      </c>
      <c r="G472" s="291">
        <v>0</v>
      </c>
      <c r="H472" s="291">
        <v>2.24525951933306</v>
      </c>
      <c r="I472" s="291">
        <v>3.2488591579199988</v>
      </c>
      <c r="J472" s="291">
        <v>3.2289239336352793</v>
      </c>
      <c r="K472" s="291">
        <v>3.205077932678281</v>
      </c>
      <c r="L472" s="291">
        <v>3.1844556873780552</v>
      </c>
      <c r="M472" s="307">
        <f t="shared" si="7"/>
        <v>15.112576230944674</v>
      </c>
    </row>
    <row r="473" spans="1:13" ht="13.15">
      <c r="A473" s="2" t="s">
        <v>115</v>
      </c>
      <c r="B473" s="2" t="s">
        <v>231</v>
      </c>
      <c r="C473" s="2" t="s">
        <v>232</v>
      </c>
      <c r="D473" s="2" t="s">
        <v>85</v>
      </c>
      <c r="E473" s="2" t="s">
        <v>79</v>
      </c>
      <c r="F473" s="291">
        <v>0</v>
      </c>
      <c r="G473" s="291">
        <v>0</v>
      </c>
      <c r="H473" s="291">
        <v>0</v>
      </c>
      <c r="I473" s="291">
        <v>0</v>
      </c>
      <c r="J473" s="291">
        <v>0</v>
      </c>
      <c r="K473" s="291">
        <v>0</v>
      </c>
      <c r="L473" s="291">
        <v>0</v>
      </c>
      <c r="M473" s="307">
        <f t="shared" si="7"/>
        <v>0</v>
      </c>
    </row>
    <row r="474" spans="1:13" ht="13.15">
      <c r="A474" s="2" t="s">
        <v>115</v>
      </c>
      <c r="B474" s="2" t="s">
        <v>233</v>
      </c>
      <c r="C474" s="2" t="s">
        <v>234</v>
      </c>
      <c r="D474" s="2" t="s">
        <v>85</v>
      </c>
      <c r="E474" s="2" t="s">
        <v>79</v>
      </c>
      <c r="F474" s="291">
        <v>0</v>
      </c>
      <c r="G474" s="291">
        <v>0</v>
      </c>
      <c r="H474" s="291">
        <v>0</v>
      </c>
      <c r="I474" s="291">
        <v>0</v>
      </c>
      <c r="J474" s="291">
        <v>0</v>
      </c>
      <c r="K474" s="291">
        <v>0</v>
      </c>
      <c r="L474" s="291">
        <v>0</v>
      </c>
      <c r="M474" s="307">
        <f t="shared" si="7"/>
        <v>0</v>
      </c>
    </row>
    <row r="475" spans="1:13" ht="13.15">
      <c r="A475" s="2" t="s">
        <v>115</v>
      </c>
      <c r="B475" s="2" t="s">
        <v>235</v>
      </c>
      <c r="C475" s="2" t="s">
        <v>236</v>
      </c>
      <c r="D475" s="2" t="s">
        <v>85</v>
      </c>
      <c r="E475" s="2" t="s">
        <v>79</v>
      </c>
      <c r="F475" s="291">
        <v>0</v>
      </c>
      <c r="G475" s="291">
        <v>0</v>
      </c>
      <c r="H475" s="291">
        <v>8.8939295065373347</v>
      </c>
      <c r="I475" s="291">
        <v>9.8941616386430873</v>
      </c>
      <c r="J475" s="291">
        <v>1.3668721228020373</v>
      </c>
      <c r="K475" s="291">
        <v>1.3567776038172759</v>
      </c>
      <c r="L475" s="291">
        <v>1.347082118849475</v>
      </c>
      <c r="M475" s="307">
        <f t="shared" si="7"/>
        <v>22.858822990649209</v>
      </c>
    </row>
    <row r="476" spans="1:13" ht="13.15">
      <c r="A476" s="2" t="s">
        <v>115</v>
      </c>
      <c r="B476" s="2" t="s">
        <v>237</v>
      </c>
      <c r="C476" s="2" t="s">
        <v>238</v>
      </c>
      <c r="D476" s="2" t="s">
        <v>85</v>
      </c>
      <c r="E476" s="2" t="s">
        <v>79</v>
      </c>
      <c r="F476" s="291">
        <v>0</v>
      </c>
      <c r="G476" s="291">
        <v>0</v>
      </c>
      <c r="H476" s="291">
        <v>0</v>
      </c>
      <c r="I476" s="291">
        <v>0</v>
      </c>
      <c r="J476" s="291">
        <v>0</v>
      </c>
      <c r="K476" s="291">
        <v>0</v>
      </c>
      <c r="L476" s="291">
        <v>0</v>
      </c>
      <c r="M476" s="307">
        <f t="shared" si="7"/>
        <v>0</v>
      </c>
    </row>
    <row r="477" spans="1:13" ht="13.15">
      <c r="A477" s="2" t="s">
        <v>115</v>
      </c>
      <c r="B477" s="2" t="s">
        <v>239</v>
      </c>
      <c r="C477" s="2" t="s">
        <v>240</v>
      </c>
      <c r="D477" s="2" t="s">
        <v>85</v>
      </c>
      <c r="E477" s="2" t="s">
        <v>79</v>
      </c>
      <c r="F477" s="291">
        <v>0</v>
      </c>
      <c r="G477" s="291">
        <v>0</v>
      </c>
      <c r="H477" s="291">
        <v>48.748043858380157</v>
      </c>
      <c r="I477" s="291">
        <v>28.617982651837938</v>
      </c>
      <c r="J477" s="291">
        <v>2.9847452004776862</v>
      </c>
      <c r="K477" s="291">
        <v>0</v>
      </c>
      <c r="L477" s="291">
        <v>0</v>
      </c>
      <c r="M477" s="307">
        <f t="shared" si="7"/>
        <v>80.350771710695781</v>
      </c>
    </row>
    <row r="478" spans="1:13" ht="13.15">
      <c r="A478" s="2" t="s">
        <v>241</v>
      </c>
      <c r="B478" s="2" t="s">
        <v>155</v>
      </c>
      <c r="C478" s="2" t="s">
        <v>156</v>
      </c>
      <c r="D478" s="2" t="s">
        <v>85</v>
      </c>
      <c r="E478" s="2" t="s">
        <v>79</v>
      </c>
      <c r="F478" s="292" t="s">
        <v>91</v>
      </c>
      <c r="G478" s="292" t="s">
        <v>91</v>
      </c>
      <c r="H478" s="292" t="s">
        <v>91</v>
      </c>
      <c r="I478" s="292" t="s">
        <v>91</v>
      </c>
      <c r="J478" s="292" t="s">
        <v>91</v>
      </c>
      <c r="K478" s="292" t="s">
        <v>91</v>
      </c>
      <c r="L478" s="292" t="s">
        <v>91</v>
      </c>
      <c r="M478" s="307">
        <f t="shared" si="7"/>
        <v>0</v>
      </c>
    </row>
    <row r="479" spans="1:13" ht="13.15">
      <c r="A479" s="2" t="s">
        <v>241</v>
      </c>
      <c r="B479" s="2" t="s">
        <v>157</v>
      </c>
      <c r="C479" s="2" t="s">
        <v>158</v>
      </c>
      <c r="D479" s="2" t="s">
        <v>85</v>
      </c>
      <c r="E479" s="2" t="s">
        <v>79</v>
      </c>
      <c r="F479" s="292" t="s">
        <v>91</v>
      </c>
      <c r="G479" s="292" t="s">
        <v>91</v>
      </c>
      <c r="H479" s="292" t="s">
        <v>91</v>
      </c>
      <c r="I479" s="292" t="s">
        <v>91</v>
      </c>
      <c r="J479" s="292" t="s">
        <v>91</v>
      </c>
      <c r="K479" s="292" t="s">
        <v>91</v>
      </c>
      <c r="L479" s="292" t="s">
        <v>91</v>
      </c>
      <c r="M479" s="307">
        <f t="shared" si="7"/>
        <v>0</v>
      </c>
    </row>
    <row r="480" spans="1:13" ht="13.15">
      <c r="A480" s="2" t="s">
        <v>241</v>
      </c>
      <c r="B480" s="2" t="s">
        <v>159</v>
      </c>
      <c r="C480" s="2" t="s">
        <v>160</v>
      </c>
      <c r="D480" s="2" t="s">
        <v>85</v>
      </c>
      <c r="E480" s="2" t="s">
        <v>79</v>
      </c>
      <c r="F480" s="292" t="s">
        <v>91</v>
      </c>
      <c r="G480" s="292" t="s">
        <v>91</v>
      </c>
      <c r="H480" s="292" t="s">
        <v>91</v>
      </c>
      <c r="I480" s="292" t="s">
        <v>91</v>
      </c>
      <c r="J480" s="292" t="s">
        <v>91</v>
      </c>
      <c r="K480" s="292" t="s">
        <v>91</v>
      </c>
      <c r="L480" s="292" t="s">
        <v>91</v>
      </c>
      <c r="M480" s="307">
        <f t="shared" si="7"/>
        <v>0</v>
      </c>
    </row>
    <row r="481" spans="1:13" ht="13.15">
      <c r="A481" s="2" t="s">
        <v>241</v>
      </c>
      <c r="B481" s="2" t="s">
        <v>161</v>
      </c>
      <c r="C481" s="2" t="s">
        <v>162</v>
      </c>
      <c r="D481" s="2" t="s">
        <v>85</v>
      </c>
      <c r="E481" s="2" t="s">
        <v>79</v>
      </c>
      <c r="F481" s="292" t="s">
        <v>91</v>
      </c>
      <c r="G481" s="292" t="s">
        <v>91</v>
      </c>
      <c r="H481" s="292" t="s">
        <v>91</v>
      </c>
      <c r="I481" s="292" t="s">
        <v>91</v>
      </c>
      <c r="J481" s="292" t="s">
        <v>91</v>
      </c>
      <c r="K481" s="292" t="s">
        <v>91</v>
      </c>
      <c r="L481" s="292" t="s">
        <v>91</v>
      </c>
      <c r="M481" s="307">
        <f t="shared" si="7"/>
        <v>0</v>
      </c>
    </row>
    <row r="482" spans="1:13" ht="13.15">
      <c r="A482" s="2" t="s">
        <v>241</v>
      </c>
      <c r="B482" s="2" t="s">
        <v>163</v>
      </c>
      <c r="C482" s="2" t="s">
        <v>164</v>
      </c>
      <c r="D482" s="2" t="s">
        <v>85</v>
      </c>
      <c r="E482" s="2" t="s">
        <v>79</v>
      </c>
      <c r="F482" s="292" t="s">
        <v>91</v>
      </c>
      <c r="G482" s="292" t="s">
        <v>91</v>
      </c>
      <c r="H482" s="292" t="s">
        <v>91</v>
      </c>
      <c r="I482" s="292" t="s">
        <v>91</v>
      </c>
      <c r="J482" s="292" t="s">
        <v>91</v>
      </c>
      <c r="K482" s="292" t="s">
        <v>91</v>
      </c>
      <c r="L482" s="292" t="s">
        <v>91</v>
      </c>
      <c r="M482" s="307">
        <f t="shared" si="7"/>
        <v>0</v>
      </c>
    </row>
    <row r="483" spans="1:13" ht="13.15">
      <c r="A483" s="2" t="s">
        <v>241</v>
      </c>
      <c r="B483" s="2" t="s">
        <v>165</v>
      </c>
      <c r="C483" s="2" t="s">
        <v>166</v>
      </c>
      <c r="D483" s="2" t="s">
        <v>85</v>
      </c>
      <c r="E483" s="2" t="s">
        <v>79</v>
      </c>
      <c r="F483" s="292" t="s">
        <v>91</v>
      </c>
      <c r="G483" s="292" t="s">
        <v>91</v>
      </c>
      <c r="H483" s="292" t="s">
        <v>91</v>
      </c>
      <c r="I483" s="292" t="s">
        <v>91</v>
      </c>
      <c r="J483" s="292" t="s">
        <v>91</v>
      </c>
      <c r="K483" s="292" t="s">
        <v>91</v>
      </c>
      <c r="L483" s="292" t="s">
        <v>91</v>
      </c>
      <c r="M483" s="307">
        <f t="shared" si="7"/>
        <v>0</v>
      </c>
    </row>
    <row r="484" spans="1:13" ht="13.15">
      <c r="A484" s="2" t="s">
        <v>241</v>
      </c>
      <c r="B484" s="2" t="s">
        <v>167</v>
      </c>
      <c r="C484" s="2" t="s">
        <v>168</v>
      </c>
      <c r="D484" s="2" t="s">
        <v>85</v>
      </c>
      <c r="E484" s="2" t="s">
        <v>79</v>
      </c>
      <c r="F484" s="292" t="s">
        <v>91</v>
      </c>
      <c r="G484" s="292" t="s">
        <v>91</v>
      </c>
      <c r="H484" s="292" t="s">
        <v>91</v>
      </c>
      <c r="I484" s="292" t="s">
        <v>91</v>
      </c>
      <c r="J484" s="292" t="s">
        <v>91</v>
      </c>
      <c r="K484" s="292" t="s">
        <v>91</v>
      </c>
      <c r="L484" s="292" t="s">
        <v>91</v>
      </c>
      <c r="M484" s="307">
        <f t="shared" si="7"/>
        <v>0</v>
      </c>
    </row>
    <row r="485" spans="1:13" ht="13.15">
      <c r="A485" s="2" t="s">
        <v>241</v>
      </c>
      <c r="B485" s="2" t="s">
        <v>169</v>
      </c>
      <c r="C485" s="2" t="s">
        <v>170</v>
      </c>
      <c r="D485" s="2" t="s">
        <v>85</v>
      </c>
      <c r="E485" s="2" t="s">
        <v>79</v>
      </c>
      <c r="F485" s="292" t="s">
        <v>91</v>
      </c>
      <c r="G485" s="292" t="s">
        <v>91</v>
      </c>
      <c r="H485" s="292" t="s">
        <v>91</v>
      </c>
      <c r="I485" s="292" t="s">
        <v>91</v>
      </c>
      <c r="J485" s="292" t="s">
        <v>91</v>
      </c>
      <c r="K485" s="292" t="s">
        <v>91</v>
      </c>
      <c r="L485" s="292" t="s">
        <v>91</v>
      </c>
      <c r="M485" s="307">
        <f t="shared" si="7"/>
        <v>0</v>
      </c>
    </row>
    <row r="486" spans="1:13" ht="13.15">
      <c r="A486" s="2" t="s">
        <v>241</v>
      </c>
      <c r="B486" s="2" t="s">
        <v>171</v>
      </c>
      <c r="C486" s="2" t="s">
        <v>172</v>
      </c>
      <c r="D486" s="2" t="s">
        <v>85</v>
      </c>
      <c r="E486" s="2" t="s">
        <v>79</v>
      </c>
      <c r="F486" s="292" t="s">
        <v>91</v>
      </c>
      <c r="G486" s="292" t="s">
        <v>91</v>
      </c>
      <c r="H486" s="292" t="s">
        <v>91</v>
      </c>
      <c r="I486" s="292" t="s">
        <v>91</v>
      </c>
      <c r="J486" s="292" t="s">
        <v>91</v>
      </c>
      <c r="K486" s="292" t="s">
        <v>91</v>
      </c>
      <c r="L486" s="292" t="s">
        <v>91</v>
      </c>
      <c r="M486" s="307">
        <f t="shared" si="7"/>
        <v>0</v>
      </c>
    </row>
    <row r="487" spans="1:13" ht="13.15">
      <c r="A487" s="2" t="s">
        <v>241</v>
      </c>
      <c r="B487" s="2" t="s">
        <v>173</v>
      </c>
      <c r="C487" s="2" t="s">
        <v>174</v>
      </c>
      <c r="D487" s="2" t="s">
        <v>85</v>
      </c>
      <c r="E487" s="2" t="s">
        <v>79</v>
      </c>
      <c r="F487" s="292" t="s">
        <v>91</v>
      </c>
      <c r="G487" s="292" t="s">
        <v>91</v>
      </c>
      <c r="H487" s="292" t="s">
        <v>91</v>
      </c>
      <c r="I487" s="292" t="s">
        <v>91</v>
      </c>
      <c r="J487" s="292" t="s">
        <v>91</v>
      </c>
      <c r="K487" s="292" t="s">
        <v>91</v>
      </c>
      <c r="L487" s="292" t="s">
        <v>91</v>
      </c>
      <c r="M487" s="307">
        <f t="shared" si="7"/>
        <v>0</v>
      </c>
    </row>
    <row r="488" spans="1:13" ht="13.15">
      <c r="A488" s="2" t="s">
        <v>241</v>
      </c>
      <c r="B488" s="2" t="s">
        <v>175</v>
      </c>
      <c r="C488" s="2" t="s">
        <v>176</v>
      </c>
      <c r="D488" s="2" t="s">
        <v>85</v>
      </c>
      <c r="E488" s="2" t="s">
        <v>79</v>
      </c>
      <c r="F488" s="292" t="s">
        <v>91</v>
      </c>
      <c r="G488" s="292" t="s">
        <v>91</v>
      </c>
      <c r="H488" s="292" t="s">
        <v>91</v>
      </c>
      <c r="I488" s="292" t="s">
        <v>91</v>
      </c>
      <c r="J488" s="292" t="s">
        <v>91</v>
      </c>
      <c r="K488" s="292" t="s">
        <v>91</v>
      </c>
      <c r="L488" s="292" t="s">
        <v>91</v>
      </c>
      <c r="M488" s="307">
        <f t="shared" si="7"/>
        <v>0</v>
      </c>
    </row>
    <row r="489" spans="1:13" ht="13.15">
      <c r="A489" s="2" t="s">
        <v>241</v>
      </c>
      <c r="B489" s="2" t="s">
        <v>177</v>
      </c>
      <c r="C489" s="2" t="s">
        <v>178</v>
      </c>
      <c r="D489" s="2" t="s">
        <v>85</v>
      </c>
      <c r="E489" s="2" t="s">
        <v>79</v>
      </c>
      <c r="F489" s="292" t="s">
        <v>91</v>
      </c>
      <c r="G489" s="292" t="s">
        <v>91</v>
      </c>
      <c r="H489" s="292" t="s">
        <v>91</v>
      </c>
      <c r="I489" s="292" t="s">
        <v>91</v>
      </c>
      <c r="J489" s="292" t="s">
        <v>91</v>
      </c>
      <c r="K489" s="292" t="s">
        <v>91</v>
      </c>
      <c r="L489" s="292" t="s">
        <v>91</v>
      </c>
      <c r="M489" s="307">
        <f t="shared" si="7"/>
        <v>0</v>
      </c>
    </row>
    <row r="490" spans="1:13" ht="13.15">
      <c r="A490" s="2" t="s">
        <v>241</v>
      </c>
      <c r="B490" s="2" t="s">
        <v>179</v>
      </c>
      <c r="C490" s="2" t="s">
        <v>180</v>
      </c>
      <c r="D490" s="2" t="s">
        <v>85</v>
      </c>
      <c r="E490" s="2" t="s">
        <v>79</v>
      </c>
      <c r="F490" s="292" t="s">
        <v>91</v>
      </c>
      <c r="G490" s="292" t="s">
        <v>91</v>
      </c>
      <c r="H490" s="292" t="s">
        <v>91</v>
      </c>
      <c r="I490" s="292" t="s">
        <v>91</v>
      </c>
      <c r="J490" s="292" t="s">
        <v>91</v>
      </c>
      <c r="K490" s="292" t="s">
        <v>91</v>
      </c>
      <c r="L490" s="292" t="s">
        <v>91</v>
      </c>
      <c r="M490" s="307">
        <f t="shared" si="7"/>
        <v>0</v>
      </c>
    </row>
    <row r="491" spans="1:13" ht="13.15">
      <c r="A491" s="2" t="s">
        <v>241</v>
      </c>
      <c r="B491" s="2" t="s">
        <v>181</v>
      </c>
      <c r="C491" s="2" t="s">
        <v>182</v>
      </c>
      <c r="D491" s="2" t="s">
        <v>85</v>
      </c>
      <c r="E491" s="2" t="s">
        <v>79</v>
      </c>
      <c r="F491" s="292" t="s">
        <v>91</v>
      </c>
      <c r="G491" s="292" t="s">
        <v>91</v>
      </c>
      <c r="H491" s="292" t="s">
        <v>91</v>
      </c>
      <c r="I491" s="292" t="s">
        <v>91</v>
      </c>
      <c r="J491" s="292" t="s">
        <v>91</v>
      </c>
      <c r="K491" s="292" t="s">
        <v>91</v>
      </c>
      <c r="L491" s="292" t="s">
        <v>91</v>
      </c>
      <c r="M491" s="307">
        <f t="shared" si="7"/>
        <v>0</v>
      </c>
    </row>
    <row r="492" spans="1:13" ht="13.15">
      <c r="A492" s="2" t="s">
        <v>241</v>
      </c>
      <c r="B492" s="2" t="s">
        <v>183</v>
      </c>
      <c r="C492" s="2" t="s">
        <v>184</v>
      </c>
      <c r="D492" s="2" t="s">
        <v>85</v>
      </c>
      <c r="E492" s="2" t="s">
        <v>79</v>
      </c>
      <c r="F492" s="292" t="s">
        <v>91</v>
      </c>
      <c r="G492" s="292" t="s">
        <v>91</v>
      </c>
      <c r="H492" s="292" t="s">
        <v>91</v>
      </c>
      <c r="I492" s="292" t="s">
        <v>91</v>
      </c>
      <c r="J492" s="292" t="s">
        <v>91</v>
      </c>
      <c r="K492" s="292" t="s">
        <v>91</v>
      </c>
      <c r="L492" s="292" t="s">
        <v>91</v>
      </c>
      <c r="M492" s="307">
        <f t="shared" si="7"/>
        <v>0</v>
      </c>
    </row>
    <row r="493" spans="1:13" ht="13.15">
      <c r="A493" s="2" t="s">
        <v>241</v>
      </c>
      <c r="B493" s="2" t="s">
        <v>185</v>
      </c>
      <c r="C493" s="2" t="s">
        <v>186</v>
      </c>
      <c r="D493" s="2" t="s">
        <v>85</v>
      </c>
      <c r="E493" s="2" t="s">
        <v>79</v>
      </c>
      <c r="F493" s="292" t="s">
        <v>91</v>
      </c>
      <c r="G493" s="292" t="s">
        <v>91</v>
      </c>
      <c r="H493" s="292" t="s">
        <v>91</v>
      </c>
      <c r="I493" s="292" t="s">
        <v>91</v>
      </c>
      <c r="J493" s="292" t="s">
        <v>91</v>
      </c>
      <c r="K493" s="292" t="s">
        <v>91</v>
      </c>
      <c r="L493" s="292" t="s">
        <v>91</v>
      </c>
      <c r="M493" s="307">
        <f t="shared" si="7"/>
        <v>0</v>
      </c>
    </row>
    <row r="494" spans="1:13" ht="13.15">
      <c r="A494" s="2" t="s">
        <v>241</v>
      </c>
      <c r="B494" s="2" t="s">
        <v>187</v>
      </c>
      <c r="C494" s="2" t="s">
        <v>188</v>
      </c>
      <c r="D494" s="2" t="s">
        <v>85</v>
      </c>
      <c r="E494" s="2" t="s">
        <v>79</v>
      </c>
      <c r="F494" s="292" t="s">
        <v>91</v>
      </c>
      <c r="G494" s="292" t="s">
        <v>91</v>
      </c>
      <c r="H494" s="292" t="s">
        <v>91</v>
      </c>
      <c r="I494" s="292" t="s">
        <v>91</v>
      </c>
      <c r="J494" s="292" t="s">
        <v>91</v>
      </c>
      <c r="K494" s="292" t="s">
        <v>91</v>
      </c>
      <c r="L494" s="292" t="s">
        <v>91</v>
      </c>
      <c r="M494" s="307">
        <f t="shared" si="7"/>
        <v>0</v>
      </c>
    </row>
    <row r="495" spans="1:13" ht="13.15">
      <c r="A495" s="2" t="s">
        <v>241</v>
      </c>
      <c r="B495" s="2" t="s">
        <v>189</v>
      </c>
      <c r="C495" s="2" t="s">
        <v>190</v>
      </c>
      <c r="D495" s="2" t="s">
        <v>85</v>
      </c>
      <c r="E495" s="2" t="s">
        <v>79</v>
      </c>
      <c r="F495" s="292" t="s">
        <v>91</v>
      </c>
      <c r="G495" s="292" t="s">
        <v>91</v>
      </c>
      <c r="H495" s="292" t="s">
        <v>91</v>
      </c>
      <c r="I495" s="292" t="s">
        <v>91</v>
      </c>
      <c r="J495" s="292" t="s">
        <v>91</v>
      </c>
      <c r="K495" s="292" t="s">
        <v>91</v>
      </c>
      <c r="L495" s="292" t="s">
        <v>91</v>
      </c>
      <c r="M495" s="307">
        <f t="shared" si="7"/>
        <v>0</v>
      </c>
    </row>
    <row r="496" spans="1:13" ht="13.15">
      <c r="A496" s="2" t="s">
        <v>241</v>
      </c>
      <c r="B496" s="2" t="s">
        <v>191</v>
      </c>
      <c r="C496" s="2" t="s">
        <v>192</v>
      </c>
      <c r="D496" s="2" t="s">
        <v>85</v>
      </c>
      <c r="E496" s="2" t="s">
        <v>79</v>
      </c>
      <c r="F496" s="292" t="s">
        <v>91</v>
      </c>
      <c r="G496" s="292" t="s">
        <v>91</v>
      </c>
      <c r="H496" s="292" t="s">
        <v>91</v>
      </c>
      <c r="I496" s="292" t="s">
        <v>91</v>
      </c>
      <c r="J496" s="292" t="s">
        <v>91</v>
      </c>
      <c r="K496" s="292" t="s">
        <v>91</v>
      </c>
      <c r="L496" s="292" t="s">
        <v>91</v>
      </c>
      <c r="M496" s="307">
        <f t="shared" si="7"/>
        <v>0</v>
      </c>
    </row>
    <row r="497" spans="1:13" ht="13.15">
      <c r="A497" s="2" t="s">
        <v>241</v>
      </c>
      <c r="B497" s="2" t="s">
        <v>193</v>
      </c>
      <c r="C497" s="2" t="s">
        <v>194</v>
      </c>
      <c r="D497" s="2" t="s">
        <v>85</v>
      </c>
      <c r="E497" s="2" t="s">
        <v>79</v>
      </c>
      <c r="F497" s="292" t="s">
        <v>91</v>
      </c>
      <c r="G497" s="292" t="s">
        <v>91</v>
      </c>
      <c r="H497" s="292" t="s">
        <v>91</v>
      </c>
      <c r="I497" s="292" t="s">
        <v>91</v>
      </c>
      <c r="J497" s="292" t="s">
        <v>91</v>
      </c>
      <c r="K497" s="292" t="s">
        <v>91</v>
      </c>
      <c r="L497" s="292" t="s">
        <v>91</v>
      </c>
      <c r="M497" s="307">
        <f t="shared" si="7"/>
        <v>0</v>
      </c>
    </row>
    <row r="498" spans="1:13" ht="13.15">
      <c r="A498" s="2" t="s">
        <v>241</v>
      </c>
      <c r="B498" s="2" t="s">
        <v>195</v>
      </c>
      <c r="C498" s="2" t="s">
        <v>196</v>
      </c>
      <c r="D498" s="2" t="s">
        <v>85</v>
      </c>
      <c r="E498" s="2" t="s">
        <v>79</v>
      </c>
      <c r="F498" s="292" t="s">
        <v>91</v>
      </c>
      <c r="G498" s="292" t="s">
        <v>91</v>
      </c>
      <c r="H498" s="292" t="s">
        <v>91</v>
      </c>
      <c r="I498" s="292" t="s">
        <v>91</v>
      </c>
      <c r="J498" s="292" t="s">
        <v>91</v>
      </c>
      <c r="K498" s="292" t="s">
        <v>91</v>
      </c>
      <c r="L498" s="292" t="s">
        <v>91</v>
      </c>
      <c r="M498" s="307">
        <f t="shared" si="7"/>
        <v>0</v>
      </c>
    </row>
    <row r="499" spans="1:13" ht="13.15">
      <c r="A499" s="2" t="s">
        <v>241</v>
      </c>
      <c r="B499" s="2" t="s">
        <v>197</v>
      </c>
      <c r="C499" s="2" t="s">
        <v>198</v>
      </c>
      <c r="D499" s="2" t="s">
        <v>85</v>
      </c>
      <c r="E499" s="2" t="s">
        <v>79</v>
      </c>
      <c r="F499" s="292" t="s">
        <v>91</v>
      </c>
      <c r="G499" s="292" t="s">
        <v>91</v>
      </c>
      <c r="H499" s="292" t="s">
        <v>91</v>
      </c>
      <c r="I499" s="292" t="s">
        <v>91</v>
      </c>
      <c r="J499" s="292" t="s">
        <v>91</v>
      </c>
      <c r="K499" s="292" t="s">
        <v>91</v>
      </c>
      <c r="L499" s="292" t="s">
        <v>91</v>
      </c>
      <c r="M499" s="307">
        <f t="shared" si="7"/>
        <v>0</v>
      </c>
    </row>
    <row r="500" spans="1:13" ht="13.15">
      <c r="A500" s="2" t="s">
        <v>241</v>
      </c>
      <c r="B500" s="2" t="s">
        <v>199</v>
      </c>
      <c r="C500" s="2" t="s">
        <v>200</v>
      </c>
      <c r="D500" s="2" t="s">
        <v>85</v>
      </c>
      <c r="E500" s="2" t="s">
        <v>79</v>
      </c>
      <c r="F500" s="292" t="s">
        <v>91</v>
      </c>
      <c r="G500" s="292" t="s">
        <v>91</v>
      </c>
      <c r="H500" s="292" t="s">
        <v>91</v>
      </c>
      <c r="I500" s="292" t="s">
        <v>91</v>
      </c>
      <c r="J500" s="292" t="s">
        <v>91</v>
      </c>
      <c r="K500" s="292" t="s">
        <v>91</v>
      </c>
      <c r="L500" s="292" t="s">
        <v>91</v>
      </c>
      <c r="M500" s="307">
        <f t="shared" si="7"/>
        <v>0</v>
      </c>
    </row>
    <row r="501" spans="1:13" ht="13.15">
      <c r="A501" s="2" t="s">
        <v>241</v>
      </c>
      <c r="B501" s="2" t="s">
        <v>201</v>
      </c>
      <c r="C501" s="2" t="s">
        <v>202</v>
      </c>
      <c r="D501" s="2" t="s">
        <v>85</v>
      </c>
      <c r="E501" s="2" t="s">
        <v>79</v>
      </c>
      <c r="F501" s="292" t="s">
        <v>91</v>
      </c>
      <c r="G501" s="292" t="s">
        <v>91</v>
      </c>
      <c r="H501" s="292" t="s">
        <v>91</v>
      </c>
      <c r="I501" s="292" t="s">
        <v>91</v>
      </c>
      <c r="J501" s="292" t="s">
        <v>91</v>
      </c>
      <c r="K501" s="292" t="s">
        <v>91</v>
      </c>
      <c r="L501" s="292" t="s">
        <v>91</v>
      </c>
      <c r="M501" s="307">
        <f t="shared" si="7"/>
        <v>0</v>
      </c>
    </row>
    <row r="502" spans="1:13" ht="13.15">
      <c r="A502" s="2" t="s">
        <v>241</v>
      </c>
      <c r="B502" s="2" t="s">
        <v>203</v>
      </c>
      <c r="C502" s="2" t="s">
        <v>204</v>
      </c>
      <c r="D502" s="2" t="s">
        <v>85</v>
      </c>
      <c r="E502" s="2" t="s">
        <v>79</v>
      </c>
      <c r="F502" s="292" t="s">
        <v>91</v>
      </c>
      <c r="G502" s="292" t="s">
        <v>91</v>
      </c>
      <c r="H502" s="292" t="s">
        <v>91</v>
      </c>
      <c r="I502" s="292" t="s">
        <v>91</v>
      </c>
      <c r="J502" s="292" t="s">
        <v>91</v>
      </c>
      <c r="K502" s="292" t="s">
        <v>91</v>
      </c>
      <c r="L502" s="292" t="s">
        <v>91</v>
      </c>
      <c r="M502" s="307">
        <f t="shared" si="7"/>
        <v>0</v>
      </c>
    </row>
    <row r="503" spans="1:13" ht="13.15">
      <c r="A503" s="2" t="s">
        <v>241</v>
      </c>
      <c r="B503" s="2" t="s">
        <v>205</v>
      </c>
      <c r="C503" s="2" t="s">
        <v>206</v>
      </c>
      <c r="D503" s="2" t="s">
        <v>85</v>
      </c>
      <c r="E503" s="2" t="s">
        <v>79</v>
      </c>
      <c r="F503" s="292" t="s">
        <v>91</v>
      </c>
      <c r="G503" s="292" t="s">
        <v>91</v>
      </c>
      <c r="H503" s="292" t="s">
        <v>91</v>
      </c>
      <c r="I503" s="292" t="s">
        <v>91</v>
      </c>
      <c r="J503" s="292" t="s">
        <v>91</v>
      </c>
      <c r="K503" s="292" t="s">
        <v>91</v>
      </c>
      <c r="L503" s="292" t="s">
        <v>91</v>
      </c>
      <c r="M503" s="307">
        <f t="shared" si="7"/>
        <v>0</v>
      </c>
    </row>
    <row r="504" spans="1:13" ht="13.15">
      <c r="A504" s="2" t="s">
        <v>241</v>
      </c>
      <c r="B504" s="2" t="s">
        <v>207</v>
      </c>
      <c r="C504" s="2" t="s">
        <v>208</v>
      </c>
      <c r="D504" s="2" t="s">
        <v>85</v>
      </c>
      <c r="E504" s="2" t="s">
        <v>79</v>
      </c>
      <c r="F504" s="292" t="s">
        <v>91</v>
      </c>
      <c r="G504" s="292" t="s">
        <v>91</v>
      </c>
      <c r="H504" s="292" t="s">
        <v>91</v>
      </c>
      <c r="I504" s="292" t="s">
        <v>91</v>
      </c>
      <c r="J504" s="292" t="s">
        <v>91</v>
      </c>
      <c r="K504" s="292" t="s">
        <v>91</v>
      </c>
      <c r="L504" s="292" t="s">
        <v>91</v>
      </c>
      <c r="M504" s="307">
        <f t="shared" si="7"/>
        <v>0</v>
      </c>
    </row>
    <row r="505" spans="1:13" ht="13.15">
      <c r="A505" s="2" t="s">
        <v>241</v>
      </c>
      <c r="B505" s="2" t="s">
        <v>209</v>
      </c>
      <c r="C505" s="2" t="s">
        <v>210</v>
      </c>
      <c r="D505" s="2" t="s">
        <v>85</v>
      </c>
      <c r="E505" s="2" t="s">
        <v>79</v>
      </c>
      <c r="F505" s="292" t="s">
        <v>91</v>
      </c>
      <c r="G505" s="292" t="s">
        <v>91</v>
      </c>
      <c r="H505" s="292" t="s">
        <v>91</v>
      </c>
      <c r="I505" s="292" t="s">
        <v>91</v>
      </c>
      <c r="J505" s="292" t="s">
        <v>91</v>
      </c>
      <c r="K505" s="292" t="s">
        <v>91</v>
      </c>
      <c r="L505" s="292" t="s">
        <v>91</v>
      </c>
      <c r="M505" s="307">
        <f t="shared" si="7"/>
        <v>0</v>
      </c>
    </row>
    <row r="506" spans="1:13" ht="13.15">
      <c r="A506" s="2" t="s">
        <v>241</v>
      </c>
      <c r="B506" s="2" t="s">
        <v>211</v>
      </c>
      <c r="C506" s="2" t="s">
        <v>212</v>
      </c>
      <c r="D506" s="2" t="s">
        <v>85</v>
      </c>
      <c r="E506" s="2" t="s">
        <v>79</v>
      </c>
      <c r="F506" s="292" t="s">
        <v>91</v>
      </c>
      <c r="G506" s="292" t="s">
        <v>91</v>
      </c>
      <c r="H506" s="292" t="s">
        <v>91</v>
      </c>
      <c r="I506" s="292" t="s">
        <v>91</v>
      </c>
      <c r="J506" s="292" t="s">
        <v>91</v>
      </c>
      <c r="K506" s="292" t="s">
        <v>91</v>
      </c>
      <c r="L506" s="292" t="s">
        <v>91</v>
      </c>
      <c r="M506" s="307">
        <f t="shared" si="7"/>
        <v>0</v>
      </c>
    </row>
    <row r="507" spans="1:13" ht="13.15">
      <c r="A507" s="2" t="s">
        <v>241</v>
      </c>
      <c r="B507" s="2" t="s">
        <v>213</v>
      </c>
      <c r="C507" s="2" t="s">
        <v>214</v>
      </c>
      <c r="D507" s="2" t="s">
        <v>85</v>
      </c>
      <c r="E507" s="2" t="s">
        <v>79</v>
      </c>
      <c r="F507" s="292" t="s">
        <v>91</v>
      </c>
      <c r="G507" s="292" t="s">
        <v>91</v>
      </c>
      <c r="H507" s="292" t="s">
        <v>91</v>
      </c>
      <c r="I507" s="292" t="s">
        <v>91</v>
      </c>
      <c r="J507" s="292" t="s">
        <v>91</v>
      </c>
      <c r="K507" s="292" t="s">
        <v>91</v>
      </c>
      <c r="L507" s="292" t="s">
        <v>91</v>
      </c>
      <c r="M507" s="307">
        <f t="shared" si="7"/>
        <v>0</v>
      </c>
    </row>
    <row r="508" spans="1:13" ht="13.15">
      <c r="A508" s="2" t="s">
        <v>241</v>
      </c>
      <c r="B508" s="2" t="s">
        <v>215</v>
      </c>
      <c r="C508" s="2" t="s">
        <v>216</v>
      </c>
      <c r="D508" s="2" t="s">
        <v>85</v>
      </c>
      <c r="E508" s="2" t="s">
        <v>79</v>
      </c>
      <c r="F508" s="292" t="s">
        <v>91</v>
      </c>
      <c r="G508" s="292" t="s">
        <v>91</v>
      </c>
      <c r="H508" s="292" t="s">
        <v>91</v>
      </c>
      <c r="I508" s="292" t="s">
        <v>91</v>
      </c>
      <c r="J508" s="292" t="s">
        <v>91</v>
      </c>
      <c r="K508" s="292" t="s">
        <v>91</v>
      </c>
      <c r="L508" s="292" t="s">
        <v>91</v>
      </c>
      <c r="M508" s="307">
        <f t="shared" si="7"/>
        <v>0</v>
      </c>
    </row>
    <row r="509" spans="1:13" ht="13.15">
      <c r="A509" s="2" t="s">
        <v>241</v>
      </c>
      <c r="B509" s="2" t="s">
        <v>217</v>
      </c>
      <c r="C509" s="2" t="s">
        <v>218</v>
      </c>
      <c r="D509" s="2" t="s">
        <v>85</v>
      </c>
      <c r="E509" s="2" t="s">
        <v>79</v>
      </c>
      <c r="F509" s="292" t="s">
        <v>91</v>
      </c>
      <c r="G509" s="292" t="s">
        <v>91</v>
      </c>
      <c r="H509" s="292" t="s">
        <v>91</v>
      </c>
      <c r="I509" s="292" t="s">
        <v>91</v>
      </c>
      <c r="J509" s="292" t="s">
        <v>91</v>
      </c>
      <c r="K509" s="292" t="s">
        <v>91</v>
      </c>
      <c r="L509" s="292" t="s">
        <v>91</v>
      </c>
      <c r="M509" s="307">
        <f t="shared" si="7"/>
        <v>0</v>
      </c>
    </row>
    <row r="510" spans="1:13" ht="13.15">
      <c r="A510" s="2" t="s">
        <v>241</v>
      </c>
      <c r="B510" s="2" t="s">
        <v>219</v>
      </c>
      <c r="C510" s="2" t="s">
        <v>220</v>
      </c>
      <c r="D510" s="2" t="s">
        <v>85</v>
      </c>
      <c r="E510" s="2" t="s">
        <v>79</v>
      </c>
      <c r="F510" s="292" t="s">
        <v>91</v>
      </c>
      <c r="G510" s="292" t="s">
        <v>91</v>
      </c>
      <c r="H510" s="292" t="s">
        <v>91</v>
      </c>
      <c r="I510" s="292" t="s">
        <v>91</v>
      </c>
      <c r="J510" s="292" t="s">
        <v>91</v>
      </c>
      <c r="K510" s="292" t="s">
        <v>91</v>
      </c>
      <c r="L510" s="292" t="s">
        <v>91</v>
      </c>
      <c r="M510" s="307">
        <f t="shared" si="7"/>
        <v>0</v>
      </c>
    </row>
    <row r="511" spans="1:13" ht="13.15">
      <c r="A511" s="2" t="s">
        <v>241</v>
      </c>
      <c r="B511" s="2" t="s">
        <v>221</v>
      </c>
      <c r="C511" s="2" t="s">
        <v>222</v>
      </c>
      <c r="D511" s="2" t="s">
        <v>85</v>
      </c>
      <c r="E511" s="2" t="s">
        <v>79</v>
      </c>
      <c r="F511" s="292" t="s">
        <v>91</v>
      </c>
      <c r="G511" s="292" t="s">
        <v>91</v>
      </c>
      <c r="H511" s="292" t="s">
        <v>91</v>
      </c>
      <c r="I511" s="292" t="s">
        <v>91</v>
      </c>
      <c r="J511" s="292" t="s">
        <v>91</v>
      </c>
      <c r="K511" s="292" t="s">
        <v>91</v>
      </c>
      <c r="L511" s="292" t="s">
        <v>91</v>
      </c>
      <c r="M511" s="307">
        <f t="shared" si="7"/>
        <v>0</v>
      </c>
    </row>
    <row r="512" spans="1:13" ht="13.15">
      <c r="A512" s="2" t="s">
        <v>241</v>
      </c>
      <c r="B512" s="2" t="s">
        <v>223</v>
      </c>
      <c r="C512" s="2" t="s">
        <v>224</v>
      </c>
      <c r="D512" s="2" t="s">
        <v>85</v>
      </c>
      <c r="E512" s="2" t="s">
        <v>79</v>
      </c>
      <c r="F512" s="292" t="s">
        <v>91</v>
      </c>
      <c r="G512" s="292" t="s">
        <v>91</v>
      </c>
      <c r="H512" s="292" t="s">
        <v>91</v>
      </c>
      <c r="I512" s="292" t="s">
        <v>91</v>
      </c>
      <c r="J512" s="292" t="s">
        <v>91</v>
      </c>
      <c r="K512" s="292" t="s">
        <v>91</v>
      </c>
      <c r="L512" s="292" t="s">
        <v>91</v>
      </c>
      <c r="M512" s="307">
        <f t="shared" si="7"/>
        <v>0</v>
      </c>
    </row>
    <row r="513" spans="1:13" ht="13.15">
      <c r="A513" s="2" t="s">
        <v>241</v>
      </c>
      <c r="B513" s="2" t="s">
        <v>225</v>
      </c>
      <c r="C513" s="2" t="s">
        <v>226</v>
      </c>
      <c r="D513" s="2" t="s">
        <v>85</v>
      </c>
      <c r="E513" s="2" t="s">
        <v>79</v>
      </c>
      <c r="F513" s="292" t="s">
        <v>91</v>
      </c>
      <c r="G513" s="292" t="s">
        <v>91</v>
      </c>
      <c r="H513" s="292" t="s">
        <v>91</v>
      </c>
      <c r="I513" s="292" t="s">
        <v>91</v>
      </c>
      <c r="J513" s="292" t="s">
        <v>91</v>
      </c>
      <c r="K513" s="292" t="s">
        <v>91</v>
      </c>
      <c r="L513" s="292" t="s">
        <v>91</v>
      </c>
      <c r="M513" s="307">
        <f t="shared" si="7"/>
        <v>0</v>
      </c>
    </row>
    <row r="514" spans="1:13" ht="13.15">
      <c r="A514" s="2" t="s">
        <v>241</v>
      </c>
      <c r="B514" s="2" t="s">
        <v>227</v>
      </c>
      <c r="C514" s="2" t="s">
        <v>228</v>
      </c>
      <c r="D514" s="2" t="s">
        <v>85</v>
      </c>
      <c r="E514" s="2" t="s">
        <v>79</v>
      </c>
      <c r="F514" s="292" t="s">
        <v>91</v>
      </c>
      <c r="G514" s="292" t="s">
        <v>91</v>
      </c>
      <c r="H514" s="292" t="s">
        <v>91</v>
      </c>
      <c r="I514" s="292" t="s">
        <v>91</v>
      </c>
      <c r="J514" s="292" t="s">
        <v>91</v>
      </c>
      <c r="K514" s="292" t="s">
        <v>91</v>
      </c>
      <c r="L514" s="292" t="s">
        <v>91</v>
      </c>
      <c r="M514" s="307">
        <f t="shared" si="7"/>
        <v>0</v>
      </c>
    </row>
    <row r="515" spans="1:13" ht="13.15">
      <c r="A515" s="2" t="s">
        <v>241</v>
      </c>
      <c r="B515" s="2" t="s">
        <v>229</v>
      </c>
      <c r="C515" s="2" t="s">
        <v>230</v>
      </c>
      <c r="D515" s="2" t="s">
        <v>85</v>
      </c>
      <c r="E515" s="2" t="s">
        <v>79</v>
      </c>
      <c r="F515" s="292" t="s">
        <v>91</v>
      </c>
      <c r="G515" s="292" t="s">
        <v>91</v>
      </c>
      <c r="H515" s="292" t="s">
        <v>91</v>
      </c>
      <c r="I515" s="292" t="s">
        <v>91</v>
      </c>
      <c r="J515" s="292" t="s">
        <v>91</v>
      </c>
      <c r="K515" s="292" t="s">
        <v>91</v>
      </c>
      <c r="L515" s="292" t="s">
        <v>91</v>
      </c>
      <c r="M515" s="307">
        <f t="shared" si="7"/>
        <v>0</v>
      </c>
    </row>
    <row r="516" spans="1:13" ht="13.15">
      <c r="A516" s="2" t="s">
        <v>241</v>
      </c>
      <c r="B516" s="2" t="s">
        <v>231</v>
      </c>
      <c r="C516" s="2" t="s">
        <v>232</v>
      </c>
      <c r="D516" s="2" t="s">
        <v>85</v>
      </c>
      <c r="E516" s="2" t="s">
        <v>79</v>
      </c>
      <c r="F516" s="292" t="s">
        <v>91</v>
      </c>
      <c r="G516" s="292" t="s">
        <v>91</v>
      </c>
      <c r="H516" s="292" t="s">
        <v>91</v>
      </c>
      <c r="I516" s="292" t="s">
        <v>91</v>
      </c>
      <c r="J516" s="292" t="s">
        <v>91</v>
      </c>
      <c r="K516" s="292" t="s">
        <v>91</v>
      </c>
      <c r="L516" s="292" t="s">
        <v>91</v>
      </c>
      <c r="M516" s="307">
        <f t="shared" si="7"/>
        <v>0</v>
      </c>
    </row>
    <row r="517" spans="1:13" ht="13.15">
      <c r="A517" s="2" t="s">
        <v>241</v>
      </c>
      <c r="B517" s="2" t="s">
        <v>233</v>
      </c>
      <c r="C517" s="2" t="s">
        <v>234</v>
      </c>
      <c r="D517" s="2" t="s">
        <v>85</v>
      </c>
      <c r="E517" s="2" t="s">
        <v>79</v>
      </c>
      <c r="F517" s="292" t="s">
        <v>91</v>
      </c>
      <c r="G517" s="292" t="s">
        <v>91</v>
      </c>
      <c r="H517" s="292" t="s">
        <v>91</v>
      </c>
      <c r="I517" s="292" t="s">
        <v>91</v>
      </c>
      <c r="J517" s="292" t="s">
        <v>91</v>
      </c>
      <c r="K517" s="292" t="s">
        <v>91</v>
      </c>
      <c r="L517" s="292" t="s">
        <v>91</v>
      </c>
      <c r="M517" s="307">
        <f t="shared" ref="M517:M580" si="8">SUM(F517:L517)</f>
        <v>0</v>
      </c>
    </row>
    <row r="518" spans="1:13" ht="13.15">
      <c r="A518" s="2" t="s">
        <v>241</v>
      </c>
      <c r="B518" s="2" t="s">
        <v>235</v>
      </c>
      <c r="C518" s="2" t="s">
        <v>236</v>
      </c>
      <c r="D518" s="2" t="s">
        <v>85</v>
      </c>
      <c r="E518" s="2" t="s">
        <v>79</v>
      </c>
      <c r="F518" s="292" t="s">
        <v>91</v>
      </c>
      <c r="G518" s="292" t="s">
        <v>91</v>
      </c>
      <c r="H518" s="292" t="s">
        <v>91</v>
      </c>
      <c r="I518" s="292" t="s">
        <v>91</v>
      </c>
      <c r="J518" s="292" t="s">
        <v>91</v>
      </c>
      <c r="K518" s="292" t="s">
        <v>91</v>
      </c>
      <c r="L518" s="292" t="s">
        <v>91</v>
      </c>
      <c r="M518" s="307">
        <f t="shared" si="8"/>
        <v>0</v>
      </c>
    </row>
    <row r="519" spans="1:13" ht="13.15">
      <c r="A519" s="2" t="s">
        <v>241</v>
      </c>
      <c r="B519" s="2" t="s">
        <v>237</v>
      </c>
      <c r="C519" s="2" t="s">
        <v>238</v>
      </c>
      <c r="D519" s="2" t="s">
        <v>85</v>
      </c>
      <c r="E519" s="2" t="s">
        <v>79</v>
      </c>
      <c r="F519" s="292" t="s">
        <v>91</v>
      </c>
      <c r="G519" s="292" t="s">
        <v>91</v>
      </c>
      <c r="H519" s="292" t="s">
        <v>91</v>
      </c>
      <c r="I519" s="292" t="s">
        <v>91</v>
      </c>
      <c r="J519" s="292" t="s">
        <v>91</v>
      </c>
      <c r="K519" s="292" t="s">
        <v>91</v>
      </c>
      <c r="L519" s="292" t="s">
        <v>91</v>
      </c>
      <c r="M519" s="307">
        <f t="shared" si="8"/>
        <v>0</v>
      </c>
    </row>
    <row r="520" spans="1:13" ht="13.15">
      <c r="A520" s="2" t="s">
        <v>241</v>
      </c>
      <c r="B520" s="2" t="s">
        <v>239</v>
      </c>
      <c r="C520" s="2" t="s">
        <v>240</v>
      </c>
      <c r="D520" s="2" t="s">
        <v>85</v>
      </c>
      <c r="E520" s="2" t="s">
        <v>79</v>
      </c>
      <c r="F520" s="292" t="s">
        <v>91</v>
      </c>
      <c r="G520" s="292" t="s">
        <v>91</v>
      </c>
      <c r="H520" s="292" t="s">
        <v>91</v>
      </c>
      <c r="I520" s="292" t="s">
        <v>91</v>
      </c>
      <c r="J520" s="292" t="s">
        <v>91</v>
      </c>
      <c r="K520" s="292" t="s">
        <v>91</v>
      </c>
      <c r="L520" s="292" t="s">
        <v>91</v>
      </c>
      <c r="M520" s="307">
        <f t="shared" si="8"/>
        <v>0</v>
      </c>
    </row>
    <row r="521" spans="1:13" ht="13.15">
      <c r="A521" s="2" t="s">
        <v>242</v>
      </c>
      <c r="B521" s="2" t="s">
        <v>155</v>
      </c>
      <c r="C521" s="2" t="s">
        <v>156</v>
      </c>
      <c r="D521" s="2" t="s">
        <v>85</v>
      </c>
      <c r="E521" s="2" t="s">
        <v>79</v>
      </c>
      <c r="F521" s="292" t="s">
        <v>91</v>
      </c>
      <c r="G521" s="292" t="s">
        <v>91</v>
      </c>
      <c r="H521" s="292" t="s">
        <v>91</v>
      </c>
      <c r="I521" s="292" t="s">
        <v>91</v>
      </c>
      <c r="J521" s="292" t="s">
        <v>91</v>
      </c>
      <c r="K521" s="292" t="s">
        <v>91</v>
      </c>
      <c r="L521" s="292" t="s">
        <v>91</v>
      </c>
      <c r="M521" s="307">
        <f t="shared" si="8"/>
        <v>0</v>
      </c>
    </row>
    <row r="522" spans="1:13" ht="13.15">
      <c r="A522" s="2" t="s">
        <v>242</v>
      </c>
      <c r="B522" s="2" t="s">
        <v>157</v>
      </c>
      <c r="C522" s="2" t="s">
        <v>158</v>
      </c>
      <c r="D522" s="2" t="s">
        <v>85</v>
      </c>
      <c r="E522" s="2" t="s">
        <v>79</v>
      </c>
      <c r="F522" s="292" t="s">
        <v>91</v>
      </c>
      <c r="G522" s="292" t="s">
        <v>91</v>
      </c>
      <c r="H522" s="292" t="s">
        <v>91</v>
      </c>
      <c r="I522" s="292" t="s">
        <v>91</v>
      </c>
      <c r="J522" s="292" t="s">
        <v>91</v>
      </c>
      <c r="K522" s="292" t="s">
        <v>91</v>
      </c>
      <c r="L522" s="292" t="s">
        <v>91</v>
      </c>
      <c r="M522" s="307">
        <f t="shared" si="8"/>
        <v>0</v>
      </c>
    </row>
    <row r="523" spans="1:13" ht="13.15">
      <c r="A523" s="2" t="s">
        <v>242</v>
      </c>
      <c r="B523" s="2" t="s">
        <v>159</v>
      </c>
      <c r="C523" s="2" t="s">
        <v>160</v>
      </c>
      <c r="D523" s="2" t="s">
        <v>85</v>
      </c>
      <c r="E523" s="2" t="s">
        <v>79</v>
      </c>
      <c r="F523" s="292" t="s">
        <v>91</v>
      </c>
      <c r="G523" s="292" t="s">
        <v>91</v>
      </c>
      <c r="H523" s="292" t="s">
        <v>91</v>
      </c>
      <c r="I523" s="292" t="s">
        <v>91</v>
      </c>
      <c r="J523" s="292" t="s">
        <v>91</v>
      </c>
      <c r="K523" s="292" t="s">
        <v>91</v>
      </c>
      <c r="L523" s="292" t="s">
        <v>91</v>
      </c>
      <c r="M523" s="307">
        <f t="shared" si="8"/>
        <v>0</v>
      </c>
    </row>
    <row r="524" spans="1:13" ht="13.15">
      <c r="A524" s="2" t="s">
        <v>242</v>
      </c>
      <c r="B524" s="2" t="s">
        <v>161</v>
      </c>
      <c r="C524" s="2" t="s">
        <v>162</v>
      </c>
      <c r="D524" s="2" t="s">
        <v>85</v>
      </c>
      <c r="E524" s="2" t="s">
        <v>79</v>
      </c>
      <c r="F524" s="292" t="s">
        <v>91</v>
      </c>
      <c r="G524" s="292" t="s">
        <v>91</v>
      </c>
      <c r="H524" s="292" t="s">
        <v>91</v>
      </c>
      <c r="I524" s="292" t="s">
        <v>91</v>
      </c>
      <c r="J524" s="292" t="s">
        <v>91</v>
      </c>
      <c r="K524" s="292" t="s">
        <v>91</v>
      </c>
      <c r="L524" s="292" t="s">
        <v>91</v>
      </c>
      <c r="M524" s="307">
        <f t="shared" si="8"/>
        <v>0</v>
      </c>
    </row>
    <row r="525" spans="1:13" ht="13.15">
      <c r="A525" s="2" t="s">
        <v>242</v>
      </c>
      <c r="B525" s="2" t="s">
        <v>163</v>
      </c>
      <c r="C525" s="2" t="s">
        <v>164</v>
      </c>
      <c r="D525" s="2" t="s">
        <v>85</v>
      </c>
      <c r="E525" s="2" t="s">
        <v>79</v>
      </c>
      <c r="F525" s="292" t="s">
        <v>91</v>
      </c>
      <c r="G525" s="292" t="s">
        <v>91</v>
      </c>
      <c r="H525" s="292" t="s">
        <v>91</v>
      </c>
      <c r="I525" s="292" t="s">
        <v>91</v>
      </c>
      <c r="J525" s="292" t="s">
        <v>91</v>
      </c>
      <c r="K525" s="292" t="s">
        <v>91</v>
      </c>
      <c r="L525" s="292" t="s">
        <v>91</v>
      </c>
      <c r="M525" s="307">
        <f t="shared" si="8"/>
        <v>0</v>
      </c>
    </row>
    <row r="526" spans="1:13" ht="13.15">
      <c r="A526" s="2" t="s">
        <v>242</v>
      </c>
      <c r="B526" s="2" t="s">
        <v>165</v>
      </c>
      <c r="C526" s="2" t="s">
        <v>166</v>
      </c>
      <c r="D526" s="2" t="s">
        <v>85</v>
      </c>
      <c r="E526" s="2" t="s">
        <v>79</v>
      </c>
      <c r="F526" s="292" t="s">
        <v>91</v>
      </c>
      <c r="G526" s="292" t="s">
        <v>91</v>
      </c>
      <c r="H526" s="292" t="s">
        <v>91</v>
      </c>
      <c r="I526" s="292" t="s">
        <v>91</v>
      </c>
      <c r="J526" s="292" t="s">
        <v>91</v>
      </c>
      <c r="K526" s="292" t="s">
        <v>91</v>
      </c>
      <c r="L526" s="292" t="s">
        <v>91</v>
      </c>
      <c r="M526" s="307">
        <f t="shared" si="8"/>
        <v>0</v>
      </c>
    </row>
    <row r="527" spans="1:13" ht="13.15">
      <c r="A527" s="2" t="s">
        <v>242</v>
      </c>
      <c r="B527" s="2" t="s">
        <v>167</v>
      </c>
      <c r="C527" s="2" t="s">
        <v>168</v>
      </c>
      <c r="D527" s="2" t="s">
        <v>85</v>
      </c>
      <c r="E527" s="2" t="s">
        <v>79</v>
      </c>
      <c r="F527" s="292" t="s">
        <v>91</v>
      </c>
      <c r="G527" s="292" t="s">
        <v>91</v>
      </c>
      <c r="H527" s="292" t="s">
        <v>91</v>
      </c>
      <c r="I527" s="292" t="s">
        <v>91</v>
      </c>
      <c r="J527" s="292" t="s">
        <v>91</v>
      </c>
      <c r="K527" s="292" t="s">
        <v>91</v>
      </c>
      <c r="L527" s="292" t="s">
        <v>91</v>
      </c>
      <c r="M527" s="307">
        <f t="shared" si="8"/>
        <v>0</v>
      </c>
    </row>
    <row r="528" spans="1:13" ht="13.15">
      <c r="A528" s="2" t="s">
        <v>242</v>
      </c>
      <c r="B528" s="2" t="s">
        <v>169</v>
      </c>
      <c r="C528" s="2" t="s">
        <v>170</v>
      </c>
      <c r="D528" s="2" t="s">
        <v>85</v>
      </c>
      <c r="E528" s="2" t="s">
        <v>79</v>
      </c>
      <c r="F528" s="292" t="s">
        <v>91</v>
      </c>
      <c r="G528" s="292" t="s">
        <v>91</v>
      </c>
      <c r="H528" s="292" t="s">
        <v>91</v>
      </c>
      <c r="I528" s="292" t="s">
        <v>91</v>
      </c>
      <c r="J528" s="292" t="s">
        <v>91</v>
      </c>
      <c r="K528" s="292" t="s">
        <v>91</v>
      </c>
      <c r="L528" s="292" t="s">
        <v>91</v>
      </c>
      <c r="M528" s="307">
        <f t="shared" si="8"/>
        <v>0</v>
      </c>
    </row>
    <row r="529" spans="1:13" ht="13.15">
      <c r="A529" s="2" t="s">
        <v>242</v>
      </c>
      <c r="B529" s="2" t="s">
        <v>171</v>
      </c>
      <c r="C529" s="2" t="s">
        <v>172</v>
      </c>
      <c r="D529" s="2" t="s">
        <v>85</v>
      </c>
      <c r="E529" s="2" t="s">
        <v>79</v>
      </c>
      <c r="F529" s="292" t="s">
        <v>91</v>
      </c>
      <c r="G529" s="292" t="s">
        <v>91</v>
      </c>
      <c r="H529" s="292" t="s">
        <v>91</v>
      </c>
      <c r="I529" s="292" t="s">
        <v>91</v>
      </c>
      <c r="J529" s="292" t="s">
        <v>91</v>
      </c>
      <c r="K529" s="292" t="s">
        <v>91</v>
      </c>
      <c r="L529" s="292" t="s">
        <v>91</v>
      </c>
      <c r="M529" s="307">
        <f t="shared" si="8"/>
        <v>0</v>
      </c>
    </row>
    <row r="530" spans="1:13" ht="13.15">
      <c r="A530" s="2" t="s">
        <v>242</v>
      </c>
      <c r="B530" s="2" t="s">
        <v>173</v>
      </c>
      <c r="C530" s="2" t="s">
        <v>174</v>
      </c>
      <c r="D530" s="2" t="s">
        <v>85</v>
      </c>
      <c r="E530" s="2" t="s">
        <v>79</v>
      </c>
      <c r="F530" s="292" t="s">
        <v>91</v>
      </c>
      <c r="G530" s="292" t="s">
        <v>91</v>
      </c>
      <c r="H530" s="292" t="s">
        <v>91</v>
      </c>
      <c r="I530" s="292" t="s">
        <v>91</v>
      </c>
      <c r="J530" s="292" t="s">
        <v>91</v>
      </c>
      <c r="K530" s="292" t="s">
        <v>91</v>
      </c>
      <c r="L530" s="292" t="s">
        <v>91</v>
      </c>
      <c r="M530" s="307">
        <f t="shared" si="8"/>
        <v>0</v>
      </c>
    </row>
    <row r="531" spans="1:13" ht="13.15">
      <c r="A531" s="2" t="s">
        <v>242</v>
      </c>
      <c r="B531" s="2" t="s">
        <v>175</v>
      </c>
      <c r="C531" s="2" t="s">
        <v>176</v>
      </c>
      <c r="D531" s="2" t="s">
        <v>85</v>
      </c>
      <c r="E531" s="2" t="s">
        <v>79</v>
      </c>
      <c r="F531" s="292" t="s">
        <v>91</v>
      </c>
      <c r="G531" s="292" t="s">
        <v>91</v>
      </c>
      <c r="H531" s="292" t="s">
        <v>91</v>
      </c>
      <c r="I531" s="292" t="s">
        <v>91</v>
      </c>
      <c r="J531" s="292" t="s">
        <v>91</v>
      </c>
      <c r="K531" s="292" t="s">
        <v>91</v>
      </c>
      <c r="L531" s="292" t="s">
        <v>91</v>
      </c>
      <c r="M531" s="307">
        <f t="shared" si="8"/>
        <v>0</v>
      </c>
    </row>
    <row r="532" spans="1:13" ht="13.15">
      <c r="A532" s="2" t="s">
        <v>242</v>
      </c>
      <c r="B532" s="2" t="s">
        <v>177</v>
      </c>
      <c r="C532" s="2" t="s">
        <v>178</v>
      </c>
      <c r="D532" s="2" t="s">
        <v>85</v>
      </c>
      <c r="E532" s="2" t="s">
        <v>79</v>
      </c>
      <c r="F532" s="292" t="s">
        <v>91</v>
      </c>
      <c r="G532" s="292" t="s">
        <v>91</v>
      </c>
      <c r="H532" s="292" t="s">
        <v>91</v>
      </c>
      <c r="I532" s="292" t="s">
        <v>91</v>
      </c>
      <c r="J532" s="292" t="s">
        <v>91</v>
      </c>
      <c r="K532" s="292" t="s">
        <v>91</v>
      </c>
      <c r="L532" s="292" t="s">
        <v>91</v>
      </c>
      <c r="M532" s="307">
        <f t="shared" si="8"/>
        <v>0</v>
      </c>
    </row>
    <row r="533" spans="1:13" ht="13.15">
      <c r="A533" s="2" t="s">
        <v>242</v>
      </c>
      <c r="B533" s="2" t="s">
        <v>179</v>
      </c>
      <c r="C533" s="2" t="s">
        <v>180</v>
      </c>
      <c r="D533" s="2" t="s">
        <v>85</v>
      </c>
      <c r="E533" s="2" t="s">
        <v>79</v>
      </c>
      <c r="F533" s="292" t="s">
        <v>91</v>
      </c>
      <c r="G533" s="292" t="s">
        <v>91</v>
      </c>
      <c r="H533" s="292" t="s">
        <v>91</v>
      </c>
      <c r="I533" s="292" t="s">
        <v>91</v>
      </c>
      <c r="J533" s="292" t="s">
        <v>91</v>
      </c>
      <c r="K533" s="292" t="s">
        <v>91</v>
      </c>
      <c r="L533" s="292" t="s">
        <v>91</v>
      </c>
      <c r="M533" s="307">
        <f t="shared" si="8"/>
        <v>0</v>
      </c>
    </row>
    <row r="534" spans="1:13" ht="13.15">
      <c r="A534" s="2" t="s">
        <v>242</v>
      </c>
      <c r="B534" s="2" t="s">
        <v>181</v>
      </c>
      <c r="C534" s="2" t="s">
        <v>182</v>
      </c>
      <c r="D534" s="2" t="s">
        <v>85</v>
      </c>
      <c r="E534" s="2" t="s">
        <v>79</v>
      </c>
      <c r="F534" s="292" t="s">
        <v>91</v>
      </c>
      <c r="G534" s="292" t="s">
        <v>91</v>
      </c>
      <c r="H534" s="292" t="s">
        <v>91</v>
      </c>
      <c r="I534" s="292" t="s">
        <v>91</v>
      </c>
      <c r="J534" s="292" t="s">
        <v>91</v>
      </c>
      <c r="K534" s="292" t="s">
        <v>91</v>
      </c>
      <c r="L534" s="292" t="s">
        <v>91</v>
      </c>
      <c r="M534" s="307">
        <f t="shared" si="8"/>
        <v>0</v>
      </c>
    </row>
    <row r="535" spans="1:13" ht="13.15">
      <c r="A535" s="2" t="s">
        <v>242</v>
      </c>
      <c r="B535" s="2" t="s">
        <v>183</v>
      </c>
      <c r="C535" s="2" t="s">
        <v>184</v>
      </c>
      <c r="D535" s="2" t="s">
        <v>85</v>
      </c>
      <c r="E535" s="2" t="s">
        <v>79</v>
      </c>
      <c r="F535" s="292" t="s">
        <v>91</v>
      </c>
      <c r="G535" s="292" t="s">
        <v>91</v>
      </c>
      <c r="H535" s="292" t="s">
        <v>91</v>
      </c>
      <c r="I535" s="292" t="s">
        <v>91</v>
      </c>
      <c r="J535" s="292" t="s">
        <v>91</v>
      </c>
      <c r="K535" s="292" t="s">
        <v>91</v>
      </c>
      <c r="L535" s="292" t="s">
        <v>91</v>
      </c>
      <c r="M535" s="307">
        <f t="shared" si="8"/>
        <v>0</v>
      </c>
    </row>
    <row r="536" spans="1:13" ht="13.15">
      <c r="A536" s="2" t="s">
        <v>242</v>
      </c>
      <c r="B536" s="2" t="s">
        <v>185</v>
      </c>
      <c r="C536" s="2" t="s">
        <v>186</v>
      </c>
      <c r="D536" s="2" t="s">
        <v>85</v>
      </c>
      <c r="E536" s="2" t="s">
        <v>79</v>
      </c>
      <c r="F536" s="292" t="s">
        <v>91</v>
      </c>
      <c r="G536" s="292" t="s">
        <v>91</v>
      </c>
      <c r="H536" s="292" t="s">
        <v>91</v>
      </c>
      <c r="I536" s="292" t="s">
        <v>91</v>
      </c>
      <c r="J536" s="292" t="s">
        <v>91</v>
      </c>
      <c r="K536" s="292" t="s">
        <v>91</v>
      </c>
      <c r="L536" s="292" t="s">
        <v>91</v>
      </c>
      <c r="M536" s="307">
        <f t="shared" si="8"/>
        <v>0</v>
      </c>
    </row>
    <row r="537" spans="1:13" ht="13.15">
      <c r="A537" s="2" t="s">
        <v>242</v>
      </c>
      <c r="B537" s="2" t="s">
        <v>187</v>
      </c>
      <c r="C537" s="2" t="s">
        <v>188</v>
      </c>
      <c r="D537" s="2" t="s">
        <v>85</v>
      </c>
      <c r="E537" s="2" t="s">
        <v>79</v>
      </c>
      <c r="F537" s="292" t="s">
        <v>91</v>
      </c>
      <c r="G537" s="292" t="s">
        <v>91</v>
      </c>
      <c r="H537" s="292" t="s">
        <v>91</v>
      </c>
      <c r="I537" s="292" t="s">
        <v>91</v>
      </c>
      <c r="J537" s="292" t="s">
        <v>91</v>
      </c>
      <c r="K537" s="292" t="s">
        <v>91</v>
      </c>
      <c r="L537" s="292" t="s">
        <v>91</v>
      </c>
      <c r="M537" s="307">
        <f t="shared" si="8"/>
        <v>0</v>
      </c>
    </row>
    <row r="538" spans="1:13" ht="13.15">
      <c r="A538" s="2" t="s">
        <v>242</v>
      </c>
      <c r="B538" s="2" t="s">
        <v>189</v>
      </c>
      <c r="C538" s="2" t="s">
        <v>190</v>
      </c>
      <c r="D538" s="2" t="s">
        <v>85</v>
      </c>
      <c r="E538" s="2" t="s">
        <v>79</v>
      </c>
      <c r="F538" s="292" t="s">
        <v>91</v>
      </c>
      <c r="G538" s="292" t="s">
        <v>91</v>
      </c>
      <c r="H538" s="292" t="s">
        <v>91</v>
      </c>
      <c r="I538" s="292" t="s">
        <v>91</v>
      </c>
      <c r="J538" s="292" t="s">
        <v>91</v>
      </c>
      <c r="K538" s="292" t="s">
        <v>91</v>
      </c>
      <c r="L538" s="292" t="s">
        <v>91</v>
      </c>
      <c r="M538" s="307">
        <f t="shared" si="8"/>
        <v>0</v>
      </c>
    </row>
    <row r="539" spans="1:13" ht="13.15">
      <c r="A539" s="2" t="s">
        <v>242</v>
      </c>
      <c r="B539" s="2" t="s">
        <v>191</v>
      </c>
      <c r="C539" s="2" t="s">
        <v>192</v>
      </c>
      <c r="D539" s="2" t="s">
        <v>85</v>
      </c>
      <c r="E539" s="2" t="s">
        <v>79</v>
      </c>
      <c r="F539" s="292" t="s">
        <v>91</v>
      </c>
      <c r="G539" s="292" t="s">
        <v>91</v>
      </c>
      <c r="H539" s="292" t="s">
        <v>91</v>
      </c>
      <c r="I539" s="292" t="s">
        <v>91</v>
      </c>
      <c r="J539" s="292" t="s">
        <v>91</v>
      </c>
      <c r="K539" s="292" t="s">
        <v>91</v>
      </c>
      <c r="L539" s="292" t="s">
        <v>91</v>
      </c>
      <c r="M539" s="307">
        <f t="shared" si="8"/>
        <v>0</v>
      </c>
    </row>
    <row r="540" spans="1:13" ht="13.15">
      <c r="A540" s="2" t="s">
        <v>242</v>
      </c>
      <c r="B540" s="2" t="s">
        <v>193</v>
      </c>
      <c r="C540" s="2" t="s">
        <v>194</v>
      </c>
      <c r="D540" s="2" t="s">
        <v>85</v>
      </c>
      <c r="E540" s="2" t="s">
        <v>79</v>
      </c>
      <c r="F540" s="292" t="s">
        <v>91</v>
      </c>
      <c r="G540" s="292" t="s">
        <v>91</v>
      </c>
      <c r="H540" s="292" t="s">
        <v>91</v>
      </c>
      <c r="I540" s="292" t="s">
        <v>91</v>
      </c>
      <c r="J540" s="292" t="s">
        <v>91</v>
      </c>
      <c r="K540" s="292" t="s">
        <v>91</v>
      </c>
      <c r="L540" s="292" t="s">
        <v>91</v>
      </c>
      <c r="M540" s="307">
        <f t="shared" si="8"/>
        <v>0</v>
      </c>
    </row>
    <row r="541" spans="1:13" ht="13.15">
      <c r="A541" s="2" t="s">
        <v>242</v>
      </c>
      <c r="B541" s="2" t="s">
        <v>195</v>
      </c>
      <c r="C541" s="2" t="s">
        <v>196</v>
      </c>
      <c r="D541" s="2" t="s">
        <v>85</v>
      </c>
      <c r="E541" s="2" t="s">
        <v>79</v>
      </c>
      <c r="F541" s="292" t="s">
        <v>91</v>
      </c>
      <c r="G541" s="292" t="s">
        <v>91</v>
      </c>
      <c r="H541" s="292" t="s">
        <v>91</v>
      </c>
      <c r="I541" s="292" t="s">
        <v>91</v>
      </c>
      <c r="J541" s="292" t="s">
        <v>91</v>
      </c>
      <c r="K541" s="292" t="s">
        <v>91</v>
      </c>
      <c r="L541" s="292" t="s">
        <v>91</v>
      </c>
      <c r="M541" s="307">
        <f t="shared" si="8"/>
        <v>0</v>
      </c>
    </row>
    <row r="542" spans="1:13" ht="13.15">
      <c r="A542" s="2" t="s">
        <v>242</v>
      </c>
      <c r="B542" s="2" t="s">
        <v>197</v>
      </c>
      <c r="C542" s="2" t="s">
        <v>198</v>
      </c>
      <c r="D542" s="2" t="s">
        <v>85</v>
      </c>
      <c r="E542" s="2" t="s">
        <v>79</v>
      </c>
      <c r="F542" s="292" t="s">
        <v>91</v>
      </c>
      <c r="G542" s="292" t="s">
        <v>91</v>
      </c>
      <c r="H542" s="292" t="s">
        <v>91</v>
      </c>
      <c r="I542" s="292" t="s">
        <v>91</v>
      </c>
      <c r="J542" s="292" t="s">
        <v>91</v>
      </c>
      <c r="K542" s="292" t="s">
        <v>91</v>
      </c>
      <c r="L542" s="292" t="s">
        <v>91</v>
      </c>
      <c r="M542" s="307">
        <f t="shared" si="8"/>
        <v>0</v>
      </c>
    </row>
    <row r="543" spans="1:13" ht="13.15">
      <c r="A543" s="2" t="s">
        <v>242</v>
      </c>
      <c r="B543" s="2" t="s">
        <v>199</v>
      </c>
      <c r="C543" s="2" t="s">
        <v>200</v>
      </c>
      <c r="D543" s="2" t="s">
        <v>85</v>
      </c>
      <c r="E543" s="2" t="s">
        <v>79</v>
      </c>
      <c r="F543" s="292" t="s">
        <v>91</v>
      </c>
      <c r="G543" s="292" t="s">
        <v>91</v>
      </c>
      <c r="H543" s="292" t="s">
        <v>91</v>
      </c>
      <c r="I543" s="292" t="s">
        <v>91</v>
      </c>
      <c r="J543" s="292" t="s">
        <v>91</v>
      </c>
      <c r="K543" s="292" t="s">
        <v>91</v>
      </c>
      <c r="L543" s="292" t="s">
        <v>91</v>
      </c>
      <c r="M543" s="307">
        <f t="shared" si="8"/>
        <v>0</v>
      </c>
    </row>
    <row r="544" spans="1:13" ht="13.15">
      <c r="A544" s="2" t="s">
        <v>242</v>
      </c>
      <c r="B544" s="2" t="s">
        <v>201</v>
      </c>
      <c r="C544" s="2" t="s">
        <v>202</v>
      </c>
      <c r="D544" s="2" t="s">
        <v>85</v>
      </c>
      <c r="E544" s="2" t="s">
        <v>79</v>
      </c>
      <c r="F544" s="292" t="s">
        <v>91</v>
      </c>
      <c r="G544" s="292" t="s">
        <v>91</v>
      </c>
      <c r="H544" s="292" t="s">
        <v>91</v>
      </c>
      <c r="I544" s="292" t="s">
        <v>91</v>
      </c>
      <c r="J544" s="292" t="s">
        <v>91</v>
      </c>
      <c r="K544" s="292" t="s">
        <v>91</v>
      </c>
      <c r="L544" s="292" t="s">
        <v>91</v>
      </c>
      <c r="M544" s="307">
        <f t="shared" si="8"/>
        <v>0</v>
      </c>
    </row>
    <row r="545" spans="1:13" ht="13.15">
      <c r="A545" s="2" t="s">
        <v>242</v>
      </c>
      <c r="B545" s="2" t="s">
        <v>203</v>
      </c>
      <c r="C545" s="2" t="s">
        <v>204</v>
      </c>
      <c r="D545" s="2" t="s">
        <v>85</v>
      </c>
      <c r="E545" s="2" t="s">
        <v>79</v>
      </c>
      <c r="F545" s="292" t="s">
        <v>91</v>
      </c>
      <c r="G545" s="292" t="s">
        <v>91</v>
      </c>
      <c r="H545" s="292" t="s">
        <v>91</v>
      </c>
      <c r="I545" s="292" t="s">
        <v>91</v>
      </c>
      <c r="J545" s="292" t="s">
        <v>91</v>
      </c>
      <c r="K545" s="292" t="s">
        <v>91</v>
      </c>
      <c r="L545" s="292" t="s">
        <v>91</v>
      </c>
      <c r="M545" s="307">
        <f t="shared" si="8"/>
        <v>0</v>
      </c>
    </row>
    <row r="546" spans="1:13" ht="13.15">
      <c r="A546" s="2" t="s">
        <v>242</v>
      </c>
      <c r="B546" s="2" t="s">
        <v>205</v>
      </c>
      <c r="C546" s="2" t="s">
        <v>206</v>
      </c>
      <c r="D546" s="2" t="s">
        <v>85</v>
      </c>
      <c r="E546" s="2" t="s">
        <v>79</v>
      </c>
      <c r="F546" s="292" t="s">
        <v>91</v>
      </c>
      <c r="G546" s="292" t="s">
        <v>91</v>
      </c>
      <c r="H546" s="292" t="s">
        <v>91</v>
      </c>
      <c r="I546" s="292" t="s">
        <v>91</v>
      </c>
      <c r="J546" s="292" t="s">
        <v>91</v>
      </c>
      <c r="K546" s="292" t="s">
        <v>91</v>
      </c>
      <c r="L546" s="292" t="s">
        <v>91</v>
      </c>
      <c r="M546" s="307">
        <f t="shared" si="8"/>
        <v>0</v>
      </c>
    </row>
    <row r="547" spans="1:13" ht="13.15">
      <c r="A547" s="2" t="s">
        <v>242</v>
      </c>
      <c r="B547" s="2" t="s">
        <v>207</v>
      </c>
      <c r="C547" s="2" t="s">
        <v>208</v>
      </c>
      <c r="D547" s="2" t="s">
        <v>85</v>
      </c>
      <c r="E547" s="2" t="s">
        <v>79</v>
      </c>
      <c r="F547" s="292" t="s">
        <v>91</v>
      </c>
      <c r="G547" s="292" t="s">
        <v>91</v>
      </c>
      <c r="H547" s="292" t="s">
        <v>91</v>
      </c>
      <c r="I547" s="292" t="s">
        <v>91</v>
      </c>
      <c r="J547" s="292" t="s">
        <v>91</v>
      </c>
      <c r="K547" s="292" t="s">
        <v>91</v>
      </c>
      <c r="L547" s="292" t="s">
        <v>91</v>
      </c>
      <c r="M547" s="307">
        <f t="shared" si="8"/>
        <v>0</v>
      </c>
    </row>
    <row r="548" spans="1:13" ht="13.15">
      <c r="A548" s="2" t="s">
        <v>242</v>
      </c>
      <c r="B548" s="2" t="s">
        <v>209</v>
      </c>
      <c r="C548" s="2" t="s">
        <v>210</v>
      </c>
      <c r="D548" s="2" t="s">
        <v>85</v>
      </c>
      <c r="E548" s="2" t="s">
        <v>79</v>
      </c>
      <c r="F548" s="292" t="s">
        <v>91</v>
      </c>
      <c r="G548" s="292" t="s">
        <v>91</v>
      </c>
      <c r="H548" s="292" t="s">
        <v>91</v>
      </c>
      <c r="I548" s="292" t="s">
        <v>91</v>
      </c>
      <c r="J548" s="292" t="s">
        <v>91</v>
      </c>
      <c r="K548" s="292" t="s">
        <v>91</v>
      </c>
      <c r="L548" s="292" t="s">
        <v>91</v>
      </c>
      <c r="M548" s="307">
        <f t="shared" si="8"/>
        <v>0</v>
      </c>
    </row>
    <row r="549" spans="1:13" ht="13.15">
      <c r="A549" s="2" t="s">
        <v>242</v>
      </c>
      <c r="B549" s="2" t="s">
        <v>211</v>
      </c>
      <c r="C549" s="2" t="s">
        <v>212</v>
      </c>
      <c r="D549" s="2" t="s">
        <v>85</v>
      </c>
      <c r="E549" s="2" t="s">
        <v>79</v>
      </c>
      <c r="F549" s="292" t="s">
        <v>91</v>
      </c>
      <c r="G549" s="292" t="s">
        <v>91</v>
      </c>
      <c r="H549" s="292" t="s">
        <v>91</v>
      </c>
      <c r="I549" s="292" t="s">
        <v>91</v>
      </c>
      <c r="J549" s="292" t="s">
        <v>91</v>
      </c>
      <c r="K549" s="292" t="s">
        <v>91</v>
      </c>
      <c r="L549" s="292" t="s">
        <v>91</v>
      </c>
      <c r="M549" s="307">
        <f t="shared" si="8"/>
        <v>0</v>
      </c>
    </row>
    <row r="550" spans="1:13" ht="13.15">
      <c r="A550" s="2" t="s">
        <v>242</v>
      </c>
      <c r="B550" s="2" t="s">
        <v>213</v>
      </c>
      <c r="C550" s="2" t="s">
        <v>214</v>
      </c>
      <c r="D550" s="2" t="s">
        <v>85</v>
      </c>
      <c r="E550" s="2" t="s">
        <v>79</v>
      </c>
      <c r="F550" s="292" t="s">
        <v>91</v>
      </c>
      <c r="G550" s="292" t="s">
        <v>91</v>
      </c>
      <c r="H550" s="292" t="s">
        <v>91</v>
      </c>
      <c r="I550" s="292" t="s">
        <v>91</v>
      </c>
      <c r="J550" s="292" t="s">
        <v>91</v>
      </c>
      <c r="K550" s="292" t="s">
        <v>91</v>
      </c>
      <c r="L550" s="292" t="s">
        <v>91</v>
      </c>
      <c r="M550" s="307">
        <f t="shared" si="8"/>
        <v>0</v>
      </c>
    </row>
    <row r="551" spans="1:13" ht="13.15">
      <c r="A551" s="2" t="s">
        <v>242</v>
      </c>
      <c r="B551" s="2" t="s">
        <v>215</v>
      </c>
      <c r="C551" s="2" t="s">
        <v>216</v>
      </c>
      <c r="D551" s="2" t="s">
        <v>85</v>
      </c>
      <c r="E551" s="2" t="s">
        <v>79</v>
      </c>
      <c r="F551" s="292" t="s">
        <v>91</v>
      </c>
      <c r="G551" s="292" t="s">
        <v>91</v>
      </c>
      <c r="H551" s="292" t="s">
        <v>91</v>
      </c>
      <c r="I551" s="292" t="s">
        <v>91</v>
      </c>
      <c r="J551" s="292" t="s">
        <v>91</v>
      </c>
      <c r="K551" s="292" t="s">
        <v>91</v>
      </c>
      <c r="L551" s="292" t="s">
        <v>91</v>
      </c>
      <c r="M551" s="307">
        <f t="shared" si="8"/>
        <v>0</v>
      </c>
    </row>
    <row r="552" spans="1:13" ht="13.15">
      <c r="A552" s="2" t="s">
        <v>242</v>
      </c>
      <c r="B552" s="2" t="s">
        <v>217</v>
      </c>
      <c r="C552" s="2" t="s">
        <v>218</v>
      </c>
      <c r="D552" s="2" t="s">
        <v>85</v>
      </c>
      <c r="E552" s="2" t="s">
        <v>79</v>
      </c>
      <c r="F552" s="292" t="s">
        <v>91</v>
      </c>
      <c r="G552" s="292" t="s">
        <v>91</v>
      </c>
      <c r="H552" s="292" t="s">
        <v>91</v>
      </c>
      <c r="I552" s="292" t="s">
        <v>91</v>
      </c>
      <c r="J552" s="292" t="s">
        <v>91</v>
      </c>
      <c r="K552" s="292" t="s">
        <v>91</v>
      </c>
      <c r="L552" s="292" t="s">
        <v>91</v>
      </c>
      <c r="M552" s="307">
        <f t="shared" si="8"/>
        <v>0</v>
      </c>
    </row>
    <row r="553" spans="1:13" ht="13.15">
      <c r="A553" s="2" t="s">
        <v>242</v>
      </c>
      <c r="B553" s="2" t="s">
        <v>219</v>
      </c>
      <c r="C553" s="2" t="s">
        <v>220</v>
      </c>
      <c r="D553" s="2" t="s">
        <v>85</v>
      </c>
      <c r="E553" s="2" t="s">
        <v>79</v>
      </c>
      <c r="F553" s="292" t="s">
        <v>91</v>
      </c>
      <c r="G553" s="292" t="s">
        <v>91</v>
      </c>
      <c r="H553" s="292" t="s">
        <v>91</v>
      </c>
      <c r="I553" s="292" t="s">
        <v>91</v>
      </c>
      <c r="J553" s="292" t="s">
        <v>91</v>
      </c>
      <c r="K553" s="292" t="s">
        <v>91</v>
      </c>
      <c r="L553" s="292" t="s">
        <v>91</v>
      </c>
      <c r="M553" s="307">
        <f t="shared" si="8"/>
        <v>0</v>
      </c>
    </row>
    <row r="554" spans="1:13" ht="13.15">
      <c r="A554" s="2" t="s">
        <v>242</v>
      </c>
      <c r="B554" s="2" t="s">
        <v>221</v>
      </c>
      <c r="C554" s="2" t="s">
        <v>222</v>
      </c>
      <c r="D554" s="2" t="s">
        <v>85</v>
      </c>
      <c r="E554" s="2" t="s">
        <v>79</v>
      </c>
      <c r="F554" s="292" t="s">
        <v>91</v>
      </c>
      <c r="G554" s="292" t="s">
        <v>91</v>
      </c>
      <c r="H554" s="292" t="s">
        <v>91</v>
      </c>
      <c r="I554" s="292" t="s">
        <v>91</v>
      </c>
      <c r="J554" s="292" t="s">
        <v>91</v>
      </c>
      <c r="K554" s="292" t="s">
        <v>91</v>
      </c>
      <c r="L554" s="292" t="s">
        <v>91</v>
      </c>
      <c r="M554" s="307">
        <f t="shared" si="8"/>
        <v>0</v>
      </c>
    </row>
    <row r="555" spans="1:13" ht="13.15">
      <c r="A555" s="2" t="s">
        <v>242</v>
      </c>
      <c r="B555" s="2" t="s">
        <v>223</v>
      </c>
      <c r="C555" s="2" t="s">
        <v>224</v>
      </c>
      <c r="D555" s="2" t="s">
        <v>85</v>
      </c>
      <c r="E555" s="2" t="s">
        <v>79</v>
      </c>
      <c r="F555" s="292" t="s">
        <v>91</v>
      </c>
      <c r="G555" s="292" t="s">
        <v>91</v>
      </c>
      <c r="H555" s="292" t="s">
        <v>91</v>
      </c>
      <c r="I555" s="292" t="s">
        <v>91</v>
      </c>
      <c r="J555" s="292" t="s">
        <v>91</v>
      </c>
      <c r="K555" s="292" t="s">
        <v>91</v>
      </c>
      <c r="L555" s="292" t="s">
        <v>91</v>
      </c>
      <c r="M555" s="307">
        <f t="shared" si="8"/>
        <v>0</v>
      </c>
    </row>
    <row r="556" spans="1:13" ht="13.15">
      <c r="A556" s="2" t="s">
        <v>242</v>
      </c>
      <c r="B556" s="2" t="s">
        <v>225</v>
      </c>
      <c r="C556" s="2" t="s">
        <v>226</v>
      </c>
      <c r="D556" s="2" t="s">
        <v>85</v>
      </c>
      <c r="E556" s="2" t="s">
        <v>79</v>
      </c>
      <c r="F556" s="292" t="s">
        <v>91</v>
      </c>
      <c r="G556" s="292" t="s">
        <v>91</v>
      </c>
      <c r="H556" s="292" t="s">
        <v>91</v>
      </c>
      <c r="I556" s="292" t="s">
        <v>91</v>
      </c>
      <c r="J556" s="292" t="s">
        <v>91</v>
      </c>
      <c r="K556" s="292" t="s">
        <v>91</v>
      </c>
      <c r="L556" s="292" t="s">
        <v>91</v>
      </c>
      <c r="M556" s="307">
        <f t="shared" si="8"/>
        <v>0</v>
      </c>
    </row>
    <row r="557" spans="1:13" ht="13.15">
      <c r="A557" s="2" t="s">
        <v>242</v>
      </c>
      <c r="B557" s="2" t="s">
        <v>227</v>
      </c>
      <c r="C557" s="2" t="s">
        <v>228</v>
      </c>
      <c r="D557" s="2" t="s">
        <v>85</v>
      </c>
      <c r="E557" s="2" t="s">
        <v>79</v>
      </c>
      <c r="F557" s="292" t="s">
        <v>91</v>
      </c>
      <c r="G557" s="292" t="s">
        <v>91</v>
      </c>
      <c r="H557" s="292" t="s">
        <v>91</v>
      </c>
      <c r="I557" s="292" t="s">
        <v>91</v>
      </c>
      <c r="J557" s="292" t="s">
        <v>91</v>
      </c>
      <c r="K557" s="292" t="s">
        <v>91</v>
      </c>
      <c r="L557" s="292" t="s">
        <v>91</v>
      </c>
      <c r="M557" s="307">
        <f t="shared" si="8"/>
        <v>0</v>
      </c>
    </row>
    <row r="558" spans="1:13" ht="13.15">
      <c r="A558" s="2" t="s">
        <v>242</v>
      </c>
      <c r="B558" s="2" t="s">
        <v>229</v>
      </c>
      <c r="C558" s="2" t="s">
        <v>230</v>
      </c>
      <c r="D558" s="2" t="s">
        <v>85</v>
      </c>
      <c r="E558" s="2" t="s">
        <v>79</v>
      </c>
      <c r="F558" s="292" t="s">
        <v>91</v>
      </c>
      <c r="G558" s="292" t="s">
        <v>91</v>
      </c>
      <c r="H558" s="292" t="s">
        <v>91</v>
      </c>
      <c r="I558" s="292" t="s">
        <v>91</v>
      </c>
      <c r="J558" s="292" t="s">
        <v>91</v>
      </c>
      <c r="K558" s="292" t="s">
        <v>91</v>
      </c>
      <c r="L558" s="292" t="s">
        <v>91</v>
      </c>
      <c r="M558" s="307">
        <f t="shared" si="8"/>
        <v>0</v>
      </c>
    </row>
    <row r="559" spans="1:13" ht="13.15">
      <c r="A559" s="2" t="s">
        <v>242</v>
      </c>
      <c r="B559" s="2" t="s">
        <v>231</v>
      </c>
      <c r="C559" s="2" t="s">
        <v>232</v>
      </c>
      <c r="D559" s="2" t="s">
        <v>85</v>
      </c>
      <c r="E559" s="2" t="s">
        <v>79</v>
      </c>
      <c r="F559" s="292" t="s">
        <v>91</v>
      </c>
      <c r="G559" s="292" t="s">
        <v>91</v>
      </c>
      <c r="H559" s="292" t="s">
        <v>91</v>
      </c>
      <c r="I559" s="292" t="s">
        <v>91</v>
      </c>
      <c r="J559" s="292" t="s">
        <v>91</v>
      </c>
      <c r="K559" s="292" t="s">
        <v>91</v>
      </c>
      <c r="L559" s="292" t="s">
        <v>91</v>
      </c>
      <c r="M559" s="307">
        <f t="shared" si="8"/>
        <v>0</v>
      </c>
    </row>
    <row r="560" spans="1:13" ht="13.15">
      <c r="A560" s="2" t="s">
        <v>242</v>
      </c>
      <c r="B560" s="2" t="s">
        <v>233</v>
      </c>
      <c r="C560" s="2" t="s">
        <v>234</v>
      </c>
      <c r="D560" s="2" t="s">
        <v>85</v>
      </c>
      <c r="E560" s="2" t="s">
        <v>79</v>
      </c>
      <c r="F560" s="292" t="s">
        <v>91</v>
      </c>
      <c r="G560" s="292" t="s">
        <v>91</v>
      </c>
      <c r="H560" s="292" t="s">
        <v>91</v>
      </c>
      <c r="I560" s="292" t="s">
        <v>91</v>
      </c>
      <c r="J560" s="292" t="s">
        <v>91</v>
      </c>
      <c r="K560" s="292" t="s">
        <v>91</v>
      </c>
      <c r="L560" s="292" t="s">
        <v>91</v>
      </c>
      <c r="M560" s="307">
        <f t="shared" si="8"/>
        <v>0</v>
      </c>
    </row>
    <row r="561" spans="1:13" ht="13.15">
      <c r="A561" s="2" t="s">
        <v>242</v>
      </c>
      <c r="B561" s="2" t="s">
        <v>235</v>
      </c>
      <c r="C561" s="2" t="s">
        <v>236</v>
      </c>
      <c r="D561" s="2" t="s">
        <v>85</v>
      </c>
      <c r="E561" s="2" t="s">
        <v>79</v>
      </c>
      <c r="F561" s="292" t="s">
        <v>91</v>
      </c>
      <c r="G561" s="292" t="s">
        <v>91</v>
      </c>
      <c r="H561" s="292" t="s">
        <v>91</v>
      </c>
      <c r="I561" s="292" t="s">
        <v>91</v>
      </c>
      <c r="J561" s="292" t="s">
        <v>91</v>
      </c>
      <c r="K561" s="292" t="s">
        <v>91</v>
      </c>
      <c r="L561" s="292" t="s">
        <v>91</v>
      </c>
      <c r="M561" s="307">
        <f t="shared" si="8"/>
        <v>0</v>
      </c>
    </row>
    <row r="562" spans="1:13" ht="13.15">
      <c r="A562" s="2" t="s">
        <v>242</v>
      </c>
      <c r="B562" s="2" t="s">
        <v>237</v>
      </c>
      <c r="C562" s="2" t="s">
        <v>238</v>
      </c>
      <c r="D562" s="2" t="s">
        <v>85</v>
      </c>
      <c r="E562" s="2" t="s">
        <v>79</v>
      </c>
      <c r="F562" s="292" t="s">
        <v>91</v>
      </c>
      <c r="G562" s="292" t="s">
        <v>91</v>
      </c>
      <c r="H562" s="292" t="s">
        <v>91</v>
      </c>
      <c r="I562" s="292" t="s">
        <v>91</v>
      </c>
      <c r="J562" s="292" t="s">
        <v>91</v>
      </c>
      <c r="K562" s="292" t="s">
        <v>91</v>
      </c>
      <c r="L562" s="292" t="s">
        <v>91</v>
      </c>
      <c r="M562" s="307">
        <f t="shared" si="8"/>
        <v>0</v>
      </c>
    </row>
    <row r="563" spans="1:13" ht="13.15">
      <c r="A563" s="2" t="s">
        <v>242</v>
      </c>
      <c r="B563" s="2" t="s">
        <v>239</v>
      </c>
      <c r="C563" s="2" t="s">
        <v>240</v>
      </c>
      <c r="D563" s="2" t="s">
        <v>85</v>
      </c>
      <c r="E563" s="2" t="s">
        <v>79</v>
      </c>
      <c r="F563" s="292" t="s">
        <v>91</v>
      </c>
      <c r="G563" s="292" t="s">
        <v>91</v>
      </c>
      <c r="H563" s="292" t="s">
        <v>91</v>
      </c>
      <c r="I563" s="292" t="s">
        <v>91</v>
      </c>
      <c r="J563" s="292" t="s">
        <v>91</v>
      </c>
      <c r="K563" s="292" t="s">
        <v>91</v>
      </c>
      <c r="L563" s="292" t="s">
        <v>91</v>
      </c>
      <c r="M563" s="307">
        <f t="shared" si="8"/>
        <v>0</v>
      </c>
    </row>
    <row r="564" spans="1:13" ht="13.15">
      <c r="A564" s="2" t="s">
        <v>243</v>
      </c>
      <c r="B564" s="2" t="s">
        <v>155</v>
      </c>
      <c r="C564" s="2" t="s">
        <v>156</v>
      </c>
      <c r="D564" s="2" t="s">
        <v>85</v>
      </c>
      <c r="E564" s="2" t="s">
        <v>79</v>
      </c>
      <c r="F564" s="292" t="s">
        <v>91</v>
      </c>
      <c r="G564" s="292" t="s">
        <v>91</v>
      </c>
      <c r="H564" s="292" t="s">
        <v>91</v>
      </c>
      <c r="I564" s="292" t="s">
        <v>91</v>
      </c>
      <c r="J564" s="292" t="s">
        <v>91</v>
      </c>
      <c r="K564" s="292" t="s">
        <v>91</v>
      </c>
      <c r="L564" s="292" t="s">
        <v>91</v>
      </c>
      <c r="M564" s="307">
        <f t="shared" si="8"/>
        <v>0</v>
      </c>
    </row>
    <row r="565" spans="1:13" ht="13.15">
      <c r="A565" s="2" t="s">
        <v>243</v>
      </c>
      <c r="B565" s="2" t="s">
        <v>157</v>
      </c>
      <c r="C565" s="2" t="s">
        <v>158</v>
      </c>
      <c r="D565" s="2" t="s">
        <v>85</v>
      </c>
      <c r="E565" s="2" t="s">
        <v>79</v>
      </c>
      <c r="F565" s="292" t="s">
        <v>91</v>
      </c>
      <c r="G565" s="292" t="s">
        <v>91</v>
      </c>
      <c r="H565" s="292" t="s">
        <v>91</v>
      </c>
      <c r="I565" s="292" t="s">
        <v>91</v>
      </c>
      <c r="J565" s="292" t="s">
        <v>91</v>
      </c>
      <c r="K565" s="292" t="s">
        <v>91</v>
      </c>
      <c r="L565" s="292" t="s">
        <v>91</v>
      </c>
      <c r="M565" s="307">
        <f t="shared" si="8"/>
        <v>0</v>
      </c>
    </row>
    <row r="566" spans="1:13" ht="13.15">
      <c r="A566" s="2" t="s">
        <v>243</v>
      </c>
      <c r="B566" s="2" t="s">
        <v>159</v>
      </c>
      <c r="C566" s="2" t="s">
        <v>160</v>
      </c>
      <c r="D566" s="2" t="s">
        <v>85</v>
      </c>
      <c r="E566" s="2" t="s">
        <v>79</v>
      </c>
      <c r="F566" s="292" t="s">
        <v>91</v>
      </c>
      <c r="G566" s="292" t="s">
        <v>91</v>
      </c>
      <c r="H566" s="292" t="s">
        <v>91</v>
      </c>
      <c r="I566" s="292" t="s">
        <v>91</v>
      </c>
      <c r="J566" s="292" t="s">
        <v>91</v>
      </c>
      <c r="K566" s="292" t="s">
        <v>91</v>
      </c>
      <c r="L566" s="292" t="s">
        <v>91</v>
      </c>
      <c r="M566" s="307">
        <f t="shared" si="8"/>
        <v>0</v>
      </c>
    </row>
    <row r="567" spans="1:13" ht="13.15">
      <c r="A567" s="2" t="s">
        <v>243</v>
      </c>
      <c r="B567" s="2" t="s">
        <v>161</v>
      </c>
      <c r="C567" s="2" t="s">
        <v>162</v>
      </c>
      <c r="D567" s="2" t="s">
        <v>85</v>
      </c>
      <c r="E567" s="2" t="s">
        <v>79</v>
      </c>
      <c r="F567" s="292" t="s">
        <v>91</v>
      </c>
      <c r="G567" s="292" t="s">
        <v>91</v>
      </c>
      <c r="H567" s="292" t="s">
        <v>91</v>
      </c>
      <c r="I567" s="292" t="s">
        <v>91</v>
      </c>
      <c r="J567" s="292" t="s">
        <v>91</v>
      </c>
      <c r="K567" s="292" t="s">
        <v>91</v>
      </c>
      <c r="L567" s="292" t="s">
        <v>91</v>
      </c>
      <c r="M567" s="307">
        <f t="shared" si="8"/>
        <v>0</v>
      </c>
    </row>
    <row r="568" spans="1:13" ht="13.15">
      <c r="A568" s="2" t="s">
        <v>243</v>
      </c>
      <c r="B568" s="2" t="s">
        <v>163</v>
      </c>
      <c r="C568" s="2" t="s">
        <v>164</v>
      </c>
      <c r="D568" s="2" t="s">
        <v>85</v>
      </c>
      <c r="E568" s="2" t="s">
        <v>79</v>
      </c>
      <c r="F568" s="292" t="s">
        <v>91</v>
      </c>
      <c r="G568" s="292" t="s">
        <v>91</v>
      </c>
      <c r="H568" s="292" t="s">
        <v>91</v>
      </c>
      <c r="I568" s="292" t="s">
        <v>91</v>
      </c>
      <c r="J568" s="292" t="s">
        <v>91</v>
      </c>
      <c r="K568" s="292" t="s">
        <v>91</v>
      </c>
      <c r="L568" s="292" t="s">
        <v>91</v>
      </c>
      <c r="M568" s="307">
        <f t="shared" si="8"/>
        <v>0</v>
      </c>
    </row>
    <row r="569" spans="1:13" ht="13.15">
      <c r="A569" s="2" t="s">
        <v>243</v>
      </c>
      <c r="B569" s="2" t="s">
        <v>165</v>
      </c>
      <c r="C569" s="2" t="s">
        <v>166</v>
      </c>
      <c r="D569" s="2" t="s">
        <v>85</v>
      </c>
      <c r="E569" s="2" t="s">
        <v>79</v>
      </c>
      <c r="F569" s="292" t="s">
        <v>91</v>
      </c>
      <c r="G569" s="292" t="s">
        <v>91</v>
      </c>
      <c r="H569" s="292" t="s">
        <v>91</v>
      </c>
      <c r="I569" s="292" t="s">
        <v>91</v>
      </c>
      <c r="J569" s="292" t="s">
        <v>91</v>
      </c>
      <c r="K569" s="292" t="s">
        <v>91</v>
      </c>
      <c r="L569" s="292" t="s">
        <v>91</v>
      </c>
      <c r="M569" s="307">
        <f t="shared" si="8"/>
        <v>0</v>
      </c>
    </row>
    <row r="570" spans="1:13" ht="13.15">
      <c r="A570" s="2" t="s">
        <v>243</v>
      </c>
      <c r="B570" s="2" t="s">
        <v>167</v>
      </c>
      <c r="C570" s="2" t="s">
        <v>168</v>
      </c>
      <c r="D570" s="2" t="s">
        <v>85</v>
      </c>
      <c r="E570" s="2" t="s">
        <v>79</v>
      </c>
      <c r="F570" s="292" t="s">
        <v>91</v>
      </c>
      <c r="G570" s="292" t="s">
        <v>91</v>
      </c>
      <c r="H570" s="292" t="s">
        <v>91</v>
      </c>
      <c r="I570" s="292" t="s">
        <v>91</v>
      </c>
      <c r="J570" s="292" t="s">
        <v>91</v>
      </c>
      <c r="K570" s="292" t="s">
        <v>91</v>
      </c>
      <c r="L570" s="292" t="s">
        <v>91</v>
      </c>
      <c r="M570" s="307">
        <f t="shared" si="8"/>
        <v>0</v>
      </c>
    </row>
    <row r="571" spans="1:13" ht="13.15">
      <c r="A571" s="2" t="s">
        <v>243</v>
      </c>
      <c r="B571" s="2" t="s">
        <v>169</v>
      </c>
      <c r="C571" s="2" t="s">
        <v>170</v>
      </c>
      <c r="D571" s="2" t="s">
        <v>85</v>
      </c>
      <c r="E571" s="2" t="s">
        <v>79</v>
      </c>
      <c r="F571" s="292" t="s">
        <v>91</v>
      </c>
      <c r="G571" s="292" t="s">
        <v>91</v>
      </c>
      <c r="H571" s="292" t="s">
        <v>91</v>
      </c>
      <c r="I571" s="292" t="s">
        <v>91</v>
      </c>
      <c r="J571" s="292" t="s">
        <v>91</v>
      </c>
      <c r="K571" s="292" t="s">
        <v>91</v>
      </c>
      <c r="L571" s="292" t="s">
        <v>91</v>
      </c>
      <c r="M571" s="307">
        <f t="shared" si="8"/>
        <v>0</v>
      </c>
    </row>
    <row r="572" spans="1:13" ht="13.15">
      <c r="A572" s="2" t="s">
        <v>243</v>
      </c>
      <c r="B572" s="2" t="s">
        <v>171</v>
      </c>
      <c r="C572" s="2" t="s">
        <v>172</v>
      </c>
      <c r="D572" s="2" t="s">
        <v>85</v>
      </c>
      <c r="E572" s="2" t="s">
        <v>79</v>
      </c>
      <c r="F572" s="292" t="s">
        <v>91</v>
      </c>
      <c r="G572" s="292" t="s">
        <v>91</v>
      </c>
      <c r="H572" s="292" t="s">
        <v>91</v>
      </c>
      <c r="I572" s="292" t="s">
        <v>91</v>
      </c>
      <c r="J572" s="292" t="s">
        <v>91</v>
      </c>
      <c r="K572" s="292" t="s">
        <v>91</v>
      </c>
      <c r="L572" s="292" t="s">
        <v>91</v>
      </c>
      <c r="M572" s="307">
        <f t="shared" si="8"/>
        <v>0</v>
      </c>
    </row>
    <row r="573" spans="1:13" ht="13.15">
      <c r="A573" s="2" t="s">
        <v>243</v>
      </c>
      <c r="B573" s="2" t="s">
        <v>173</v>
      </c>
      <c r="C573" s="2" t="s">
        <v>174</v>
      </c>
      <c r="D573" s="2" t="s">
        <v>85</v>
      </c>
      <c r="E573" s="2" t="s">
        <v>79</v>
      </c>
      <c r="F573" s="292" t="s">
        <v>91</v>
      </c>
      <c r="G573" s="292" t="s">
        <v>91</v>
      </c>
      <c r="H573" s="292" t="s">
        <v>91</v>
      </c>
      <c r="I573" s="292" t="s">
        <v>91</v>
      </c>
      <c r="J573" s="292" t="s">
        <v>91</v>
      </c>
      <c r="K573" s="292" t="s">
        <v>91</v>
      </c>
      <c r="L573" s="292" t="s">
        <v>91</v>
      </c>
      <c r="M573" s="307">
        <f t="shared" si="8"/>
        <v>0</v>
      </c>
    </row>
    <row r="574" spans="1:13" ht="13.15">
      <c r="A574" s="2" t="s">
        <v>243</v>
      </c>
      <c r="B574" s="2" t="s">
        <v>175</v>
      </c>
      <c r="C574" s="2" t="s">
        <v>176</v>
      </c>
      <c r="D574" s="2" t="s">
        <v>85</v>
      </c>
      <c r="E574" s="2" t="s">
        <v>79</v>
      </c>
      <c r="F574" s="292" t="s">
        <v>91</v>
      </c>
      <c r="G574" s="292" t="s">
        <v>91</v>
      </c>
      <c r="H574" s="292" t="s">
        <v>91</v>
      </c>
      <c r="I574" s="292" t="s">
        <v>91</v>
      </c>
      <c r="J574" s="292" t="s">
        <v>91</v>
      </c>
      <c r="K574" s="292" t="s">
        <v>91</v>
      </c>
      <c r="L574" s="292" t="s">
        <v>91</v>
      </c>
      <c r="M574" s="307">
        <f t="shared" si="8"/>
        <v>0</v>
      </c>
    </row>
    <row r="575" spans="1:13" ht="13.15">
      <c r="A575" s="2" t="s">
        <v>243</v>
      </c>
      <c r="B575" s="2" t="s">
        <v>177</v>
      </c>
      <c r="C575" s="2" t="s">
        <v>178</v>
      </c>
      <c r="D575" s="2" t="s">
        <v>85</v>
      </c>
      <c r="E575" s="2" t="s">
        <v>79</v>
      </c>
      <c r="F575" s="292" t="s">
        <v>91</v>
      </c>
      <c r="G575" s="292" t="s">
        <v>91</v>
      </c>
      <c r="H575" s="292" t="s">
        <v>91</v>
      </c>
      <c r="I575" s="292" t="s">
        <v>91</v>
      </c>
      <c r="J575" s="292" t="s">
        <v>91</v>
      </c>
      <c r="K575" s="292" t="s">
        <v>91</v>
      </c>
      <c r="L575" s="292" t="s">
        <v>91</v>
      </c>
      <c r="M575" s="307">
        <f t="shared" si="8"/>
        <v>0</v>
      </c>
    </row>
    <row r="576" spans="1:13" ht="13.15">
      <c r="A576" s="2" t="s">
        <v>243</v>
      </c>
      <c r="B576" s="2" t="s">
        <v>179</v>
      </c>
      <c r="C576" s="2" t="s">
        <v>180</v>
      </c>
      <c r="D576" s="2" t="s">
        <v>85</v>
      </c>
      <c r="E576" s="2" t="s">
        <v>79</v>
      </c>
      <c r="F576" s="292" t="s">
        <v>91</v>
      </c>
      <c r="G576" s="292" t="s">
        <v>91</v>
      </c>
      <c r="H576" s="292" t="s">
        <v>91</v>
      </c>
      <c r="I576" s="292" t="s">
        <v>91</v>
      </c>
      <c r="J576" s="292" t="s">
        <v>91</v>
      </c>
      <c r="K576" s="292" t="s">
        <v>91</v>
      </c>
      <c r="L576" s="292" t="s">
        <v>91</v>
      </c>
      <c r="M576" s="307">
        <f t="shared" si="8"/>
        <v>0</v>
      </c>
    </row>
    <row r="577" spans="1:13" ht="13.15">
      <c r="A577" s="2" t="s">
        <v>243</v>
      </c>
      <c r="B577" s="2" t="s">
        <v>181</v>
      </c>
      <c r="C577" s="2" t="s">
        <v>182</v>
      </c>
      <c r="D577" s="2" t="s">
        <v>85</v>
      </c>
      <c r="E577" s="2" t="s">
        <v>79</v>
      </c>
      <c r="F577" s="292" t="s">
        <v>91</v>
      </c>
      <c r="G577" s="292" t="s">
        <v>91</v>
      </c>
      <c r="H577" s="292" t="s">
        <v>91</v>
      </c>
      <c r="I577" s="292" t="s">
        <v>91</v>
      </c>
      <c r="J577" s="292" t="s">
        <v>91</v>
      </c>
      <c r="K577" s="292" t="s">
        <v>91</v>
      </c>
      <c r="L577" s="292" t="s">
        <v>91</v>
      </c>
      <c r="M577" s="307">
        <f t="shared" si="8"/>
        <v>0</v>
      </c>
    </row>
    <row r="578" spans="1:13" ht="13.15">
      <c r="A578" s="2" t="s">
        <v>243</v>
      </c>
      <c r="B578" s="2" t="s">
        <v>183</v>
      </c>
      <c r="C578" s="2" t="s">
        <v>184</v>
      </c>
      <c r="D578" s="2" t="s">
        <v>85</v>
      </c>
      <c r="E578" s="2" t="s">
        <v>79</v>
      </c>
      <c r="F578" s="292" t="s">
        <v>91</v>
      </c>
      <c r="G578" s="292" t="s">
        <v>91</v>
      </c>
      <c r="H578" s="292" t="s">
        <v>91</v>
      </c>
      <c r="I578" s="292" t="s">
        <v>91</v>
      </c>
      <c r="J578" s="292" t="s">
        <v>91</v>
      </c>
      <c r="K578" s="292" t="s">
        <v>91</v>
      </c>
      <c r="L578" s="292" t="s">
        <v>91</v>
      </c>
      <c r="M578" s="307">
        <f t="shared" si="8"/>
        <v>0</v>
      </c>
    </row>
    <row r="579" spans="1:13" ht="13.15">
      <c r="A579" s="2" t="s">
        <v>243</v>
      </c>
      <c r="B579" s="2" t="s">
        <v>185</v>
      </c>
      <c r="C579" s="2" t="s">
        <v>186</v>
      </c>
      <c r="D579" s="2" t="s">
        <v>85</v>
      </c>
      <c r="E579" s="2" t="s">
        <v>79</v>
      </c>
      <c r="F579" s="292" t="s">
        <v>91</v>
      </c>
      <c r="G579" s="292" t="s">
        <v>91</v>
      </c>
      <c r="H579" s="292" t="s">
        <v>91</v>
      </c>
      <c r="I579" s="292" t="s">
        <v>91</v>
      </c>
      <c r="J579" s="292" t="s">
        <v>91</v>
      </c>
      <c r="K579" s="292" t="s">
        <v>91</v>
      </c>
      <c r="L579" s="292" t="s">
        <v>91</v>
      </c>
      <c r="M579" s="307">
        <f t="shared" si="8"/>
        <v>0</v>
      </c>
    </row>
    <row r="580" spans="1:13" ht="13.15">
      <c r="A580" s="2" t="s">
        <v>243</v>
      </c>
      <c r="B580" s="2" t="s">
        <v>187</v>
      </c>
      <c r="C580" s="2" t="s">
        <v>188</v>
      </c>
      <c r="D580" s="2" t="s">
        <v>85</v>
      </c>
      <c r="E580" s="2" t="s">
        <v>79</v>
      </c>
      <c r="F580" s="292" t="s">
        <v>91</v>
      </c>
      <c r="G580" s="292" t="s">
        <v>91</v>
      </c>
      <c r="H580" s="292" t="s">
        <v>91</v>
      </c>
      <c r="I580" s="292" t="s">
        <v>91</v>
      </c>
      <c r="J580" s="292" t="s">
        <v>91</v>
      </c>
      <c r="K580" s="292" t="s">
        <v>91</v>
      </c>
      <c r="L580" s="292" t="s">
        <v>91</v>
      </c>
      <c r="M580" s="307">
        <f t="shared" si="8"/>
        <v>0</v>
      </c>
    </row>
    <row r="581" spans="1:13" ht="13.15">
      <c r="A581" s="2" t="s">
        <v>243</v>
      </c>
      <c r="B581" s="2" t="s">
        <v>189</v>
      </c>
      <c r="C581" s="2" t="s">
        <v>190</v>
      </c>
      <c r="D581" s="2" t="s">
        <v>85</v>
      </c>
      <c r="E581" s="2" t="s">
        <v>79</v>
      </c>
      <c r="F581" s="292" t="s">
        <v>91</v>
      </c>
      <c r="G581" s="292" t="s">
        <v>91</v>
      </c>
      <c r="H581" s="292" t="s">
        <v>91</v>
      </c>
      <c r="I581" s="292" t="s">
        <v>91</v>
      </c>
      <c r="J581" s="292" t="s">
        <v>91</v>
      </c>
      <c r="K581" s="292" t="s">
        <v>91</v>
      </c>
      <c r="L581" s="292" t="s">
        <v>91</v>
      </c>
      <c r="M581" s="307">
        <f t="shared" ref="M581:M644" si="9">SUM(F581:L581)</f>
        <v>0</v>
      </c>
    </row>
    <row r="582" spans="1:13" ht="13.15">
      <c r="A582" s="2" t="s">
        <v>243</v>
      </c>
      <c r="B582" s="2" t="s">
        <v>191</v>
      </c>
      <c r="C582" s="2" t="s">
        <v>192</v>
      </c>
      <c r="D582" s="2" t="s">
        <v>85</v>
      </c>
      <c r="E582" s="2" t="s">
        <v>79</v>
      </c>
      <c r="F582" s="292" t="s">
        <v>91</v>
      </c>
      <c r="G582" s="292" t="s">
        <v>91</v>
      </c>
      <c r="H582" s="292" t="s">
        <v>91</v>
      </c>
      <c r="I582" s="292" t="s">
        <v>91</v>
      </c>
      <c r="J582" s="292" t="s">
        <v>91</v>
      </c>
      <c r="K582" s="292" t="s">
        <v>91</v>
      </c>
      <c r="L582" s="292" t="s">
        <v>91</v>
      </c>
      <c r="M582" s="307">
        <f t="shared" si="9"/>
        <v>0</v>
      </c>
    </row>
    <row r="583" spans="1:13" ht="13.15">
      <c r="A583" s="2" t="s">
        <v>243</v>
      </c>
      <c r="B583" s="2" t="s">
        <v>193</v>
      </c>
      <c r="C583" s="2" t="s">
        <v>194</v>
      </c>
      <c r="D583" s="2" t="s">
        <v>85</v>
      </c>
      <c r="E583" s="2" t="s">
        <v>79</v>
      </c>
      <c r="F583" s="292" t="s">
        <v>91</v>
      </c>
      <c r="G583" s="292" t="s">
        <v>91</v>
      </c>
      <c r="H583" s="292" t="s">
        <v>91</v>
      </c>
      <c r="I583" s="292" t="s">
        <v>91</v>
      </c>
      <c r="J583" s="292" t="s">
        <v>91</v>
      </c>
      <c r="K583" s="292" t="s">
        <v>91</v>
      </c>
      <c r="L583" s="292" t="s">
        <v>91</v>
      </c>
      <c r="M583" s="307">
        <f t="shared" si="9"/>
        <v>0</v>
      </c>
    </row>
    <row r="584" spans="1:13" ht="13.15">
      <c r="A584" s="2" t="s">
        <v>243</v>
      </c>
      <c r="B584" s="2" t="s">
        <v>195</v>
      </c>
      <c r="C584" s="2" t="s">
        <v>196</v>
      </c>
      <c r="D584" s="2" t="s">
        <v>85</v>
      </c>
      <c r="E584" s="2" t="s">
        <v>79</v>
      </c>
      <c r="F584" s="292" t="s">
        <v>91</v>
      </c>
      <c r="G584" s="292" t="s">
        <v>91</v>
      </c>
      <c r="H584" s="292" t="s">
        <v>91</v>
      </c>
      <c r="I584" s="292" t="s">
        <v>91</v>
      </c>
      <c r="J584" s="292" t="s">
        <v>91</v>
      </c>
      <c r="K584" s="292" t="s">
        <v>91</v>
      </c>
      <c r="L584" s="292" t="s">
        <v>91</v>
      </c>
      <c r="M584" s="307">
        <f t="shared" si="9"/>
        <v>0</v>
      </c>
    </row>
    <row r="585" spans="1:13" ht="13.15">
      <c r="A585" s="2" t="s">
        <v>243</v>
      </c>
      <c r="B585" s="2" t="s">
        <v>197</v>
      </c>
      <c r="C585" s="2" t="s">
        <v>198</v>
      </c>
      <c r="D585" s="2" t="s">
        <v>85</v>
      </c>
      <c r="E585" s="2" t="s">
        <v>79</v>
      </c>
      <c r="F585" s="292" t="s">
        <v>91</v>
      </c>
      <c r="G585" s="292" t="s">
        <v>91</v>
      </c>
      <c r="H585" s="292" t="s">
        <v>91</v>
      </c>
      <c r="I585" s="292" t="s">
        <v>91</v>
      </c>
      <c r="J585" s="292" t="s">
        <v>91</v>
      </c>
      <c r="K585" s="292" t="s">
        <v>91</v>
      </c>
      <c r="L585" s="292" t="s">
        <v>91</v>
      </c>
      <c r="M585" s="307">
        <f t="shared" si="9"/>
        <v>0</v>
      </c>
    </row>
    <row r="586" spans="1:13" ht="13.15">
      <c r="A586" s="2" t="s">
        <v>243</v>
      </c>
      <c r="B586" s="2" t="s">
        <v>199</v>
      </c>
      <c r="C586" s="2" t="s">
        <v>200</v>
      </c>
      <c r="D586" s="2" t="s">
        <v>85</v>
      </c>
      <c r="E586" s="2" t="s">
        <v>79</v>
      </c>
      <c r="F586" s="292" t="s">
        <v>91</v>
      </c>
      <c r="G586" s="292" t="s">
        <v>91</v>
      </c>
      <c r="H586" s="292" t="s">
        <v>91</v>
      </c>
      <c r="I586" s="292" t="s">
        <v>91</v>
      </c>
      <c r="J586" s="292" t="s">
        <v>91</v>
      </c>
      <c r="K586" s="292" t="s">
        <v>91</v>
      </c>
      <c r="L586" s="292" t="s">
        <v>91</v>
      </c>
      <c r="M586" s="307">
        <f t="shared" si="9"/>
        <v>0</v>
      </c>
    </row>
    <row r="587" spans="1:13" ht="13.15">
      <c r="A587" s="2" t="s">
        <v>243</v>
      </c>
      <c r="B587" s="2" t="s">
        <v>201</v>
      </c>
      <c r="C587" s="2" t="s">
        <v>202</v>
      </c>
      <c r="D587" s="2" t="s">
        <v>85</v>
      </c>
      <c r="E587" s="2" t="s">
        <v>79</v>
      </c>
      <c r="F587" s="292" t="s">
        <v>91</v>
      </c>
      <c r="G587" s="292" t="s">
        <v>91</v>
      </c>
      <c r="H587" s="292" t="s">
        <v>91</v>
      </c>
      <c r="I587" s="292" t="s">
        <v>91</v>
      </c>
      <c r="J587" s="292" t="s">
        <v>91</v>
      </c>
      <c r="K587" s="292" t="s">
        <v>91</v>
      </c>
      <c r="L587" s="292" t="s">
        <v>91</v>
      </c>
      <c r="M587" s="307">
        <f t="shared" si="9"/>
        <v>0</v>
      </c>
    </row>
    <row r="588" spans="1:13" ht="13.15">
      <c r="A588" s="2" t="s">
        <v>243</v>
      </c>
      <c r="B588" s="2" t="s">
        <v>203</v>
      </c>
      <c r="C588" s="2" t="s">
        <v>204</v>
      </c>
      <c r="D588" s="2" t="s">
        <v>85</v>
      </c>
      <c r="E588" s="2" t="s">
        <v>79</v>
      </c>
      <c r="F588" s="292" t="s">
        <v>91</v>
      </c>
      <c r="G588" s="292" t="s">
        <v>91</v>
      </c>
      <c r="H588" s="292" t="s">
        <v>91</v>
      </c>
      <c r="I588" s="292" t="s">
        <v>91</v>
      </c>
      <c r="J588" s="292" t="s">
        <v>91</v>
      </c>
      <c r="K588" s="292" t="s">
        <v>91</v>
      </c>
      <c r="L588" s="292" t="s">
        <v>91</v>
      </c>
      <c r="M588" s="307">
        <f t="shared" si="9"/>
        <v>0</v>
      </c>
    </row>
    <row r="589" spans="1:13" ht="13.15">
      <c r="A589" s="2" t="s">
        <v>243</v>
      </c>
      <c r="B589" s="2" t="s">
        <v>205</v>
      </c>
      <c r="C589" s="2" t="s">
        <v>206</v>
      </c>
      <c r="D589" s="2" t="s">
        <v>85</v>
      </c>
      <c r="E589" s="2" t="s">
        <v>79</v>
      </c>
      <c r="F589" s="292" t="s">
        <v>91</v>
      </c>
      <c r="G589" s="292" t="s">
        <v>91</v>
      </c>
      <c r="H589" s="292" t="s">
        <v>91</v>
      </c>
      <c r="I589" s="292" t="s">
        <v>91</v>
      </c>
      <c r="J589" s="292" t="s">
        <v>91</v>
      </c>
      <c r="K589" s="292" t="s">
        <v>91</v>
      </c>
      <c r="L589" s="292" t="s">
        <v>91</v>
      </c>
      <c r="M589" s="307">
        <f t="shared" si="9"/>
        <v>0</v>
      </c>
    </row>
    <row r="590" spans="1:13" ht="13.15">
      <c r="A590" s="2" t="s">
        <v>243</v>
      </c>
      <c r="B590" s="2" t="s">
        <v>207</v>
      </c>
      <c r="C590" s="2" t="s">
        <v>208</v>
      </c>
      <c r="D590" s="2" t="s">
        <v>85</v>
      </c>
      <c r="E590" s="2" t="s">
        <v>79</v>
      </c>
      <c r="F590" s="292" t="s">
        <v>91</v>
      </c>
      <c r="G590" s="292" t="s">
        <v>91</v>
      </c>
      <c r="H590" s="292" t="s">
        <v>91</v>
      </c>
      <c r="I590" s="292" t="s">
        <v>91</v>
      </c>
      <c r="J590" s="292" t="s">
        <v>91</v>
      </c>
      <c r="K590" s="292" t="s">
        <v>91</v>
      </c>
      <c r="L590" s="292" t="s">
        <v>91</v>
      </c>
      <c r="M590" s="307">
        <f t="shared" si="9"/>
        <v>0</v>
      </c>
    </row>
    <row r="591" spans="1:13" ht="13.15">
      <c r="A591" s="2" t="s">
        <v>243</v>
      </c>
      <c r="B591" s="2" t="s">
        <v>209</v>
      </c>
      <c r="C591" s="2" t="s">
        <v>210</v>
      </c>
      <c r="D591" s="2" t="s">
        <v>85</v>
      </c>
      <c r="E591" s="2" t="s">
        <v>79</v>
      </c>
      <c r="F591" s="292" t="s">
        <v>91</v>
      </c>
      <c r="G591" s="292" t="s">
        <v>91</v>
      </c>
      <c r="H591" s="292" t="s">
        <v>91</v>
      </c>
      <c r="I591" s="292" t="s">
        <v>91</v>
      </c>
      <c r="J591" s="292" t="s">
        <v>91</v>
      </c>
      <c r="K591" s="292" t="s">
        <v>91</v>
      </c>
      <c r="L591" s="292" t="s">
        <v>91</v>
      </c>
      <c r="M591" s="307">
        <f t="shared" si="9"/>
        <v>0</v>
      </c>
    </row>
    <row r="592" spans="1:13" ht="13.15">
      <c r="A592" s="2" t="s">
        <v>243</v>
      </c>
      <c r="B592" s="2" t="s">
        <v>211</v>
      </c>
      <c r="C592" s="2" t="s">
        <v>212</v>
      </c>
      <c r="D592" s="2" t="s">
        <v>85</v>
      </c>
      <c r="E592" s="2" t="s">
        <v>79</v>
      </c>
      <c r="F592" s="292" t="s">
        <v>91</v>
      </c>
      <c r="G592" s="292" t="s">
        <v>91</v>
      </c>
      <c r="H592" s="292" t="s">
        <v>91</v>
      </c>
      <c r="I592" s="292" t="s">
        <v>91</v>
      </c>
      <c r="J592" s="292" t="s">
        <v>91</v>
      </c>
      <c r="K592" s="292" t="s">
        <v>91</v>
      </c>
      <c r="L592" s="292" t="s">
        <v>91</v>
      </c>
      <c r="M592" s="307">
        <f t="shared" si="9"/>
        <v>0</v>
      </c>
    </row>
    <row r="593" spans="1:13" ht="13.15">
      <c r="A593" s="2" t="s">
        <v>243</v>
      </c>
      <c r="B593" s="2" t="s">
        <v>213</v>
      </c>
      <c r="C593" s="2" t="s">
        <v>214</v>
      </c>
      <c r="D593" s="2" t="s">
        <v>85</v>
      </c>
      <c r="E593" s="2" t="s">
        <v>79</v>
      </c>
      <c r="F593" s="292" t="s">
        <v>91</v>
      </c>
      <c r="G593" s="292" t="s">
        <v>91</v>
      </c>
      <c r="H593" s="292" t="s">
        <v>91</v>
      </c>
      <c r="I593" s="292" t="s">
        <v>91</v>
      </c>
      <c r="J593" s="292" t="s">
        <v>91</v>
      </c>
      <c r="K593" s="292" t="s">
        <v>91</v>
      </c>
      <c r="L593" s="292" t="s">
        <v>91</v>
      </c>
      <c r="M593" s="307">
        <f t="shared" si="9"/>
        <v>0</v>
      </c>
    </row>
    <row r="594" spans="1:13" ht="13.15">
      <c r="A594" s="2" t="s">
        <v>243</v>
      </c>
      <c r="B594" s="2" t="s">
        <v>215</v>
      </c>
      <c r="C594" s="2" t="s">
        <v>216</v>
      </c>
      <c r="D594" s="2" t="s">
        <v>85</v>
      </c>
      <c r="E594" s="2" t="s">
        <v>79</v>
      </c>
      <c r="F594" s="292" t="s">
        <v>91</v>
      </c>
      <c r="G594" s="292" t="s">
        <v>91</v>
      </c>
      <c r="H594" s="292" t="s">
        <v>91</v>
      </c>
      <c r="I594" s="292" t="s">
        <v>91</v>
      </c>
      <c r="J594" s="292" t="s">
        <v>91</v>
      </c>
      <c r="K594" s="292" t="s">
        <v>91</v>
      </c>
      <c r="L594" s="292" t="s">
        <v>91</v>
      </c>
      <c r="M594" s="307">
        <f t="shared" si="9"/>
        <v>0</v>
      </c>
    </row>
    <row r="595" spans="1:13" ht="13.15">
      <c r="A595" s="2" t="s">
        <v>243</v>
      </c>
      <c r="B595" s="2" t="s">
        <v>217</v>
      </c>
      <c r="C595" s="2" t="s">
        <v>218</v>
      </c>
      <c r="D595" s="2" t="s">
        <v>85</v>
      </c>
      <c r="E595" s="2" t="s">
        <v>79</v>
      </c>
      <c r="F595" s="292" t="s">
        <v>91</v>
      </c>
      <c r="G595" s="292" t="s">
        <v>91</v>
      </c>
      <c r="H595" s="292" t="s">
        <v>91</v>
      </c>
      <c r="I595" s="292" t="s">
        <v>91</v>
      </c>
      <c r="J595" s="292" t="s">
        <v>91</v>
      </c>
      <c r="K595" s="292" t="s">
        <v>91</v>
      </c>
      <c r="L595" s="292" t="s">
        <v>91</v>
      </c>
      <c r="M595" s="307">
        <f t="shared" si="9"/>
        <v>0</v>
      </c>
    </row>
    <row r="596" spans="1:13" ht="13.15">
      <c r="A596" s="2" t="s">
        <v>243</v>
      </c>
      <c r="B596" s="2" t="s">
        <v>219</v>
      </c>
      <c r="C596" s="2" t="s">
        <v>220</v>
      </c>
      <c r="D596" s="2" t="s">
        <v>85</v>
      </c>
      <c r="E596" s="2" t="s">
        <v>79</v>
      </c>
      <c r="F596" s="292" t="s">
        <v>91</v>
      </c>
      <c r="G596" s="292" t="s">
        <v>91</v>
      </c>
      <c r="H596" s="292" t="s">
        <v>91</v>
      </c>
      <c r="I596" s="292" t="s">
        <v>91</v>
      </c>
      <c r="J596" s="292" t="s">
        <v>91</v>
      </c>
      <c r="K596" s="292" t="s">
        <v>91</v>
      </c>
      <c r="L596" s="292" t="s">
        <v>91</v>
      </c>
      <c r="M596" s="307">
        <f t="shared" si="9"/>
        <v>0</v>
      </c>
    </row>
    <row r="597" spans="1:13" ht="13.15">
      <c r="A597" s="2" t="s">
        <v>243</v>
      </c>
      <c r="B597" s="2" t="s">
        <v>221</v>
      </c>
      <c r="C597" s="2" t="s">
        <v>222</v>
      </c>
      <c r="D597" s="2" t="s">
        <v>85</v>
      </c>
      <c r="E597" s="2" t="s">
        <v>79</v>
      </c>
      <c r="F597" s="292" t="s">
        <v>91</v>
      </c>
      <c r="G597" s="292" t="s">
        <v>91</v>
      </c>
      <c r="H597" s="292" t="s">
        <v>91</v>
      </c>
      <c r="I597" s="292" t="s">
        <v>91</v>
      </c>
      <c r="J597" s="292" t="s">
        <v>91</v>
      </c>
      <c r="K597" s="292" t="s">
        <v>91</v>
      </c>
      <c r="L597" s="292" t="s">
        <v>91</v>
      </c>
      <c r="M597" s="307">
        <f t="shared" si="9"/>
        <v>0</v>
      </c>
    </row>
    <row r="598" spans="1:13" ht="13.15">
      <c r="A598" s="2" t="s">
        <v>243</v>
      </c>
      <c r="B598" s="2" t="s">
        <v>223</v>
      </c>
      <c r="C598" s="2" t="s">
        <v>224</v>
      </c>
      <c r="D598" s="2" t="s">
        <v>85</v>
      </c>
      <c r="E598" s="2" t="s">
        <v>79</v>
      </c>
      <c r="F598" s="292" t="s">
        <v>91</v>
      </c>
      <c r="G598" s="292" t="s">
        <v>91</v>
      </c>
      <c r="H598" s="292" t="s">
        <v>91</v>
      </c>
      <c r="I598" s="292" t="s">
        <v>91</v>
      </c>
      <c r="J598" s="292" t="s">
        <v>91</v>
      </c>
      <c r="K598" s="292" t="s">
        <v>91</v>
      </c>
      <c r="L598" s="292" t="s">
        <v>91</v>
      </c>
      <c r="M598" s="307">
        <f t="shared" si="9"/>
        <v>0</v>
      </c>
    </row>
    <row r="599" spans="1:13" ht="13.15">
      <c r="A599" s="2" t="s">
        <v>243</v>
      </c>
      <c r="B599" s="2" t="s">
        <v>225</v>
      </c>
      <c r="C599" s="2" t="s">
        <v>226</v>
      </c>
      <c r="D599" s="2" t="s">
        <v>85</v>
      </c>
      <c r="E599" s="2" t="s">
        <v>79</v>
      </c>
      <c r="F599" s="292" t="s">
        <v>91</v>
      </c>
      <c r="G599" s="292" t="s">
        <v>91</v>
      </c>
      <c r="H599" s="292" t="s">
        <v>91</v>
      </c>
      <c r="I599" s="292" t="s">
        <v>91</v>
      </c>
      <c r="J599" s="292" t="s">
        <v>91</v>
      </c>
      <c r="K599" s="292" t="s">
        <v>91</v>
      </c>
      <c r="L599" s="292" t="s">
        <v>91</v>
      </c>
      <c r="M599" s="307">
        <f t="shared" si="9"/>
        <v>0</v>
      </c>
    </row>
    <row r="600" spans="1:13" ht="13.15">
      <c r="A600" s="2" t="s">
        <v>243</v>
      </c>
      <c r="B600" s="2" t="s">
        <v>227</v>
      </c>
      <c r="C600" s="2" t="s">
        <v>228</v>
      </c>
      <c r="D600" s="2" t="s">
        <v>85</v>
      </c>
      <c r="E600" s="2" t="s">
        <v>79</v>
      </c>
      <c r="F600" s="292" t="s">
        <v>91</v>
      </c>
      <c r="G600" s="292" t="s">
        <v>91</v>
      </c>
      <c r="H600" s="292" t="s">
        <v>91</v>
      </c>
      <c r="I600" s="292" t="s">
        <v>91</v>
      </c>
      <c r="J600" s="292" t="s">
        <v>91</v>
      </c>
      <c r="K600" s="292" t="s">
        <v>91</v>
      </c>
      <c r="L600" s="292" t="s">
        <v>91</v>
      </c>
      <c r="M600" s="307">
        <f t="shared" si="9"/>
        <v>0</v>
      </c>
    </row>
    <row r="601" spans="1:13" ht="13.15">
      <c r="A601" s="2" t="s">
        <v>243</v>
      </c>
      <c r="B601" s="2" t="s">
        <v>229</v>
      </c>
      <c r="C601" s="2" t="s">
        <v>230</v>
      </c>
      <c r="D601" s="2" t="s">
        <v>85</v>
      </c>
      <c r="E601" s="2" t="s">
        <v>79</v>
      </c>
      <c r="F601" s="292" t="s">
        <v>91</v>
      </c>
      <c r="G601" s="292" t="s">
        <v>91</v>
      </c>
      <c r="H601" s="292" t="s">
        <v>91</v>
      </c>
      <c r="I601" s="292" t="s">
        <v>91</v>
      </c>
      <c r="J601" s="292" t="s">
        <v>91</v>
      </c>
      <c r="K601" s="292" t="s">
        <v>91</v>
      </c>
      <c r="L601" s="292" t="s">
        <v>91</v>
      </c>
      <c r="M601" s="307">
        <f t="shared" si="9"/>
        <v>0</v>
      </c>
    </row>
    <row r="602" spans="1:13" ht="13.15">
      <c r="A602" s="2" t="s">
        <v>243</v>
      </c>
      <c r="B602" s="2" t="s">
        <v>231</v>
      </c>
      <c r="C602" s="2" t="s">
        <v>232</v>
      </c>
      <c r="D602" s="2" t="s">
        <v>85</v>
      </c>
      <c r="E602" s="2" t="s">
        <v>79</v>
      </c>
      <c r="F602" s="292" t="s">
        <v>91</v>
      </c>
      <c r="G602" s="292" t="s">
        <v>91</v>
      </c>
      <c r="H602" s="292" t="s">
        <v>91</v>
      </c>
      <c r="I602" s="292" t="s">
        <v>91</v>
      </c>
      <c r="J602" s="292" t="s">
        <v>91</v>
      </c>
      <c r="K602" s="292" t="s">
        <v>91</v>
      </c>
      <c r="L602" s="292" t="s">
        <v>91</v>
      </c>
      <c r="M602" s="307">
        <f t="shared" si="9"/>
        <v>0</v>
      </c>
    </row>
    <row r="603" spans="1:13" ht="13.15">
      <c r="A603" s="2" t="s">
        <v>243</v>
      </c>
      <c r="B603" s="2" t="s">
        <v>233</v>
      </c>
      <c r="C603" s="2" t="s">
        <v>234</v>
      </c>
      <c r="D603" s="2" t="s">
        <v>85</v>
      </c>
      <c r="E603" s="2" t="s">
        <v>79</v>
      </c>
      <c r="F603" s="292" t="s">
        <v>91</v>
      </c>
      <c r="G603" s="292" t="s">
        <v>91</v>
      </c>
      <c r="H603" s="292" t="s">
        <v>91</v>
      </c>
      <c r="I603" s="292" t="s">
        <v>91</v>
      </c>
      <c r="J603" s="292" t="s">
        <v>91</v>
      </c>
      <c r="K603" s="292" t="s">
        <v>91</v>
      </c>
      <c r="L603" s="292" t="s">
        <v>91</v>
      </c>
      <c r="M603" s="307">
        <f t="shared" si="9"/>
        <v>0</v>
      </c>
    </row>
    <row r="604" spans="1:13" ht="13.15">
      <c r="A604" s="2" t="s">
        <v>243</v>
      </c>
      <c r="B604" s="2" t="s">
        <v>235</v>
      </c>
      <c r="C604" s="2" t="s">
        <v>236</v>
      </c>
      <c r="D604" s="2" t="s">
        <v>85</v>
      </c>
      <c r="E604" s="2" t="s">
        <v>79</v>
      </c>
      <c r="F604" s="292" t="s">
        <v>91</v>
      </c>
      <c r="G604" s="292" t="s">
        <v>91</v>
      </c>
      <c r="H604" s="292" t="s">
        <v>91</v>
      </c>
      <c r="I604" s="292" t="s">
        <v>91</v>
      </c>
      <c r="J604" s="292" t="s">
        <v>91</v>
      </c>
      <c r="K604" s="292" t="s">
        <v>91</v>
      </c>
      <c r="L604" s="292" t="s">
        <v>91</v>
      </c>
      <c r="M604" s="307">
        <f t="shared" si="9"/>
        <v>0</v>
      </c>
    </row>
    <row r="605" spans="1:13" ht="13.15">
      <c r="A605" s="2" t="s">
        <v>243</v>
      </c>
      <c r="B605" s="2" t="s">
        <v>237</v>
      </c>
      <c r="C605" s="2" t="s">
        <v>238</v>
      </c>
      <c r="D605" s="2" t="s">
        <v>85</v>
      </c>
      <c r="E605" s="2" t="s">
        <v>79</v>
      </c>
      <c r="F605" s="292" t="s">
        <v>91</v>
      </c>
      <c r="G605" s="292" t="s">
        <v>91</v>
      </c>
      <c r="H605" s="292" t="s">
        <v>91</v>
      </c>
      <c r="I605" s="292" t="s">
        <v>91</v>
      </c>
      <c r="J605" s="292" t="s">
        <v>91</v>
      </c>
      <c r="K605" s="292" t="s">
        <v>91</v>
      </c>
      <c r="L605" s="292" t="s">
        <v>91</v>
      </c>
      <c r="M605" s="307">
        <f t="shared" si="9"/>
        <v>0</v>
      </c>
    </row>
    <row r="606" spans="1:13" ht="13.15">
      <c r="A606" s="2" t="s">
        <v>243</v>
      </c>
      <c r="B606" s="2" t="s">
        <v>239</v>
      </c>
      <c r="C606" s="2" t="s">
        <v>240</v>
      </c>
      <c r="D606" s="2" t="s">
        <v>85</v>
      </c>
      <c r="E606" s="2" t="s">
        <v>79</v>
      </c>
      <c r="F606" s="292" t="s">
        <v>91</v>
      </c>
      <c r="G606" s="292" t="s">
        <v>91</v>
      </c>
      <c r="H606" s="292" t="s">
        <v>91</v>
      </c>
      <c r="I606" s="292" t="s">
        <v>91</v>
      </c>
      <c r="J606" s="292" t="s">
        <v>91</v>
      </c>
      <c r="K606" s="292" t="s">
        <v>91</v>
      </c>
      <c r="L606" s="292" t="s">
        <v>91</v>
      </c>
      <c r="M606" s="307">
        <f t="shared" si="9"/>
        <v>0</v>
      </c>
    </row>
    <row r="607" spans="1:13" ht="13.15">
      <c r="A607" s="2" t="s">
        <v>244</v>
      </c>
      <c r="B607" s="2" t="s">
        <v>155</v>
      </c>
      <c r="C607" s="2" t="s">
        <v>156</v>
      </c>
      <c r="D607" s="2" t="s">
        <v>85</v>
      </c>
      <c r="E607" s="2" t="s">
        <v>79</v>
      </c>
      <c r="F607" s="292" t="s">
        <v>91</v>
      </c>
      <c r="G607" s="292" t="s">
        <v>91</v>
      </c>
      <c r="H607" s="292" t="s">
        <v>91</v>
      </c>
      <c r="I607" s="292" t="s">
        <v>91</v>
      </c>
      <c r="J607" s="292" t="s">
        <v>91</v>
      </c>
      <c r="K607" s="292" t="s">
        <v>91</v>
      </c>
      <c r="L607" s="292" t="s">
        <v>91</v>
      </c>
      <c r="M607" s="307">
        <f t="shared" si="9"/>
        <v>0</v>
      </c>
    </row>
    <row r="608" spans="1:13" ht="13.15">
      <c r="A608" s="2" t="s">
        <v>244</v>
      </c>
      <c r="B608" s="2" t="s">
        <v>157</v>
      </c>
      <c r="C608" s="2" t="s">
        <v>158</v>
      </c>
      <c r="D608" s="2" t="s">
        <v>85</v>
      </c>
      <c r="E608" s="2" t="s">
        <v>79</v>
      </c>
      <c r="F608" s="292" t="s">
        <v>91</v>
      </c>
      <c r="G608" s="292" t="s">
        <v>91</v>
      </c>
      <c r="H608" s="292" t="s">
        <v>91</v>
      </c>
      <c r="I608" s="292" t="s">
        <v>91</v>
      </c>
      <c r="J608" s="292" t="s">
        <v>91</v>
      </c>
      <c r="K608" s="292" t="s">
        <v>91</v>
      </c>
      <c r="L608" s="292" t="s">
        <v>91</v>
      </c>
      <c r="M608" s="307">
        <f t="shared" si="9"/>
        <v>0</v>
      </c>
    </row>
    <row r="609" spans="1:13" ht="13.15">
      <c r="A609" s="2" t="s">
        <v>244</v>
      </c>
      <c r="B609" s="2" t="s">
        <v>159</v>
      </c>
      <c r="C609" s="2" t="s">
        <v>160</v>
      </c>
      <c r="D609" s="2" t="s">
        <v>85</v>
      </c>
      <c r="E609" s="2" t="s">
        <v>79</v>
      </c>
      <c r="F609" s="292" t="s">
        <v>91</v>
      </c>
      <c r="G609" s="292" t="s">
        <v>91</v>
      </c>
      <c r="H609" s="292" t="s">
        <v>91</v>
      </c>
      <c r="I609" s="292" t="s">
        <v>91</v>
      </c>
      <c r="J609" s="292" t="s">
        <v>91</v>
      </c>
      <c r="K609" s="292" t="s">
        <v>91</v>
      </c>
      <c r="L609" s="292" t="s">
        <v>91</v>
      </c>
      <c r="M609" s="307">
        <f t="shared" si="9"/>
        <v>0</v>
      </c>
    </row>
    <row r="610" spans="1:13" ht="13.15">
      <c r="A610" s="2" t="s">
        <v>244</v>
      </c>
      <c r="B610" s="2" t="s">
        <v>161</v>
      </c>
      <c r="C610" s="2" t="s">
        <v>162</v>
      </c>
      <c r="D610" s="2" t="s">
        <v>85</v>
      </c>
      <c r="E610" s="2" t="s">
        <v>79</v>
      </c>
      <c r="F610" s="292" t="s">
        <v>91</v>
      </c>
      <c r="G610" s="292" t="s">
        <v>91</v>
      </c>
      <c r="H610" s="292" t="s">
        <v>91</v>
      </c>
      <c r="I610" s="292" t="s">
        <v>91</v>
      </c>
      <c r="J610" s="292" t="s">
        <v>91</v>
      </c>
      <c r="K610" s="292" t="s">
        <v>91</v>
      </c>
      <c r="L610" s="292" t="s">
        <v>91</v>
      </c>
      <c r="M610" s="307">
        <f t="shared" si="9"/>
        <v>0</v>
      </c>
    </row>
    <row r="611" spans="1:13" ht="13.15">
      <c r="A611" s="2" t="s">
        <v>244</v>
      </c>
      <c r="B611" s="2" t="s">
        <v>163</v>
      </c>
      <c r="C611" s="2" t="s">
        <v>164</v>
      </c>
      <c r="D611" s="2" t="s">
        <v>85</v>
      </c>
      <c r="E611" s="2" t="s">
        <v>79</v>
      </c>
      <c r="F611" s="292" t="s">
        <v>91</v>
      </c>
      <c r="G611" s="292" t="s">
        <v>91</v>
      </c>
      <c r="H611" s="292" t="s">
        <v>91</v>
      </c>
      <c r="I611" s="292" t="s">
        <v>91</v>
      </c>
      <c r="J611" s="292" t="s">
        <v>91</v>
      </c>
      <c r="K611" s="292" t="s">
        <v>91</v>
      </c>
      <c r="L611" s="292" t="s">
        <v>91</v>
      </c>
      <c r="M611" s="307">
        <f t="shared" si="9"/>
        <v>0</v>
      </c>
    </row>
    <row r="612" spans="1:13" ht="13.15">
      <c r="A612" s="2" t="s">
        <v>244</v>
      </c>
      <c r="B612" s="2" t="s">
        <v>165</v>
      </c>
      <c r="C612" s="2" t="s">
        <v>166</v>
      </c>
      <c r="D612" s="2" t="s">
        <v>85</v>
      </c>
      <c r="E612" s="2" t="s">
        <v>79</v>
      </c>
      <c r="F612" s="292" t="s">
        <v>91</v>
      </c>
      <c r="G612" s="292" t="s">
        <v>91</v>
      </c>
      <c r="H612" s="292" t="s">
        <v>91</v>
      </c>
      <c r="I612" s="292" t="s">
        <v>91</v>
      </c>
      <c r="J612" s="292" t="s">
        <v>91</v>
      </c>
      <c r="K612" s="292" t="s">
        <v>91</v>
      </c>
      <c r="L612" s="292" t="s">
        <v>91</v>
      </c>
      <c r="M612" s="307">
        <f t="shared" si="9"/>
        <v>0</v>
      </c>
    </row>
    <row r="613" spans="1:13" ht="13.15">
      <c r="A613" s="2" t="s">
        <v>244</v>
      </c>
      <c r="B613" s="2" t="s">
        <v>167</v>
      </c>
      <c r="C613" s="2" t="s">
        <v>168</v>
      </c>
      <c r="D613" s="2" t="s">
        <v>85</v>
      </c>
      <c r="E613" s="2" t="s">
        <v>79</v>
      </c>
      <c r="F613" s="292" t="s">
        <v>91</v>
      </c>
      <c r="G613" s="292" t="s">
        <v>91</v>
      </c>
      <c r="H613" s="292" t="s">
        <v>91</v>
      </c>
      <c r="I613" s="292" t="s">
        <v>91</v>
      </c>
      <c r="J613" s="292" t="s">
        <v>91</v>
      </c>
      <c r="K613" s="292" t="s">
        <v>91</v>
      </c>
      <c r="L613" s="292" t="s">
        <v>91</v>
      </c>
      <c r="M613" s="307">
        <f t="shared" si="9"/>
        <v>0</v>
      </c>
    </row>
    <row r="614" spans="1:13" ht="13.15">
      <c r="A614" s="2" t="s">
        <v>244</v>
      </c>
      <c r="B614" s="2" t="s">
        <v>169</v>
      </c>
      <c r="C614" s="2" t="s">
        <v>170</v>
      </c>
      <c r="D614" s="2" t="s">
        <v>85</v>
      </c>
      <c r="E614" s="2" t="s">
        <v>79</v>
      </c>
      <c r="F614" s="292" t="s">
        <v>91</v>
      </c>
      <c r="G614" s="292" t="s">
        <v>91</v>
      </c>
      <c r="H614" s="292" t="s">
        <v>91</v>
      </c>
      <c r="I614" s="292" t="s">
        <v>91</v>
      </c>
      <c r="J614" s="292" t="s">
        <v>91</v>
      </c>
      <c r="K614" s="292" t="s">
        <v>91</v>
      </c>
      <c r="L614" s="292" t="s">
        <v>91</v>
      </c>
      <c r="M614" s="307">
        <f t="shared" si="9"/>
        <v>0</v>
      </c>
    </row>
    <row r="615" spans="1:13" ht="13.15">
      <c r="A615" s="2" t="s">
        <v>244</v>
      </c>
      <c r="B615" s="2" t="s">
        <v>171</v>
      </c>
      <c r="C615" s="2" t="s">
        <v>172</v>
      </c>
      <c r="D615" s="2" t="s">
        <v>85</v>
      </c>
      <c r="E615" s="2" t="s">
        <v>79</v>
      </c>
      <c r="F615" s="292" t="s">
        <v>91</v>
      </c>
      <c r="G615" s="292" t="s">
        <v>91</v>
      </c>
      <c r="H615" s="292" t="s">
        <v>91</v>
      </c>
      <c r="I615" s="292" t="s">
        <v>91</v>
      </c>
      <c r="J615" s="292" t="s">
        <v>91</v>
      </c>
      <c r="K615" s="292" t="s">
        <v>91</v>
      </c>
      <c r="L615" s="292" t="s">
        <v>91</v>
      </c>
      <c r="M615" s="307">
        <f t="shared" si="9"/>
        <v>0</v>
      </c>
    </row>
    <row r="616" spans="1:13" ht="13.15">
      <c r="A616" s="2" t="s">
        <v>244</v>
      </c>
      <c r="B616" s="2" t="s">
        <v>173</v>
      </c>
      <c r="C616" s="2" t="s">
        <v>174</v>
      </c>
      <c r="D616" s="2" t="s">
        <v>85</v>
      </c>
      <c r="E616" s="2" t="s">
        <v>79</v>
      </c>
      <c r="F616" s="292" t="s">
        <v>91</v>
      </c>
      <c r="G616" s="292" t="s">
        <v>91</v>
      </c>
      <c r="H616" s="292" t="s">
        <v>91</v>
      </c>
      <c r="I616" s="292" t="s">
        <v>91</v>
      </c>
      <c r="J616" s="292" t="s">
        <v>91</v>
      </c>
      <c r="K616" s="292" t="s">
        <v>91</v>
      </c>
      <c r="L616" s="292" t="s">
        <v>91</v>
      </c>
      <c r="M616" s="307">
        <f t="shared" si="9"/>
        <v>0</v>
      </c>
    </row>
    <row r="617" spans="1:13" ht="13.15">
      <c r="A617" s="2" t="s">
        <v>244</v>
      </c>
      <c r="B617" s="2" t="s">
        <v>175</v>
      </c>
      <c r="C617" s="2" t="s">
        <v>176</v>
      </c>
      <c r="D617" s="2" t="s">
        <v>85</v>
      </c>
      <c r="E617" s="2" t="s">
        <v>79</v>
      </c>
      <c r="F617" s="292" t="s">
        <v>91</v>
      </c>
      <c r="G617" s="292" t="s">
        <v>91</v>
      </c>
      <c r="H617" s="292" t="s">
        <v>91</v>
      </c>
      <c r="I617" s="292" t="s">
        <v>91</v>
      </c>
      <c r="J617" s="292" t="s">
        <v>91</v>
      </c>
      <c r="K617" s="292" t="s">
        <v>91</v>
      </c>
      <c r="L617" s="292" t="s">
        <v>91</v>
      </c>
      <c r="M617" s="307">
        <f t="shared" si="9"/>
        <v>0</v>
      </c>
    </row>
    <row r="618" spans="1:13" ht="13.15">
      <c r="A618" s="2" t="s">
        <v>244</v>
      </c>
      <c r="B618" s="2" t="s">
        <v>177</v>
      </c>
      <c r="C618" s="2" t="s">
        <v>178</v>
      </c>
      <c r="D618" s="2" t="s">
        <v>85</v>
      </c>
      <c r="E618" s="2" t="s">
        <v>79</v>
      </c>
      <c r="F618" s="292" t="s">
        <v>91</v>
      </c>
      <c r="G618" s="292" t="s">
        <v>91</v>
      </c>
      <c r="H618" s="292" t="s">
        <v>91</v>
      </c>
      <c r="I618" s="292" t="s">
        <v>91</v>
      </c>
      <c r="J618" s="292" t="s">
        <v>91</v>
      </c>
      <c r="K618" s="292" t="s">
        <v>91</v>
      </c>
      <c r="L618" s="292" t="s">
        <v>91</v>
      </c>
      <c r="M618" s="307">
        <f t="shared" si="9"/>
        <v>0</v>
      </c>
    </row>
    <row r="619" spans="1:13" ht="13.15">
      <c r="A619" s="2" t="s">
        <v>244</v>
      </c>
      <c r="B619" s="2" t="s">
        <v>179</v>
      </c>
      <c r="C619" s="2" t="s">
        <v>180</v>
      </c>
      <c r="D619" s="2" t="s">
        <v>85</v>
      </c>
      <c r="E619" s="2" t="s">
        <v>79</v>
      </c>
      <c r="F619" s="292" t="s">
        <v>91</v>
      </c>
      <c r="G619" s="292" t="s">
        <v>91</v>
      </c>
      <c r="H619" s="292" t="s">
        <v>91</v>
      </c>
      <c r="I619" s="292" t="s">
        <v>91</v>
      </c>
      <c r="J619" s="292" t="s">
        <v>91</v>
      </c>
      <c r="K619" s="292" t="s">
        <v>91</v>
      </c>
      <c r="L619" s="292" t="s">
        <v>91</v>
      </c>
      <c r="M619" s="307">
        <f t="shared" si="9"/>
        <v>0</v>
      </c>
    </row>
    <row r="620" spans="1:13" ht="13.15">
      <c r="A620" s="2" t="s">
        <v>244</v>
      </c>
      <c r="B620" s="2" t="s">
        <v>181</v>
      </c>
      <c r="C620" s="2" t="s">
        <v>182</v>
      </c>
      <c r="D620" s="2" t="s">
        <v>85</v>
      </c>
      <c r="E620" s="2" t="s">
        <v>79</v>
      </c>
      <c r="F620" s="292" t="s">
        <v>91</v>
      </c>
      <c r="G620" s="292" t="s">
        <v>91</v>
      </c>
      <c r="H620" s="292" t="s">
        <v>91</v>
      </c>
      <c r="I620" s="292" t="s">
        <v>91</v>
      </c>
      <c r="J620" s="292" t="s">
        <v>91</v>
      </c>
      <c r="K620" s="292" t="s">
        <v>91</v>
      </c>
      <c r="L620" s="292" t="s">
        <v>91</v>
      </c>
      <c r="M620" s="307">
        <f t="shared" si="9"/>
        <v>0</v>
      </c>
    </row>
    <row r="621" spans="1:13" ht="13.15">
      <c r="A621" s="2" t="s">
        <v>244</v>
      </c>
      <c r="B621" s="2" t="s">
        <v>183</v>
      </c>
      <c r="C621" s="2" t="s">
        <v>184</v>
      </c>
      <c r="D621" s="2" t="s">
        <v>85</v>
      </c>
      <c r="E621" s="2" t="s">
        <v>79</v>
      </c>
      <c r="F621" s="292" t="s">
        <v>91</v>
      </c>
      <c r="G621" s="292" t="s">
        <v>91</v>
      </c>
      <c r="H621" s="292" t="s">
        <v>91</v>
      </c>
      <c r="I621" s="292" t="s">
        <v>91</v>
      </c>
      <c r="J621" s="292" t="s">
        <v>91</v>
      </c>
      <c r="K621" s="292" t="s">
        <v>91</v>
      </c>
      <c r="L621" s="292" t="s">
        <v>91</v>
      </c>
      <c r="M621" s="307">
        <f t="shared" si="9"/>
        <v>0</v>
      </c>
    </row>
    <row r="622" spans="1:13" ht="13.15">
      <c r="A622" s="2" t="s">
        <v>244</v>
      </c>
      <c r="B622" s="2" t="s">
        <v>185</v>
      </c>
      <c r="C622" s="2" t="s">
        <v>186</v>
      </c>
      <c r="D622" s="2" t="s">
        <v>85</v>
      </c>
      <c r="E622" s="2" t="s">
        <v>79</v>
      </c>
      <c r="F622" s="292" t="s">
        <v>91</v>
      </c>
      <c r="G622" s="292" t="s">
        <v>91</v>
      </c>
      <c r="H622" s="292" t="s">
        <v>91</v>
      </c>
      <c r="I622" s="292" t="s">
        <v>91</v>
      </c>
      <c r="J622" s="292" t="s">
        <v>91</v>
      </c>
      <c r="K622" s="292" t="s">
        <v>91</v>
      </c>
      <c r="L622" s="292" t="s">
        <v>91</v>
      </c>
      <c r="M622" s="307">
        <f t="shared" si="9"/>
        <v>0</v>
      </c>
    </row>
    <row r="623" spans="1:13" ht="13.15">
      <c r="A623" s="2" t="s">
        <v>244</v>
      </c>
      <c r="B623" s="2" t="s">
        <v>187</v>
      </c>
      <c r="C623" s="2" t="s">
        <v>188</v>
      </c>
      <c r="D623" s="2" t="s">
        <v>85</v>
      </c>
      <c r="E623" s="2" t="s">
        <v>79</v>
      </c>
      <c r="F623" s="292" t="s">
        <v>91</v>
      </c>
      <c r="G623" s="292" t="s">
        <v>91</v>
      </c>
      <c r="H623" s="292" t="s">
        <v>91</v>
      </c>
      <c r="I623" s="292" t="s">
        <v>91</v>
      </c>
      <c r="J623" s="292" t="s">
        <v>91</v>
      </c>
      <c r="K623" s="292" t="s">
        <v>91</v>
      </c>
      <c r="L623" s="292" t="s">
        <v>91</v>
      </c>
      <c r="M623" s="307">
        <f t="shared" si="9"/>
        <v>0</v>
      </c>
    </row>
    <row r="624" spans="1:13" ht="13.15">
      <c r="A624" s="2" t="s">
        <v>244</v>
      </c>
      <c r="B624" s="2" t="s">
        <v>189</v>
      </c>
      <c r="C624" s="2" t="s">
        <v>190</v>
      </c>
      <c r="D624" s="2" t="s">
        <v>85</v>
      </c>
      <c r="E624" s="2" t="s">
        <v>79</v>
      </c>
      <c r="F624" s="292" t="s">
        <v>91</v>
      </c>
      <c r="G624" s="292" t="s">
        <v>91</v>
      </c>
      <c r="H624" s="292" t="s">
        <v>91</v>
      </c>
      <c r="I624" s="292" t="s">
        <v>91</v>
      </c>
      <c r="J624" s="292" t="s">
        <v>91</v>
      </c>
      <c r="K624" s="292" t="s">
        <v>91</v>
      </c>
      <c r="L624" s="292" t="s">
        <v>91</v>
      </c>
      <c r="M624" s="307">
        <f t="shared" si="9"/>
        <v>0</v>
      </c>
    </row>
    <row r="625" spans="1:13" ht="13.15">
      <c r="A625" s="2" t="s">
        <v>244</v>
      </c>
      <c r="B625" s="2" t="s">
        <v>191</v>
      </c>
      <c r="C625" s="2" t="s">
        <v>192</v>
      </c>
      <c r="D625" s="2" t="s">
        <v>85</v>
      </c>
      <c r="E625" s="2" t="s">
        <v>79</v>
      </c>
      <c r="F625" s="292" t="s">
        <v>91</v>
      </c>
      <c r="G625" s="292" t="s">
        <v>91</v>
      </c>
      <c r="H625" s="292" t="s">
        <v>91</v>
      </c>
      <c r="I625" s="292" t="s">
        <v>91</v>
      </c>
      <c r="J625" s="292" t="s">
        <v>91</v>
      </c>
      <c r="K625" s="292" t="s">
        <v>91</v>
      </c>
      <c r="L625" s="292" t="s">
        <v>91</v>
      </c>
      <c r="M625" s="307">
        <f t="shared" si="9"/>
        <v>0</v>
      </c>
    </row>
    <row r="626" spans="1:13" ht="13.15">
      <c r="A626" s="2" t="s">
        <v>244</v>
      </c>
      <c r="B626" s="2" t="s">
        <v>193</v>
      </c>
      <c r="C626" s="2" t="s">
        <v>194</v>
      </c>
      <c r="D626" s="2" t="s">
        <v>85</v>
      </c>
      <c r="E626" s="2" t="s">
        <v>79</v>
      </c>
      <c r="F626" s="292" t="s">
        <v>91</v>
      </c>
      <c r="G626" s="292" t="s">
        <v>91</v>
      </c>
      <c r="H626" s="292" t="s">
        <v>91</v>
      </c>
      <c r="I626" s="292" t="s">
        <v>91</v>
      </c>
      <c r="J626" s="292" t="s">
        <v>91</v>
      </c>
      <c r="K626" s="292" t="s">
        <v>91</v>
      </c>
      <c r="L626" s="292" t="s">
        <v>91</v>
      </c>
      <c r="M626" s="307">
        <f t="shared" si="9"/>
        <v>0</v>
      </c>
    </row>
    <row r="627" spans="1:13" ht="13.15">
      <c r="A627" s="2" t="s">
        <v>244</v>
      </c>
      <c r="B627" s="2" t="s">
        <v>195</v>
      </c>
      <c r="C627" s="2" t="s">
        <v>196</v>
      </c>
      <c r="D627" s="2" t="s">
        <v>85</v>
      </c>
      <c r="E627" s="2" t="s">
        <v>79</v>
      </c>
      <c r="F627" s="292" t="s">
        <v>91</v>
      </c>
      <c r="G627" s="292" t="s">
        <v>91</v>
      </c>
      <c r="H627" s="292" t="s">
        <v>91</v>
      </c>
      <c r="I627" s="292" t="s">
        <v>91</v>
      </c>
      <c r="J627" s="292" t="s">
        <v>91</v>
      </c>
      <c r="K627" s="292" t="s">
        <v>91</v>
      </c>
      <c r="L627" s="292" t="s">
        <v>91</v>
      </c>
      <c r="M627" s="307">
        <f t="shared" si="9"/>
        <v>0</v>
      </c>
    </row>
    <row r="628" spans="1:13" ht="13.15">
      <c r="A628" s="2" t="s">
        <v>244</v>
      </c>
      <c r="B628" s="2" t="s">
        <v>197</v>
      </c>
      <c r="C628" s="2" t="s">
        <v>198</v>
      </c>
      <c r="D628" s="2" t="s">
        <v>85</v>
      </c>
      <c r="E628" s="2" t="s">
        <v>79</v>
      </c>
      <c r="F628" s="292" t="s">
        <v>91</v>
      </c>
      <c r="G628" s="292" t="s">
        <v>91</v>
      </c>
      <c r="H628" s="292" t="s">
        <v>91</v>
      </c>
      <c r="I628" s="292" t="s">
        <v>91</v>
      </c>
      <c r="J628" s="292" t="s">
        <v>91</v>
      </c>
      <c r="K628" s="292" t="s">
        <v>91</v>
      </c>
      <c r="L628" s="292" t="s">
        <v>91</v>
      </c>
      <c r="M628" s="307">
        <f t="shared" si="9"/>
        <v>0</v>
      </c>
    </row>
    <row r="629" spans="1:13" ht="13.15">
      <c r="A629" s="2" t="s">
        <v>244</v>
      </c>
      <c r="B629" s="2" t="s">
        <v>199</v>
      </c>
      <c r="C629" s="2" t="s">
        <v>200</v>
      </c>
      <c r="D629" s="2" t="s">
        <v>85</v>
      </c>
      <c r="E629" s="2" t="s">
        <v>79</v>
      </c>
      <c r="F629" s="292" t="s">
        <v>91</v>
      </c>
      <c r="G629" s="292" t="s">
        <v>91</v>
      </c>
      <c r="H629" s="292" t="s">
        <v>91</v>
      </c>
      <c r="I629" s="292" t="s">
        <v>91</v>
      </c>
      <c r="J629" s="292" t="s">
        <v>91</v>
      </c>
      <c r="K629" s="292" t="s">
        <v>91</v>
      </c>
      <c r="L629" s="292" t="s">
        <v>91</v>
      </c>
      <c r="M629" s="307">
        <f t="shared" si="9"/>
        <v>0</v>
      </c>
    </row>
    <row r="630" spans="1:13" ht="13.15">
      <c r="A630" s="2" t="s">
        <v>244</v>
      </c>
      <c r="B630" s="2" t="s">
        <v>201</v>
      </c>
      <c r="C630" s="2" t="s">
        <v>202</v>
      </c>
      <c r="D630" s="2" t="s">
        <v>85</v>
      </c>
      <c r="E630" s="2" t="s">
        <v>79</v>
      </c>
      <c r="F630" s="292" t="s">
        <v>91</v>
      </c>
      <c r="G630" s="292" t="s">
        <v>91</v>
      </c>
      <c r="H630" s="292" t="s">
        <v>91</v>
      </c>
      <c r="I630" s="292" t="s">
        <v>91</v>
      </c>
      <c r="J630" s="292" t="s">
        <v>91</v>
      </c>
      <c r="K630" s="292" t="s">
        <v>91</v>
      </c>
      <c r="L630" s="292" t="s">
        <v>91</v>
      </c>
      <c r="M630" s="307">
        <f t="shared" si="9"/>
        <v>0</v>
      </c>
    </row>
    <row r="631" spans="1:13" ht="13.15">
      <c r="A631" s="2" t="s">
        <v>244</v>
      </c>
      <c r="B631" s="2" t="s">
        <v>203</v>
      </c>
      <c r="C631" s="2" t="s">
        <v>204</v>
      </c>
      <c r="D631" s="2" t="s">
        <v>85</v>
      </c>
      <c r="E631" s="2" t="s">
        <v>79</v>
      </c>
      <c r="F631" s="292" t="s">
        <v>91</v>
      </c>
      <c r="G631" s="292" t="s">
        <v>91</v>
      </c>
      <c r="H631" s="292" t="s">
        <v>91</v>
      </c>
      <c r="I631" s="292" t="s">
        <v>91</v>
      </c>
      <c r="J631" s="292" t="s">
        <v>91</v>
      </c>
      <c r="K631" s="292" t="s">
        <v>91</v>
      </c>
      <c r="L631" s="292" t="s">
        <v>91</v>
      </c>
      <c r="M631" s="307">
        <f t="shared" si="9"/>
        <v>0</v>
      </c>
    </row>
    <row r="632" spans="1:13" ht="13.15">
      <c r="A632" s="2" t="s">
        <v>244</v>
      </c>
      <c r="B632" s="2" t="s">
        <v>205</v>
      </c>
      <c r="C632" s="2" t="s">
        <v>206</v>
      </c>
      <c r="D632" s="2" t="s">
        <v>85</v>
      </c>
      <c r="E632" s="2" t="s">
        <v>79</v>
      </c>
      <c r="F632" s="292" t="s">
        <v>91</v>
      </c>
      <c r="G632" s="292" t="s">
        <v>91</v>
      </c>
      <c r="H632" s="292" t="s">
        <v>91</v>
      </c>
      <c r="I632" s="292" t="s">
        <v>91</v>
      </c>
      <c r="J632" s="292" t="s">
        <v>91</v>
      </c>
      <c r="K632" s="292" t="s">
        <v>91</v>
      </c>
      <c r="L632" s="292" t="s">
        <v>91</v>
      </c>
      <c r="M632" s="307">
        <f t="shared" si="9"/>
        <v>0</v>
      </c>
    </row>
    <row r="633" spans="1:13" ht="13.15">
      <c r="A633" s="2" t="s">
        <v>244</v>
      </c>
      <c r="B633" s="2" t="s">
        <v>207</v>
      </c>
      <c r="C633" s="2" t="s">
        <v>208</v>
      </c>
      <c r="D633" s="2" t="s">
        <v>85</v>
      </c>
      <c r="E633" s="2" t="s">
        <v>79</v>
      </c>
      <c r="F633" s="292" t="s">
        <v>91</v>
      </c>
      <c r="G633" s="292" t="s">
        <v>91</v>
      </c>
      <c r="H633" s="292" t="s">
        <v>91</v>
      </c>
      <c r="I633" s="292" t="s">
        <v>91</v>
      </c>
      <c r="J633" s="292" t="s">
        <v>91</v>
      </c>
      <c r="K633" s="292" t="s">
        <v>91</v>
      </c>
      <c r="L633" s="292" t="s">
        <v>91</v>
      </c>
      <c r="M633" s="307">
        <f t="shared" si="9"/>
        <v>0</v>
      </c>
    </row>
    <row r="634" spans="1:13" ht="13.15">
      <c r="A634" s="2" t="s">
        <v>244</v>
      </c>
      <c r="B634" s="2" t="s">
        <v>209</v>
      </c>
      <c r="C634" s="2" t="s">
        <v>210</v>
      </c>
      <c r="D634" s="2" t="s">
        <v>85</v>
      </c>
      <c r="E634" s="2" t="s">
        <v>79</v>
      </c>
      <c r="F634" s="292" t="s">
        <v>91</v>
      </c>
      <c r="G634" s="292" t="s">
        <v>91</v>
      </c>
      <c r="H634" s="292" t="s">
        <v>91</v>
      </c>
      <c r="I634" s="292" t="s">
        <v>91</v>
      </c>
      <c r="J634" s="292" t="s">
        <v>91</v>
      </c>
      <c r="K634" s="292" t="s">
        <v>91</v>
      </c>
      <c r="L634" s="292" t="s">
        <v>91</v>
      </c>
      <c r="M634" s="307">
        <f t="shared" si="9"/>
        <v>0</v>
      </c>
    </row>
    <row r="635" spans="1:13" ht="13.15">
      <c r="A635" s="2" t="s">
        <v>244</v>
      </c>
      <c r="B635" s="2" t="s">
        <v>211</v>
      </c>
      <c r="C635" s="2" t="s">
        <v>212</v>
      </c>
      <c r="D635" s="2" t="s">
        <v>85</v>
      </c>
      <c r="E635" s="2" t="s">
        <v>79</v>
      </c>
      <c r="F635" s="292" t="s">
        <v>91</v>
      </c>
      <c r="G635" s="292" t="s">
        <v>91</v>
      </c>
      <c r="H635" s="292" t="s">
        <v>91</v>
      </c>
      <c r="I635" s="292" t="s">
        <v>91</v>
      </c>
      <c r="J635" s="292" t="s">
        <v>91</v>
      </c>
      <c r="K635" s="292" t="s">
        <v>91</v>
      </c>
      <c r="L635" s="292" t="s">
        <v>91</v>
      </c>
      <c r="M635" s="307">
        <f t="shared" si="9"/>
        <v>0</v>
      </c>
    </row>
    <row r="636" spans="1:13" ht="13.15">
      <c r="A636" s="2" t="s">
        <v>244</v>
      </c>
      <c r="B636" s="2" t="s">
        <v>213</v>
      </c>
      <c r="C636" s="2" t="s">
        <v>214</v>
      </c>
      <c r="D636" s="2" t="s">
        <v>85</v>
      </c>
      <c r="E636" s="2" t="s">
        <v>79</v>
      </c>
      <c r="F636" s="292" t="s">
        <v>91</v>
      </c>
      <c r="G636" s="292" t="s">
        <v>91</v>
      </c>
      <c r="H636" s="292" t="s">
        <v>91</v>
      </c>
      <c r="I636" s="292" t="s">
        <v>91</v>
      </c>
      <c r="J636" s="292" t="s">
        <v>91</v>
      </c>
      <c r="K636" s="292" t="s">
        <v>91</v>
      </c>
      <c r="L636" s="292" t="s">
        <v>91</v>
      </c>
      <c r="M636" s="307">
        <f t="shared" si="9"/>
        <v>0</v>
      </c>
    </row>
    <row r="637" spans="1:13" ht="13.15">
      <c r="A637" s="2" t="s">
        <v>244</v>
      </c>
      <c r="B637" s="2" t="s">
        <v>215</v>
      </c>
      <c r="C637" s="2" t="s">
        <v>216</v>
      </c>
      <c r="D637" s="2" t="s">
        <v>85</v>
      </c>
      <c r="E637" s="2" t="s">
        <v>79</v>
      </c>
      <c r="F637" s="292" t="s">
        <v>91</v>
      </c>
      <c r="G637" s="292" t="s">
        <v>91</v>
      </c>
      <c r="H637" s="292" t="s">
        <v>91</v>
      </c>
      <c r="I637" s="292" t="s">
        <v>91</v>
      </c>
      <c r="J637" s="292" t="s">
        <v>91</v>
      </c>
      <c r="K637" s="292" t="s">
        <v>91</v>
      </c>
      <c r="L637" s="292" t="s">
        <v>91</v>
      </c>
      <c r="M637" s="307">
        <f t="shared" si="9"/>
        <v>0</v>
      </c>
    </row>
    <row r="638" spans="1:13" ht="13.15">
      <c r="A638" s="2" t="s">
        <v>244</v>
      </c>
      <c r="B638" s="2" t="s">
        <v>217</v>
      </c>
      <c r="C638" s="2" t="s">
        <v>218</v>
      </c>
      <c r="D638" s="2" t="s">
        <v>85</v>
      </c>
      <c r="E638" s="2" t="s">
        <v>79</v>
      </c>
      <c r="F638" s="292" t="s">
        <v>91</v>
      </c>
      <c r="G638" s="292" t="s">
        <v>91</v>
      </c>
      <c r="H638" s="292" t="s">
        <v>91</v>
      </c>
      <c r="I638" s="292" t="s">
        <v>91</v>
      </c>
      <c r="J638" s="292" t="s">
        <v>91</v>
      </c>
      <c r="K638" s="292" t="s">
        <v>91</v>
      </c>
      <c r="L638" s="292" t="s">
        <v>91</v>
      </c>
      <c r="M638" s="307">
        <f t="shared" si="9"/>
        <v>0</v>
      </c>
    </row>
    <row r="639" spans="1:13" ht="13.15">
      <c r="A639" s="2" t="s">
        <v>244</v>
      </c>
      <c r="B639" s="2" t="s">
        <v>219</v>
      </c>
      <c r="C639" s="2" t="s">
        <v>220</v>
      </c>
      <c r="D639" s="2" t="s">
        <v>85</v>
      </c>
      <c r="E639" s="2" t="s">
        <v>79</v>
      </c>
      <c r="F639" s="292" t="s">
        <v>91</v>
      </c>
      <c r="G639" s="292" t="s">
        <v>91</v>
      </c>
      <c r="H639" s="292" t="s">
        <v>91</v>
      </c>
      <c r="I639" s="292" t="s">
        <v>91</v>
      </c>
      <c r="J639" s="292" t="s">
        <v>91</v>
      </c>
      <c r="K639" s="292" t="s">
        <v>91</v>
      </c>
      <c r="L639" s="292" t="s">
        <v>91</v>
      </c>
      <c r="M639" s="307">
        <f t="shared" si="9"/>
        <v>0</v>
      </c>
    </row>
    <row r="640" spans="1:13" ht="13.15">
      <c r="A640" s="2" t="s">
        <v>244</v>
      </c>
      <c r="B640" s="2" t="s">
        <v>221</v>
      </c>
      <c r="C640" s="2" t="s">
        <v>222</v>
      </c>
      <c r="D640" s="2" t="s">
        <v>85</v>
      </c>
      <c r="E640" s="2" t="s">
        <v>79</v>
      </c>
      <c r="F640" s="292" t="s">
        <v>91</v>
      </c>
      <c r="G640" s="292" t="s">
        <v>91</v>
      </c>
      <c r="H640" s="292" t="s">
        <v>91</v>
      </c>
      <c r="I640" s="292" t="s">
        <v>91</v>
      </c>
      <c r="J640" s="292" t="s">
        <v>91</v>
      </c>
      <c r="K640" s="292" t="s">
        <v>91</v>
      </c>
      <c r="L640" s="292" t="s">
        <v>91</v>
      </c>
      <c r="M640" s="307">
        <f t="shared" si="9"/>
        <v>0</v>
      </c>
    </row>
    <row r="641" spans="1:13" ht="13.15">
      <c r="A641" s="2" t="s">
        <v>244</v>
      </c>
      <c r="B641" s="2" t="s">
        <v>223</v>
      </c>
      <c r="C641" s="2" t="s">
        <v>224</v>
      </c>
      <c r="D641" s="2" t="s">
        <v>85</v>
      </c>
      <c r="E641" s="2" t="s">
        <v>79</v>
      </c>
      <c r="F641" s="292" t="s">
        <v>91</v>
      </c>
      <c r="G641" s="292" t="s">
        <v>91</v>
      </c>
      <c r="H641" s="292" t="s">
        <v>91</v>
      </c>
      <c r="I641" s="292" t="s">
        <v>91</v>
      </c>
      <c r="J641" s="292" t="s">
        <v>91</v>
      </c>
      <c r="K641" s="292" t="s">
        <v>91</v>
      </c>
      <c r="L641" s="292" t="s">
        <v>91</v>
      </c>
      <c r="M641" s="307">
        <f t="shared" si="9"/>
        <v>0</v>
      </c>
    </row>
    <row r="642" spans="1:13" ht="13.15">
      <c r="A642" s="2" t="s">
        <v>244</v>
      </c>
      <c r="B642" s="2" t="s">
        <v>225</v>
      </c>
      <c r="C642" s="2" t="s">
        <v>226</v>
      </c>
      <c r="D642" s="2" t="s">
        <v>85</v>
      </c>
      <c r="E642" s="2" t="s">
        <v>79</v>
      </c>
      <c r="F642" s="292" t="s">
        <v>91</v>
      </c>
      <c r="G642" s="292" t="s">
        <v>91</v>
      </c>
      <c r="H642" s="292" t="s">
        <v>91</v>
      </c>
      <c r="I642" s="292" t="s">
        <v>91</v>
      </c>
      <c r="J642" s="292" t="s">
        <v>91</v>
      </c>
      <c r="K642" s="292" t="s">
        <v>91</v>
      </c>
      <c r="L642" s="292" t="s">
        <v>91</v>
      </c>
      <c r="M642" s="307">
        <f t="shared" si="9"/>
        <v>0</v>
      </c>
    </row>
    <row r="643" spans="1:13" ht="13.15">
      <c r="A643" s="2" t="s">
        <v>244</v>
      </c>
      <c r="B643" s="2" t="s">
        <v>227</v>
      </c>
      <c r="C643" s="2" t="s">
        <v>228</v>
      </c>
      <c r="D643" s="2" t="s">
        <v>85</v>
      </c>
      <c r="E643" s="2" t="s">
        <v>79</v>
      </c>
      <c r="F643" s="292" t="s">
        <v>91</v>
      </c>
      <c r="G643" s="292" t="s">
        <v>91</v>
      </c>
      <c r="H643" s="292" t="s">
        <v>91</v>
      </c>
      <c r="I643" s="292" t="s">
        <v>91</v>
      </c>
      <c r="J643" s="292" t="s">
        <v>91</v>
      </c>
      <c r="K643" s="292" t="s">
        <v>91</v>
      </c>
      <c r="L643" s="292" t="s">
        <v>91</v>
      </c>
      <c r="M643" s="307">
        <f t="shared" si="9"/>
        <v>0</v>
      </c>
    </row>
    <row r="644" spans="1:13" ht="13.15">
      <c r="A644" s="2" t="s">
        <v>244</v>
      </c>
      <c r="B644" s="2" t="s">
        <v>229</v>
      </c>
      <c r="C644" s="2" t="s">
        <v>230</v>
      </c>
      <c r="D644" s="2" t="s">
        <v>85</v>
      </c>
      <c r="E644" s="2" t="s">
        <v>79</v>
      </c>
      <c r="F644" s="292" t="s">
        <v>91</v>
      </c>
      <c r="G644" s="292" t="s">
        <v>91</v>
      </c>
      <c r="H644" s="292" t="s">
        <v>91</v>
      </c>
      <c r="I644" s="292" t="s">
        <v>91</v>
      </c>
      <c r="J644" s="292" t="s">
        <v>91</v>
      </c>
      <c r="K644" s="292" t="s">
        <v>91</v>
      </c>
      <c r="L644" s="292" t="s">
        <v>91</v>
      </c>
      <c r="M644" s="307">
        <f t="shared" si="9"/>
        <v>0</v>
      </c>
    </row>
    <row r="645" spans="1:13" ht="13.15">
      <c r="A645" s="2" t="s">
        <v>244</v>
      </c>
      <c r="B645" s="2" t="s">
        <v>231</v>
      </c>
      <c r="C645" s="2" t="s">
        <v>232</v>
      </c>
      <c r="D645" s="2" t="s">
        <v>85</v>
      </c>
      <c r="E645" s="2" t="s">
        <v>79</v>
      </c>
      <c r="F645" s="292" t="s">
        <v>91</v>
      </c>
      <c r="G645" s="292" t="s">
        <v>91</v>
      </c>
      <c r="H645" s="292" t="s">
        <v>91</v>
      </c>
      <c r="I645" s="292" t="s">
        <v>91</v>
      </c>
      <c r="J645" s="292" t="s">
        <v>91</v>
      </c>
      <c r="K645" s="292" t="s">
        <v>91</v>
      </c>
      <c r="L645" s="292" t="s">
        <v>91</v>
      </c>
      <c r="M645" s="307">
        <f t="shared" ref="M645:M708" si="10">SUM(F645:L645)</f>
        <v>0</v>
      </c>
    </row>
    <row r="646" spans="1:13" ht="13.15">
      <c r="A646" s="2" t="s">
        <v>244</v>
      </c>
      <c r="B646" s="2" t="s">
        <v>233</v>
      </c>
      <c r="C646" s="2" t="s">
        <v>234</v>
      </c>
      <c r="D646" s="2" t="s">
        <v>85</v>
      </c>
      <c r="E646" s="2" t="s">
        <v>79</v>
      </c>
      <c r="F646" s="292" t="s">
        <v>91</v>
      </c>
      <c r="G646" s="292" t="s">
        <v>91</v>
      </c>
      <c r="H646" s="292" t="s">
        <v>91</v>
      </c>
      <c r="I646" s="292" t="s">
        <v>91</v>
      </c>
      <c r="J646" s="292" t="s">
        <v>91</v>
      </c>
      <c r="K646" s="292" t="s">
        <v>91</v>
      </c>
      <c r="L646" s="292" t="s">
        <v>91</v>
      </c>
      <c r="M646" s="307">
        <f t="shared" si="10"/>
        <v>0</v>
      </c>
    </row>
    <row r="647" spans="1:13" ht="13.15">
      <c r="A647" s="2" t="s">
        <v>244</v>
      </c>
      <c r="B647" s="2" t="s">
        <v>235</v>
      </c>
      <c r="C647" s="2" t="s">
        <v>236</v>
      </c>
      <c r="D647" s="2" t="s">
        <v>85</v>
      </c>
      <c r="E647" s="2" t="s">
        <v>79</v>
      </c>
      <c r="F647" s="292" t="s">
        <v>91</v>
      </c>
      <c r="G647" s="292" t="s">
        <v>91</v>
      </c>
      <c r="H647" s="292" t="s">
        <v>91</v>
      </c>
      <c r="I647" s="292" t="s">
        <v>91</v>
      </c>
      <c r="J647" s="292" t="s">
        <v>91</v>
      </c>
      <c r="K647" s="292" t="s">
        <v>91</v>
      </c>
      <c r="L647" s="292" t="s">
        <v>91</v>
      </c>
      <c r="M647" s="307">
        <f t="shared" si="10"/>
        <v>0</v>
      </c>
    </row>
    <row r="648" spans="1:13" ht="13.15">
      <c r="A648" s="2" t="s">
        <v>244</v>
      </c>
      <c r="B648" s="2" t="s">
        <v>237</v>
      </c>
      <c r="C648" s="2" t="s">
        <v>238</v>
      </c>
      <c r="D648" s="2" t="s">
        <v>85</v>
      </c>
      <c r="E648" s="2" t="s">
        <v>79</v>
      </c>
      <c r="F648" s="292" t="s">
        <v>91</v>
      </c>
      <c r="G648" s="292" t="s">
        <v>91</v>
      </c>
      <c r="H648" s="292" t="s">
        <v>91</v>
      </c>
      <c r="I648" s="292" t="s">
        <v>91</v>
      </c>
      <c r="J648" s="292" t="s">
        <v>91</v>
      </c>
      <c r="K648" s="292" t="s">
        <v>91</v>
      </c>
      <c r="L648" s="292" t="s">
        <v>91</v>
      </c>
      <c r="M648" s="307">
        <f t="shared" si="10"/>
        <v>0</v>
      </c>
    </row>
    <row r="649" spans="1:13" ht="13.15">
      <c r="A649" s="2" t="s">
        <v>244</v>
      </c>
      <c r="B649" s="2" t="s">
        <v>239</v>
      </c>
      <c r="C649" s="2" t="s">
        <v>240</v>
      </c>
      <c r="D649" s="2" t="s">
        <v>85</v>
      </c>
      <c r="E649" s="2" t="s">
        <v>79</v>
      </c>
      <c r="F649" s="292" t="s">
        <v>91</v>
      </c>
      <c r="G649" s="292" t="s">
        <v>91</v>
      </c>
      <c r="H649" s="292" t="s">
        <v>91</v>
      </c>
      <c r="I649" s="292" t="s">
        <v>91</v>
      </c>
      <c r="J649" s="292" t="s">
        <v>91</v>
      </c>
      <c r="K649" s="292" t="s">
        <v>91</v>
      </c>
      <c r="L649" s="292" t="s">
        <v>91</v>
      </c>
      <c r="M649" s="307">
        <f t="shared" si="10"/>
        <v>0</v>
      </c>
    </row>
    <row r="650" spans="1:13" ht="13.15">
      <c r="A650" s="2" t="s">
        <v>245</v>
      </c>
      <c r="B650" s="2" t="s">
        <v>155</v>
      </c>
      <c r="C650" s="2" t="s">
        <v>156</v>
      </c>
      <c r="D650" s="2" t="s">
        <v>85</v>
      </c>
      <c r="E650" s="2" t="s">
        <v>79</v>
      </c>
      <c r="F650" s="292" t="s">
        <v>91</v>
      </c>
      <c r="G650" s="292" t="s">
        <v>91</v>
      </c>
      <c r="H650" s="292" t="s">
        <v>91</v>
      </c>
      <c r="I650" s="292" t="s">
        <v>91</v>
      </c>
      <c r="J650" s="292" t="s">
        <v>91</v>
      </c>
      <c r="K650" s="292" t="s">
        <v>91</v>
      </c>
      <c r="L650" s="292" t="s">
        <v>91</v>
      </c>
      <c r="M650" s="307">
        <f t="shared" si="10"/>
        <v>0</v>
      </c>
    </row>
    <row r="651" spans="1:13" ht="13.15">
      <c r="A651" s="2" t="s">
        <v>245</v>
      </c>
      <c r="B651" s="2" t="s">
        <v>157</v>
      </c>
      <c r="C651" s="2" t="s">
        <v>158</v>
      </c>
      <c r="D651" s="2" t="s">
        <v>85</v>
      </c>
      <c r="E651" s="2" t="s">
        <v>79</v>
      </c>
      <c r="F651" s="292" t="s">
        <v>91</v>
      </c>
      <c r="G651" s="292" t="s">
        <v>91</v>
      </c>
      <c r="H651" s="292" t="s">
        <v>91</v>
      </c>
      <c r="I651" s="292" t="s">
        <v>91</v>
      </c>
      <c r="J651" s="292" t="s">
        <v>91</v>
      </c>
      <c r="K651" s="292" t="s">
        <v>91</v>
      </c>
      <c r="L651" s="292" t="s">
        <v>91</v>
      </c>
      <c r="M651" s="307">
        <f t="shared" si="10"/>
        <v>0</v>
      </c>
    </row>
    <row r="652" spans="1:13" ht="13.15">
      <c r="A652" s="2" t="s">
        <v>245</v>
      </c>
      <c r="B652" s="2" t="s">
        <v>159</v>
      </c>
      <c r="C652" s="2" t="s">
        <v>160</v>
      </c>
      <c r="D652" s="2" t="s">
        <v>85</v>
      </c>
      <c r="E652" s="2" t="s">
        <v>79</v>
      </c>
      <c r="F652" s="292" t="s">
        <v>91</v>
      </c>
      <c r="G652" s="292" t="s">
        <v>91</v>
      </c>
      <c r="H652" s="292" t="s">
        <v>91</v>
      </c>
      <c r="I652" s="292" t="s">
        <v>91</v>
      </c>
      <c r="J652" s="292" t="s">
        <v>91</v>
      </c>
      <c r="K652" s="292" t="s">
        <v>91</v>
      </c>
      <c r="L652" s="292" t="s">
        <v>91</v>
      </c>
      <c r="M652" s="307">
        <f t="shared" si="10"/>
        <v>0</v>
      </c>
    </row>
    <row r="653" spans="1:13" ht="13.15">
      <c r="A653" s="2" t="s">
        <v>245</v>
      </c>
      <c r="B653" s="2" t="s">
        <v>161</v>
      </c>
      <c r="C653" s="2" t="s">
        <v>162</v>
      </c>
      <c r="D653" s="2" t="s">
        <v>85</v>
      </c>
      <c r="E653" s="2" t="s">
        <v>79</v>
      </c>
      <c r="F653" s="292" t="s">
        <v>91</v>
      </c>
      <c r="G653" s="292" t="s">
        <v>91</v>
      </c>
      <c r="H653" s="292" t="s">
        <v>91</v>
      </c>
      <c r="I653" s="292" t="s">
        <v>91</v>
      </c>
      <c r="J653" s="292" t="s">
        <v>91</v>
      </c>
      <c r="K653" s="292" t="s">
        <v>91</v>
      </c>
      <c r="L653" s="292" t="s">
        <v>91</v>
      </c>
      <c r="M653" s="307">
        <f t="shared" si="10"/>
        <v>0</v>
      </c>
    </row>
    <row r="654" spans="1:13" ht="13.15">
      <c r="A654" s="2" t="s">
        <v>245</v>
      </c>
      <c r="B654" s="2" t="s">
        <v>163</v>
      </c>
      <c r="C654" s="2" t="s">
        <v>164</v>
      </c>
      <c r="D654" s="2" t="s">
        <v>85</v>
      </c>
      <c r="E654" s="2" t="s">
        <v>79</v>
      </c>
      <c r="F654" s="292" t="s">
        <v>91</v>
      </c>
      <c r="G654" s="292" t="s">
        <v>91</v>
      </c>
      <c r="H654" s="292" t="s">
        <v>91</v>
      </c>
      <c r="I654" s="292" t="s">
        <v>91</v>
      </c>
      <c r="J654" s="292" t="s">
        <v>91</v>
      </c>
      <c r="K654" s="292" t="s">
        <v>91</v>
      </c>
      <c r="L654" s="292" t="s">
        <v>91</v>
      </c>
      <c r="M654" s="307">
        <f t="shared" si="10"/>
        <v>0</v>
      </c>
    </row>
    <row r="655" spans="1:13" ht="13.15">
      <c r="A655" s="2" t="s">
        <v>245</v>
      </c>
      <c r="B655" s="2" t="s">
        <v>165</v>
      </c>
      <c r="C655" s="2" t="s">
        <v>166</v>
      </c>
      <c r="D655" s="2" t="s">
        <v>85</v>
      </c>
      <c r="E655" s="2" t="s">
        <v>79</v>
      </c>
      <c r="F655" s="292" t="s">
        <v>91</v>
      </c>
      <c r="G655" s="292" t="s">
        <v>91</v>
      </c>
      <c r="H655" s="292" t="s">
        <v>91</v>
      </c>
      <c r="I655" s="292" t="s">
        <v>91</v>
      </c>
      <c r="J655" s="292" t="s">
        <v>91</v>
      </c>
      <c r="K655" s="292" t="s">
        <v>91</v>
      </c>
      <c r="L655" s="292" t="s">
        <v>91</v>
      </c>
      <c r="M655" s="307">
        <f t="shared" si="10"/>
        <v>0</v>
      </c>
    </row>
    <row r="656" spans="1:13" ht="13.15">
      <c r="A656" s="2" t="s">
        <v>245</v>
      </c>
      <c r="B656" s="2" t="s">
        <v>167</v>
      </c>
      <c r="C656" s="2" t="s">
        <v>168</v>
      </c>
      <c r="D656" s="2" t="s">
        <v>85</v>
      </c>
      <c r="E656" s="2" t="s">
        <v>79</v>
      </c>
      <c r="F656" s="292" t="s">
        <v>91</v>
      </c>
      <c r="G656" s="292" t="s">
        <v>91</v>
      </c>
      <c r="H656" s="292" t="s">
        <v>91</v>
      </c>
      <c r="I656" s="292" t="s">
        <v>91</v>
      </c>
      <c r="J656" s="292" t="s">
        <v>91</v>
      </c>
      <c r="K656" s="292" t="s">
        <v>91</v>
      </c>
      <c r="L656" s="292" t="s">
        <v>91</v>
      </c>
      <c r="M656" s="307">
        <f t="shared" si="10"/>
        <v>0</v>
      </c>
    </row>
    <row r="657" spans="1:13" ht="13.15">
      <c r="A657" s="2" t="s">
        <v>245</v>
      </c>
      <c r="B657" s="2" t="s">
        <v>169</v>
      </c>
      <c r="C657" s="2" t="s">
        <v>170</v>
      </c>
      <c r="D657" s="2" t="s">
        <v>85</v>
      </c>
      <c r="E657" s="2" t="s">
        <v>79</v>
      </c>
      <c r="F657" s="292" t="s">
        <v>91</v>
      </c>
      <c r="G657" s="292" t="s">
        <v>91</v>
      </c>
      <c r="H657" s="292" t="s">
        <v>91</v>
      </c>
      <c r="I657" s="292" t="s">
        <v>91</v>
      </c>
      <c r="J657" s="292" t="s">
        <v>91</v>
      </c>
      <c r="K657" s="292" t="s">
        <v>91</v>
      </c>
      <c r="L657" s="292" t="s">
        <v>91</v>
      </c>
      <c r="M657" s="307">
        <f t="shared" si="10"/>
        <v>0</v>
      </c>
    </row>
    <row r="658" spans="1:13" ht="13.15">
      <c r="A658" s="2" t="s">
        <v>245</v>
      </c>
      <c r="B658" s="2" t="s">
        <v>171</v>
      </c>
      <c r="C658" s="2" t="s">
        <v>172</v>
      </c>
      <c r="D658" s="2" t="s">
        <v>85</v>
      </c>
      <c r="E658" s="2" t="s">
        <v>79</v>
      </c>
      <c r="F658" s="292" t="s">
        <v>91</v>
      </c>
      <c r="G658" s="292" t="s">
        <v>91</v>
      </c>
      <c r="H658" s="292" t="s">
        <v>91</v>
      </c>
      <c r="I658" s="292" t="s">
        <v>91</v>
      </c>
      <c r="J658" s="292" t="s">
        <v>91</v>
      </c>
      <c r="K658" s="292" t="s">
        <v>91</v>
      </c>
      <c r="L658" s="292" t="s">
        <v>91</v>
      </c>
      <c r="M658" s="307">
        <f t="shared" si="10"/>
        <v>0</v>
      </c>
    </row>
    <row r="659" spans="1:13" ht="13.15">
      <c r="A659" s="2" t="s">
        <v>245</v>
      </c>
      <c r="B659" s="2" t="s">
        <v>173</v>
      </c>
      <c r="C659" s="2" t="s">
        <v>174</v>
      </c>
      <c r="D659" s="2" t="s">
        <v>85</v>
      </c>
      <c r="E659" s="2" t="s">
        <v>79</v>
      </c>
      <c r="F659" s="292" t="s">
        <v>91</v>
      </c>
      <c r="G659" s="292" t="s">
        <v>91</v>
      </c>
      <c r="H659" s="292" t="s">
        <v>91</v>
      </c>
      <c r="I659" s="292" t="s">
        <v>91</v>
      </c>
      <c r="J659" s="292" t="s">
        <v>91</v>
      </c>
      <c r="K659" s="292" t="s">
        <v>91</v>
      </c>
      <c r="L659" s="292" t="s">
        <v>91</v>
      </c>
      <c r="M659" s="307">
        <f t="shared" si="10"/>
        <v>0</v>
      </c>
    </row>
    <row r="660" spans="1:13" ht="13.15">
      <c r="A660" s="2" t="s">
        <v>245</v>
      </c>
      <c r="B660" s="2" t="s">
        <v>175</v>
      </c>
      <c r="C660" s="2" t="s">
        <v>176</v>
      </c>
      <c r="D660" s="2" t="s">
        <v>85</v>
      </c>
      <c r="E660" s="2" t="s">
        <v>79</v>
      </c>
      <c r="F660" s="292" t="s">
        <v>91</v>
      </c>
      <c r="G660" s="292" t="s">
        <v>91</v>
      </c>
      <c r="H660" s="292" t="s">
        <v>91</v>
      </c>
      <c r="I660" s="292" t="s">
        <v>91</v>
      </c>
      <c r="J660" s="292" t="s">
        <v>91</v>
      </c>
      <c r="K660" s="292" t="s">
        <v>91</v>
      </c>
      <c r="L660" s="292" t="s">
        <v>91</v>
      </c>
      <c r="M660" s="307">
        <f t="shared" si="10"/>
        <v>0</v>
      </c>
    </row>
    <row r="661" spans="1:13" ht="13.15">
      <c r="A661" s="2" t="s">
        <v>245</v>
      </c>
      <c r="B661" s="2" t="s">
        <v>177</v>
      </c>
      <c r="C661" s="2" t="s">
        <v>178</v>
      </c>
      <c r="D661" s="2" t="s">
        <v>85</v>
      </c>
      <c r="E661" s="2" t="s">
        <v>79</v>
      </c>
      <c r="F661" s="292" t="s">
        <v>91</v>
      </c>
      <c r="G661" s="292" t="s">
        <v>91</v>
      </c>
      <c r="H661" s="292" t="s">
        <v>91</v>
      </c>
      <c r="I661" s="292" t="s">
        <v>91</v>
      </c>
      <c r="J661" s="292" t="s">
        <v>91</v>
      </c>
      <c r="K661" s="292" t="s">
        <v>91</v>
      </c>
      <c r="L661" s="292" t="s">
        <v>91</v>
      </c>
      <c r="M661" s="307">
        <f t="shared" si="10"/>
        <v>0</v>
      </c>
    </row>
    <row r="662" spans="1:13" ht="13.15">
      <c r="A662" s="2" t="s">
        <v>245</v>
      </c>
      <c r="B662" s="2" t="s">
        <v>179</v>
      </c>
      <c r="C662" s="2" t="s">
        <v>180</v>
      </c>
      <c r="D662" s="2" t="s">
        <v>85</v>
      </c>
      <c r="E662" s="2" t="s">
        <v>79</v>
      </c>
      <c r="F662" s="292" t="s">
        <v>91</v>
      </c>
      <c r="G662" s="292" t="s">
        <v>91</v>
      </c>
      <c r="H662" s="292" t="s">
        <v>91</v>
      </c>
      <c r="I662" s="292" t="s">
        <v>91</v>
      </c>
      <c r="J662" s="292" t="s">
        <v>91</v>
      </c>
      <c r="K662" s="292" t="s">
        <v>91</v>
      </c>
      <c r="L662" s="292" t="s">
        <v>91</v>
      </c>
      <c r="M662" s="307">
        <f t="shared" si="10"/>
        <v>0</v>
      </c>
    </row>
    <row r="663" spans="1:13" ht="13.15">
      <c r="A663" s="2" t="s">
        <v>245</v>
      </c>
      <c r="B663" s="2" t="s">
        <v>181</v>
      </c>
      <c r="C663" s="2" t="s">
        <v>182</v>
      </c>
      <c r="D663" s="2" t="s">
        <v>85</v>
      </c>
      <c r="E663" s="2" t="s">
        <v>79</v>
      </c>
      <c r="F663" s="292" t="s">
        <v>91</v>
      </c>
      <c r="G663" s="292" t="s">
        <v>91</v>
      </c>
      <c r="H663" s="292" t="s">
        <v>91</v>
      </c>
      <c r="I663" s="292" t="s">
        <v>91</v>
      </c>
      <c r="J663" s="292" t="s">
        <v>91</v>
      </c>
      <c r="K663" s="292" t="s">
        <v>91</v>
      </c>
      <c r="L663" s="292" t="s">
        <v>91</v>
      </c>
      <c r="M663" s="307">
        <f t="shared" si="10"/>
        <v>0</v>
      </c>
    </row>
    <row r="664" spans="1:13" ht="13.15">
      <c r="A664" s="2" t="s">
        <v>245</v>
      </c>
      <c r="B664" s="2" t="s">
        <v>183</v>
      </c>
      <c r="C664" s="2" t="s">
        <v>184</v>
      </c>
      <c r="D664" s="2" t="s">
        <v>85</v>
      </c>
      <c r="E664" s="2" t="s">
        <v>79</v>
      </c>
      <c r="F664" s="292" t="s">
        <v>91</v>
      </c>
      <c r="G664" s="292" t="s">
        <v>91</v>
      </c>
      <c r="H664" s="292" t="s">
        <v>91</v>
      </c>
      <c r="I664" s="292" t="s">
        <v>91</v>
      </c>
      <c r="J664" s="292" t="s">
        <v>91</v>
      </c>
      <c r="K664" s="292" t="s">
        <v>91</v>
      </c>
      <c r="L664" s="292" t="s">
        <v>91</v>
      </c>
      <c r="M664" s="307">
        <f t="shared" si="10"/>
        <v>0</v>
      </c>
    </row>
    <row r="665" spans="1:13" ht="13.15">
      <c r="A665" s="2" t="s">
        <v>245</v>
      </c>
      <c r="B665" s="2" t="s">
        <v>185</v>
      </c>
      <c r="C665" s="2" t="s">
        <v>186</v>
      </c>
      <c r="D665" s="2" t="s">
        <v>85</v>
      </c>
      <c r="E665" s="2" t="s">
        <v>79</v>
      </c>
      <c r="F665" s="292" t="s">
        <v>91</v>
      </c>
      <c r="G665" s="292" t="s">
        <v>91</v>
      </c>
      <c r="H665" s="292" t="s">
        <v>91</v>
      </c>
      <c r="I665" s="292" t="s">
        <v>91</v>
      </c>
      <c r="J665" s="292" t="s">
        <v>91</v>
      </c>
      <c r="K665" s="292" t="s">
        <v>91</v>
      </c>
      <c r="L665" s="292" t="s">
        <v>91</v>
      </c>
      <c r="M665" s="307">
        <f t="shared" si="10"/>
        <v>0</v>
      </c>
    </row>
    <row r="666" spans="1:13" ht="13.15">
      <c r="A666" s="2" t="s">
        <v>245</v>
      </c>
      <c r="B666" s="2" t="s">
        <v>187</v>
      </c>
      <c r="C666" s="2" t="s">
        <v>188</v>
      </c>
      <c r="D666" s="2" t="s">
        <v>85</v>
      </c>
      <c r="E666" s="2" t="s">
        <v>79</v>
      </c>
      <c r="F666" s="292" t="s">
        <v>91</v>
      </c>
      <c r="G666" s="292" t="s">
        <v>91</v>
      </c>
      <c r="H666" s="292" t="s">
        <v>91</v>
      </c>
      <c r="I666" s="292" t="s">
        <v>91</v>
      </c>
      <c r="J666" s="292" t="s">
        <v>91</v>
      </c>
      <c r="K666" s="292" t="s">
        <v>91</v>
      </c>
      <c r="L666" s="292" t="s">
        <v>91</v>
      </c>
      <c r="M666" s="307">
        <f t="shared" si="10"/>
        <v>0</v>
      </c>
    </row>
    <row r="667" spans="1:13" ht="13.15">
      <c r="A667" s="2" t="s">
        <v>245</v>
      </c>
      <c r="B667" s="2" t="s">
        <v>189</v>
      </c>
      <c r="C667" s="2" t="s">
        <v>190</v>
      </c>
      <c r="D667" s="2" t="s">
        <v>85</v>
      </c>
      <c r="E667" s="2" t="s">
        <v>79</v>
      </c>
      <c r="F667" s="292" t="s">
        <v>91</v>
      </c>
      <c r="G667" s="292" t="s">
        <v>91</v>
      </c>
      <c r="H667" s="292" t="s">
        <v>91</v>
      </c>
      <c r="I667" s="292" t="s">
        <v>91</v>
      </c>
      <c r="J667" s="292" t="s">
        <v>91</v>
      </c>
      <c r="K667" s="292" t="s">
        <v>91</v>
      </c>
      <c r="L667" s="292" t="s">
        <v>91</v>
      </c>
      <c r="M667" s="307">
        <f t="shared" si="10"/>
        <v>0</v>
      </c>
    </row>
    <row r="668" spans="1:13" ht="13.15">
      <c r="A668" s="2" t="s">
        <v>245</v>
      </c>
      <c r="B668" s="2" t="s">
        <v>191</v>
      </c>
      <c r="C668" s="2" t="s">
        <v>192</v>
      </c>
      <c r="D668" s="2" t="s">
        <v>85</v>
      </c>
      <c r="E668" s="2" t="s">
        <v>79</v>
      </c>
      <c r="F668" s="292" t="s">
        <v>91</v>
      </c>
      <c r="G668" s="292" t="s">
        <v>91</v>
      </c>
      <c r="H668" s="292" t="s">
        <v>91</v>
      </c>
      <c r="I668" s="292" t="s">
        <v>91</v>
      </c>
      <c r="J668" s="292" t="s">
        <v>91</v>
      </c>
      <c r="K668" s="292" t="s">
        <v>91</v>
      </c>
      <c r="L668" s="292" t="s">
        <v>91</v>
      </c>
      <c r="M668" s="307">
        <f t="shared" si="10"/>
        <v>0</v>
      </c>
    </row>
    <row r="669" spans="1:13" ht="13.15">
      <c r="A669" s="2" t="s">
        <v>245</v>
      </c>
      <c r="B669" s="2" t="s">
        <v>193</v>
      </c>
      <c r="C669" s="2" t="s">
        <v>194</v>
      </c>
      <c r="D669" s="2" t="s">
        <v>85</v>
      </c>
      <c r="E669" s="2" t="s">
        <v>79</v>
      </c>
      <c r="F669" s="292" t="s">
        <v>91</v>
      </c>
      <c r="G669" s="292" t="s">
        <v>91</v>
      </c>
      <c r="H669" s="292" t="s">
        <v>91</v>
      </c>
      <c r="I669" s="292" t="s">
        <v>91</v>
      </c>
      <c r="J669" s="292" t="s">
        <v>91</v>
      </c>
      <c r="K669" s="292" t="s">
        <v>91</v>
      </c>
      <c r="L669" s="292" t="s">
        <v>91</v>
      </c>
      <c r="M669" s="307">
        <f t="shared" si="10"/>
        <v>0</v>
      </c>
    </row>
    <row r="670" spans="1:13" ht="13.15">
      <c r="A670" s="2" t="s">
        <v>245</v>
      </c>
      <c r="B670" s="2" t="s">
        <v>195</v>
      </c>
      <c r="C670" s="2" t="s">
        <v>196</v>
      </c>
      <c r="D670" s="2" t="s">
        <v>85</v>
      </c>
      <c r="E670" s="2" t="s">
        <v>79</v>
      </c>
      <c r="F670" s="292" t="s">
        <v>91</v>
      </c>
      <c r="G670" s="292" t="s">
        <v>91</v>
      </c>
      <c r="H670" s="292" t="s">
        <v>91</v>
      </c>
      <c r="I670" s="292" t="s">
        <v>91</v>
      </c>
      <c r="J670" s="292" t="s">
        <v>91</v>
      </c>
      <c r="K670" s="292" t="s">
        <v>91</v>
      </c>
      <c r="L670" s="292" t="s">
        <v>91</v>
      </c>
      <c r="M670" s="307">
        <f t="shared" si="10"/>
        <v>0</v>
      </c>
    </row>
    <row r="671" spans="1:13" ht="13.15">
      <c r="A671" s="2" t="s">
        <v>245</v>
      </c>
      <c r="B671" s="2" t="s">
        <v>197</v>
      </c>
      <c r="C671" s="2" t="s">
        <v>198</v>
      </c>
      <c r="D671" s="2" t="s">
        <v>85</v>
      </c>
      <c r="E671" s="2" t="s">
        <v>79</v>
      </c>
      <c r="F671" s="292" t="s">
        <v>91</v>
      </c>
      <c r="G671" s="292" t="s">
        <v>91</v>
      </c>
      <c r="H671" s="292" t="s">
        <v>91</v>
      </c>
      <c r="I671" s="292" t="s">
        <v>91</v>
      </c>
      <c r="J671" s="292" t="s">
        <v>91</v>
      </c>
      <c r="K671" s="292" t="s">
        <v>91</v>
      </c>
      <c r="L671" s="292" t="s">
        <v>91</v>
      </c>
      <c r="M671" s="307">
        <f t="shared" si="10"/>
        <v>0</v>
      </c>
    </row>
    <row r="672" spans="1:13" ht="13.15">
      <c r="A672" s="2" t="s">
        <v>245</v>
      </c>
      <c r="B672" s="2" t="s">
        <v>199</v>
      </c>
      <c r="C672" s="2" t="s">
        <v>200</v>
      </c>
      <c r="D672" s="2" t="s">
        <v>85</v>
      </c>
      <c r="E672" s="2" t="s">
        <v>79</v>
      </c>
      <c r="F672" s="292" t="s">
        <v>91</v>
      </c>
      <c r="G672" s="292" t="s">
        <v>91</v>
      </c>
      <c r="H672" s="292" t="s">
        <v>91</v>
      </c>
      <c r="I672" s="292" t="s">
        <v>91</v>
      </c>
      <c r="J672" s="292" t="s">
        <v>91</v>
      </c>
      <c r="K672" s="292" t="s">
        <v>91</v>
      </c>
      <c r="L672" s="292" t="s">
        <v>91</v>
      </c>
      <c r="M672" s="307">
        <f t="shared" si="10"/>
        <v>0</v>
      </c>
    </row>
    <row r="673" spans="1:13" ht="13.15">
      <c r="A673" s="2" t="s">
        <v>245</v>
      </c>
      <c r="B673" s="2" t="s">
        <v>201</v>
      </c>
      <c r="C673" s="2" t="s">
        <v>202</v>
      </c>
      <c r="D673" s="2" t="s">
        <v>85</v>
      </c>
      <c r="E673" s="2" t="s">
        <v>79</v>
      </c>
      <c r="F673" s="292" t="s">
        <v>91</v>
      </c>
      <c r="G673" s="292" t="s">
        <v>91</v>
      </c>
      <c r="H673" s="292" t="s">
        <v>91</v>
      </c>
      <c r="I673" s="292" t="s">
        <v>91</v>
      </c>
      <c r="J673" s="292" t="s">
        <v>91</v>
      </c>
      <c r="K673" s="292" t="s">
        <v>91</v>
      </c>
      <c r="L673" s="292" t="s">
        <v>91</v>
      </c>
      <c r="M673" s="307">
        <f t="shared" si="10"/>
        <v>0</v>
      </c>
    </row>
    <row r="674" spans="1:13" ht="13.15">
      <c r="A674" s="2" t="s">
        <v>245</v>
      </c>
      <c r="B674" s="2" t="s">
        <v>203</v>
      </c>
      <c r="C674" s="2" t="s">
        <v>204</v>
      </c>
      <c r="D674" s="2" t="s">
        <v>85</v>
      </c>
      <c r="E674" s="2" t="s">
        <v>79</v>
      </c>
      <c r="F674" s="292" t="s">
        <v>91</v>
      </c>
      <c r="G674" s="292" t="s">
        <v>91</v>
      </c>
      <c r="H674" s="292" t="s">
        <v>91</v>
      </c>
      <c r="I674" s="292" t="s">
        <v>91</v>
      </c>
      <c r="J674" s="292" t="s">
        <v>91</v>
      </c>
      <c r="K674" s="292" t="s">
        <v>91</v>
      </c>
      <c r="L674" s="292" t="s">
        <v>91</v>
      </c>
      <c r="M674" s="307">
        <f t="shared" si="10"/>
        <v>0</v>
      </c>
    </row>
    <row r="675" spans="1:13" ht="13.15">
      <c r="A675" s="2" t="s">
        <v>245</v>
      </c>
      <c r="B675" s="2" t="s">
        <v>205</v>
      </c>
      <c r="C675" s="2" t="s">
        <v>206</v>
      </c>
      <c r="D675" s="2" t="s">
        <v>85</v>
      </c>
      <c r="E675" s="2" t="s">
        <v>79</v>
      </c>
      <c r="F675" s="292" t="s">
        <v>91</v>
      </c>
      <c r="G675" s="292" t="s">
        <v>91</v>
      </c>
      <c r="H675" s="292" t="s">
        <v>91</v>
      </c>
      <c r="I675" s="292" t="s">
        <v>91</v>
      </c>
      <c r="J675" s="292" t="s">
        <v>91</v>
      </c>
      <c r="K675" s="292" t="s">
        <v>91</v>
      </c>
      <c r="L675" s="292" t="s">
        <v>91</v>
      </c>
      <c r="M675" s="307">
        <f t="shared" si="10"/>
        <v>0</v>
      </c>
    </row>
    <row r="676" spans="1:13" ht="13.15">
      <c r="A676" s="2" t="s">
        <v>245</v>
      </c>
      <c r="B676" s="2" t="s">
        <v>207</v>
      </c>
      <c r="C676" s="2" t="s">
        <v>208</v>
      </c>
      <c r="D676" s="2" t="s">
        <v>85</v>
      </c>
      <c r="E676" s="2" t="s">
        <v>79</v>
      </c>
      <c r="F676" s="292" t="s">
        <v>91</v>
      </c>
      <c r="G676" s="292" t="s">
        <v>91</v>
      </c>
      <c r="H676" s="292" t="s">
        <v>91</v>
      </c>
      <c r="I676" s="292" t="s">
        <v>91</v>
      </c>
      <c r="J676" s="292" t="s">
        <v>91</v>
      </c>
      <c r="K676" s="292" t="s">
        <v>91</v>
      </c>
      <c r="L676" s="292" t="s">
        <v>91</v>
      </c>
      <c r="M676" s="307">
        <f t="shared" si="10"/>
        <v>0</v>
      </c>
    </row>
    <row r="677" spans="1:13" ht="13.15">
      <c r="A677" s="2" t="s">
        <v>245</v>
      </c>
      <c r="B677" s="2" t="s">
        <v>209</v>
      </c>
      <c r="C677" s="2" t="s">
        <v>210</v>
      </c>
      <c r="D677" s="2" t="s">
        <v>85</v>
      </c>
      <c r="E677" s="2" t="s">
        <v>79</v>
      </c>
      <c r="F677" s="292" t="s">
        <v>91</v>
      </c>
      <c r="G677" s="292" t="s">
        <v>91</v>
      </c>
      <c r="H677" s="292" t="s">
        <v>91</v>
      </c>
      <c r="I677" s="292" t="s">
        <v>91</v>
      </c>
      <c r="J677" s="292" t="s">
        <v>91</v>
      </c>
      <c r="K677" s="292" t="s">
        <v>91</v>
      </c>
      <c r="L677" s="292" t="s">
        <v>91</v>
      </c>
      <c r="M677" s="307">
        <f t="shared" si="10"/>
        <v>0</v>
      </c>
    </row>
    <row r="678" spans="1:13" ht="13.15">
      <c r="A678" s="2" t="s">
        <v>245</v>
      </c>
      <c r="B678" s="2" t="s">
        <v>211</v>
      </c>
      <c r="C678" s="2" t="s">
        <v>212</v>
      </c>
      <c r="D678" s="2" t="s">
        <v>85</v>
      </c>
      <c r="E678" s="2" t="s">
        <v>79</v>
      </c>
      <c r="F678" s="292" t="s">
        <v>91</v>
      </c>
      <c r="G678" s="292" t="s">
        <v>91</v>
      </c>
      <c r="H678" s="292" t="s">
        <v>91</v>
      </c>
      <c r="I678" s="292" t="s">
        <v>91</v>
      </c>
      <c r="J678" s="292" t="s">
        <v>91</v>
      </c>
      <c r="K678" s="292" t="s">
        <v>91</v>
      </c>
      <c r="L678" s="292" t="s">
        <v>91</v>
      </c>
      <c r="M678" s="307">
        <f t="shared" si="10"/>
        <v>0</v>
      </c>
    </row>
    <row r="679" spans="1:13" ht="13.15">
      <c r="A679" s="2" t="s">
        <v>245</v>
      </c>
      <c r="B679" s="2" t="s">
        <v>213</v>
      </c>
      <c r="C679" s="2" t="s">
        <v>214</v>
      </c>
      <c r="D679" s="2" t="s">
        <v>85</v>
      </c>
      <c r="E679" s="2" t="s">
        <v>79</v>
      </c>
      <c r="F679" s="292" t="s">
        <v>91</v>
      </c>
      <c r="G679" s="292" t="s">
        <v>91</v>
      </c>
      <c r="H679" s="292" t="s">
        <v>91</v>
      </c>
      <c r="I679" s="292" t="s">
        <v>91</v>
      </c>
      <c r="J679" s="292" t="s">
        <v>91</v>
      </c>
      <c r="K679" s="292" t="s">
        <v>91</v>
      </c>
      <c r="L679" s="292" t="s">
        <v>91</v>
      </c>
      <c r="M679" s="307">
        <f t="shared" si="10"/>
        <v>0</v>
      </c>
    </row>
    <row r="680" spans="1:13" ht="13.15">
      <c r="A680" s="2" t="s">
        <v>245</v>
      </c>
      <c r="B680" s="2" t="s">
        <v>215</v>
      </c>
      <c r="C680" s="2" t="s">
        <v>216</v>
      </c>
      <c r="D680" s="2" t="s">
        <v>85</v>
      </c>
      <c r="E680" s="2" t="s">
        <v>79</v>
      </c>
      <c r="F680" s="292" t="s">
        <v>91</v>
      </c>
      <c r="G680" s="292" t="s">
        <v>91</v>
      </c>
      <c r="H680" s="292" t="s">
        <v>91</v>
      </c>
      <c r="I680" s="292" t="s">
        <v>91</v>
      </c>
      <c r="J680" s="292" t="s">
        <v>91</v>
      </c>
      <c r="K680" s="292" t="s">
        <v>91</v>
      </c>
      <c r="L680" s="292" t="s">
        <v>91</v>
      </c>
      <c r="M680" s="307">
        <f t="shared" si="10"/>
        <v>0</v>
      </c>
    </row>
    <row r="681" spans="1:13" ht="13.15">
      <c r="A681" s="2" t="s">
        <v>245</v>
      </c>
      <c r="B681" s="2" t="s">
        <v>217</v>
      </c>
      <c r="C681" s="2" t="s">
        <v>218</v>
      </c>
      <c r="D681" s="2" t="s">
        <v>85</v>
      </c>
      <c r="E681" s="2" t="s">
        <v>79</v>
      </c>
      <c r="F681" s="292" t="s">
        <v>91</v>
      </c>
      <c r="G681" s="292" t="s">
        <v>91</v>
      </c>
      <c r="H681" s="292" t="s">
        <v>91</v>
      </c>
      <c r="I681" s="292" t="s">
        <v>91</v>
      </c>
      <c r="J681" s="292" t="s">
        <v>91</v>
      </c>
      <c r="K681" s="292" t="s">
        <v>91</v>
      </c>
      <c r="L681" s="292" t="s">
        <v>91</v>
      </c>
      <c r="M681" s="307">
        <f t="shared" si="10"/>
        <v>0</v>
      </c>
    </row>
    <row r="682" spans="1:13" ht="13.15">
      <c r="A682" s="2" t="s">
        <v>245</v>
      </c>
      <c r="B682" s="2" t="s">
        <v>219</v>
      </c>
      <c r="C682" s="2" t="s">
        <v>220</v>
      </c>
      <c r="D682" s="2" t="s">
        <v>85</v>
      </c>
      <c r="E682" s="2" t="s">
        <v>79</v>
      </c>
      <c r="F682" s="292" t="s">
        <v>91</v>
      </c>
      <c r="G682" s="292" t="s">
        <v>91</v>
      </c>
      <c r="H682" s="292" t="s">
        <v>91</v>
      </c>
      <c r="I682" s="292" t="s">
        <v>91</v>
      </c>
      <c r="J682" s="292" t="s">
        <v>91</v>
      </c>
      <c r="K682" s="292" t="s">
        <v>91</v>
      </c>
      <c r="L682" s="292" t="s">
        <v>91</v>
      </c>
      <c r="M682" s="307">
        <f t="shared" si="10"/>
        <v>0</v>
      </c>
    </row>
    <row r="683" spans="1:13" ht="13.15">
      <c r="A683" s="2" t="s">
        <v>245</v>
      </c>
      <c r="B683" s="2" t="s">
        <v>221</v>
      </c>
      <c r="C683" s="2" t="s">
        <v>222</v>
      </c>
      <c r="D683" s="2" t="s">
        <v>85</v>
      </c>
      <c r="E683" s="2" t="s">
        <v>79</v>
      </c>
      <c r="F683" s="292" t="s">
        <v>91</v>
      </c>
      <c r="G683" s="292" t="s">
        <v>91</v>
      </c>
      <c r="H683" s="292" t="s">
        <v>91</v>
      </c>
      <c r="I683" s="292" t="s">
        <v>91</v>
      </c>
      <c r="J683" s="292" t="s">
        <v>91</v>
      </c>
      <c r="K683" s="292" t="s">
        <v>91</v>
      </c>
      <c r="L683" s="292" t="s">
        <v>91</v>
      </c>
      <c r="M683" s="307">
        <f t="shared" si="10"/>
        <v>0</v>
      </c>
    </row>
    <row r="684" spans="1:13" ht="13.15">
      <c r="A684" s="2" t="s">
        <v>245</v>
      </c>
      <c r="B684" s="2" t="s">
        <v>223</v>
      </c>
      <c r="C684" s="2" t="s">
        <v>224</v>
      </c>
      <c r="D684" s="2" t="s">
        <v>85</v>
      </c>
      <c r="E684" s="2" t="s">
        <v>79</v>
      </c>
      <c r="F684" s="292" t="s">
        <v>91</v>
      </c>
      <c r="G684" s="292" t="s">
        <v>91</v>
      </c>
      <c r="H684" s="292" t="s">
        <v>91</v>
      </c>
      <c r="I684" s="292" t="s">
        <v>91</v>
      </c>
      <c r="J684" s="292" t="s">
        <v>91</v>
      </c>
      <c r="K684" s="292" t="s">
        <v>91</v>
      </c>
      <c r="L684" s="292" t="s">
        <v>91</v>
      </c>
      <c r="M684" s="307">
        <f t="shared" si="10"/>
        <v>0</v>
      </c>
    </row>
    <row r="685" spans="1:13" ht="13.15">
      <c r="A685" s="2" t="s">
        <v>245</v>
      </c>
      <c r="B685" s="2" t="s">
        <v>225</v>
      </c>
      <c r="C685" s="2" t="s">
        <v>226</v>
      </c>
      <c r="D685" s="2" t="s">
        <v>85</v>
      </c>
      <c r="E685" s="2" t="s">
        <v>79</v>
      </c>
      <c r="F685" s="292" t="s">
        <v>91</v>
      </c>
      <c r="G685" s="292" t="s">
        <v>91</v>
      </c>
      <c r="H685" s="292" t="s">
        <v>91</v>
      </c>
      <c r="I685" s="292" t="s">
        <v>91</v>
      </c>
      <c r="J685" s="292" t="s">
        <v>91</v>
      </c>
      <c r="K685" s="292" t="s">
        <v>91</v>
      </c>
      <c r="L685" s="292" t="s">
        <v>91</v>
      </c>
      <c r="M685" s="307">
        <f t="shared" si="10"/>
        <v>0</v>
      </c>
    </row>
    <row r="686" spans="1:13" ht="13.15">
      <c r="A686" s="2" t="s">
        <v>245</v>
      </c>
      <c r="B686" s="2" t="s">
        <v>227</v>
      </c>
      <c r="C686" s="2" t="s">
        <v>228</v>
      </c>
      <c r="D686" s="2" t="s">
        <v>85</v>
      </c>
      <c r="E686" s="2" t="s">
        <v>79</v>
      </c>
      <c r="F686" s="292" t="s">
        <v>91</v>
      </c>
      <c r="G686" s="292" t="s">
        <v>91</v>
      </c>
      <c r="H686" s="292" t="s">
        <v>91</v>
      </c>
      <c r="I686" s="292" t="s">
        <v>91</v>
      </c>
      <c r="J686" s="292" t="s">
        <v>91</v>
      </c>
      <c r="K686" s="292" t="s">
        <v>91</v>
      </c>
      <c r="L686" s="292" t="s">
        <v>91</v>
      </c>
      <c r="M686" s="307">
        <f t="shared" si="10"/>
        <v>0</v>
      </c>
    </row>
    <row r="687" spans="1:13" ht="13.15">
      <c r="A687" s="2" t="s">
        <v>245</v>
      </c>
      <c r="B687" s="2" t="s">
        <v>229</v>
      </c>
      <c r="C687" s="2" t="s">
        <v>230</v>
      </c>
      <c r="D687" s="2" t="s">
        <v>85</v>
      </c>
      <c r="E687" s="2" t="s">
        <v>79</v>
      </c>
      <c r="F687" s="292" t="s">
        <v>91</v>
      </c>
      <c r="G687" s="292" t="s">
        <v>91</v>
      </c>
      <c r="H687" s="292" t="s">
        <v>91</v>
      </c>
      <c r="I687" s="292" t="s">
        <v>91</v>
      </c>
      <c r="J687" s="292" t="s">
        <v>91</v>
      </c>
      <c r="K687" s="292" t="s">
        <v>91</v>
      </c>
      <c r="L687" s="292" t="s">
        <v>91</v>
      </c>
      <c r="M687" s="307">
        <f t="shared" si="10"/>
        <v>0</v>
      </c>
    </row>
    <row r="688" spans="1:13" ht="13.15">
      <c r="A688" s="2" t="s">
        <v>245</v>
      </c>
      <c r="B688" s="2" t="s">
        <v>231</v>
      </c>
      <c r="C688" s="2" t="s">
        <v>232</v>
      </c>
      <c r="D688" s="2" t="s">
        <v>85</v>
      </c>
      <c r="E688" s="2" t="s">
        <v>79</v>
      </c>
      <c r="F688" s="292" t="s">
        <v>91</v>
      </c>
      <c r="G688" s="292" t="s">
        <v>91</v>
      </c>
      <c r="H688" s="292" t="s">
        <v>91</v>
      </c>
      <c r="I688" s="292" t="s">
        <v>91</v>
      </c>
      <c r="J688" s="292" t="s">
        <v>91</v>
      </c>
      <c r="K688" s="292" t="s">
        <v>91</v>
      </c>
      <c r="L688" s="292" t="s">
        <v>91</v>
      </c>
      <c r="M688" s="307">
        <f t="shared" si="10"/>
        <v>0</v>
      </c>
    </row>
    <row r="689" spans="1:13" ht="13.15">
      <c r="A689" s="2" t="s">
        <v>245</v>
      </c>
      <c r="B689" s="2" t="s">
        <v>233</v>
      </c>
      <c r="C689" s="2" t="s">
        <v>234</v>
      </c>
      <c r="D689" s="2" t="s">
        <v>85</v>
      </c>
      <c r="E689" s="2" t="s">
        <v>79</v>
      </c>
      <c r="F689" s="292" t="s">
        <v>91</v>
      </c>
      <c r="G689" s="292" t="s">
        <v>91</v>
      </c>
      <c r="H689" s="292" t="s">
        <v>91</v>
      </c>
      <c r="I689" s="292" t="s">
        <v>91</v>
      </c>
      <c r="J689" s="292" t="s">
        <v>91</v>
      </c>
      <c r="K689" s="292" t="s">
        <v>91</v>
      </c>
      <c r="L689" s="292" t="s">
        <v>91</v>
      </c>
      <c r="M689" s="307">
        <f t="shared" si="10"/>
        <v>0</v>
      </c>
    </row>
    <row r="690" spans="1:13" ht="13.15">
      <c r="A690" s="2" t="s">
        <v>245</v>
      </c>
      <c r="B690" s="2" t="s">
        <v>235</v>
      </c>
      <c r="C690" s="2" t="s">
        <v>236</v>
      </c>
      <c r="D690" s="2" t="s">
        <v>85</v>
      </c>
      <c r="E690" s="2" t="s">
        <v>79</v>
      </c>
      <c r="F690" s="292" t="s">
        <v>91</v>
      </c>
      <c r="G690" s="292" t="s">
        <v>91</v>
      </c>
      <c r="H690" s="292" t="s">
        <v>91</v>
      </c>
      <c r="I690" s="292" t="s">
        <v>91</v>
      </c>
      <c r="J690" s="292" t="s">
        <v>91</v>
      </c>
      <c r="K690" s="292" t="s">
        <v>91</v>
      </c>
      <c r="L690" s="292" t="s">
        <v>91</v>
      </c>
      <c r="M690" s="307">
        <f t="shared" si="10"/>
        <v>0</v>
      </c>
    </row>
    <row r="691" spans="1:13" ht="13.15">
      <c r="A691" s="2" t="s">
        <v>245</v>
      </c>
      <c r="B691" s="2" t="s">
        <v>237</v>
      </c>
      <c r="C691" s="2" t="s">
        <v>238</v>
      </c>
      <c r="D691" s="2" t="s">
        <v>85</v>
      </c>
      <c r="E691" s="2" t="s">
        <v>79</v>
      </c>
      <c r="F691" s="292" t="s">
        <v>91</v>
      </c>
      <c r="G691" s="292" t="s">
        <v>91</v>
      </c>
      <c r="H691" s="292" t="s">
        <v>91</v>
      </c>
      <c r="I691" s="292" t="s">
        <v>91</v>
      </c>
      <c r="J691" s="292" t="s">
        <v>91</v>
      </c>
      <c r="K691" s="292" t="s">
        <v>91</v>
      </c>
      <c r="L691" s="292" t="s">
        <v>91</v>
      </c>
      <c r="M691" s="307">
        <f t="shared" si="10"/>
        <v>0</v>
      </c>
    </row>
    <row r="692" spans="1:13" ht="13.15">
      <c r="A692" s="2" t="s">
        <v>245</v>
      </c>
      <c r="B692" s="2" t="s">
        <v>239</v>
      </c>
      <c r="C692" s="2" t="s">
        <v>240</v>
      </c>
      <c r="D692" s="2" t="s">
        <v>85</v>
      </c>
      <c r="E692" s="2" t="s">
        <v>79</v>
      </c>
      <c r="F692" s="292" t="s">
        <v>91</v>
      </c>
      <c r="G692" s="292" t="s">
        <v>91</v>
      </c>
      <c r="H692" s="292" t="s">
        <v>91</v>
      </c>
      <c r="I692" s="292" t="s">
        <v>91</v>
      </c>
      <c r="J692" s="292" t="s">
        <v>91</v>
      </c>
      <c r="K692" s="292" t="s">
        <v>91</v>
      </c>
      <c r="L692" s="292" t="s">
        <v>91</v>
      </c>
      <c r="M692" s="307">
        <f t="shared" si="10"/>
        <v>0</v>
      </c>
    </row>
    <row r="693" spans="1:13" ht="13.15">
      <c r="A693" s="2" t="s">
        <v>246</v>
      </c>
      <c r="B693" s="2" t="s">
        <v>155</v>
      </c>
      <c r="C693" s="2" t="s">
        <v>156</v>
      </c>
      <c r="D693" s="2" t="s">
        <v>85</v>
      </c>
      <c r="E693" s="2" t="s">
        <v>79</v>
      </c>
      <c r="F693" s="292" t="s">
        <v>91</v>
      </c>
      <c r="G693" s="292" t="s">
        <v>91</v>
      </c>
      <c r="H693" s="292" t="s">
        <v>91</v>
      </c>
      <c r="I693" s="292" t="s">
        <v>91</v>
      </c>
      <c r="J693" s="292" t="s">
        <v>91</v>
      </c>
      <c r="K693" s="292" t="s">
        <v>91</v>
      </c>
      <c r="L693" s="292" t="s">
        <v>91</v>
      </c>
      <c r="M693" s="307">
        <f t="shared" si="10"/>
        <v>0</v>
      </c>
    </row>
    <row r="694" spans="1:13" ht="13.15">
      <c r="A694" s="2" t="s">
        <v>246</v>
      </c>
      <c r="B694" s="2" t="s">
        <v>157</v>
      </c>
      <c r="C694" s="2" t="s">
        <v>158</v>
      </c>
      <c r="D694" s="2" t="s">
        <v>85</v>
      </c>
      <c r="E694" s="2" t="s">
        <v>79</v>
      </c>
      <c r="F694" s="292" t="s">
        <v>91</v>
      </c>
      <c r="G694" s="292" t="s">
        <v>91</v>
      </c>
      <c r="H694" s="292" t="s">
        <v>91</v>
      </c>
      <c r="I694" s="292" t="s">
        <v>91</v>
      </c>
      <c r="J694" s="292" t="s">
        <v>91</v>
      </c>
      <c r="K694" s="292" t="s">
        <v>91</v>
      </c>
      <c r="L694" s="292" t="s">
        <v>91</v>
      </c>
      <c r="M694" s="307">
        <f t="shared" si="10"/>
        <v>0</v>
      </c>
    </row>
    <row r="695" spans="1:13" ht="13.15">
      <c r="A695" s="2" t="s">
        <v>246</v>
      </c>
      <c r="B695" s="2" t="s">
        <v>159</v>
      </c>
      <c r="C695" s="2" t="s">
        <v>160</v>
      </c>
      <c r="D695" s="2" t="s">
        <v>85</v>
      </c>
      <c r="E695" s="2" t="s">
        <v>79</v>
      </c>
      <c r="F695" s="292" t="s">
        <v>91</v>
      </c>
      <c r="G695" s="292" t="s">
        <v>91</v>
      </c>
      <c r="H695" s="292" t="s">
        <v>91</v>
      </c>
      <c r="I695" s="292" t="s">
        <v>91</v>
      </c>
      <c r="J695" s="292" t="s">
        <v>91</v>
      </c>
      <c r="K695" s="292" t="s">
        <v>91</v>
      </c>
      <c r="L695" s="292" t="s">
        <v>91</v>
      </c>
      <c r="M695" s="307">
        <f t="shared" si="10"/>
        <v>0</v>
      </c>
    </row>
    <row r="696" spans="1:13" ht="13.15">
      <c r="A696" s="2" t="s">
        <v>246</v>
      </c>
      <c r="B696" s="2" t="s">
        <v>161</v>
      </c>
      <c r="C696" s="2" t="s">
        <v>162</v>
      </c>
      <c r="D696" s="2" t="s">
        <v>85</v>
      </c>
      <c r="E696" s="2" t="s">
        <v>79</v>
      </c>
      <c r="F696" s="292" t="s">
        <v>91</v>
      </c>
      <c r="G696" s="292" t="s">
        <v>91</v>
      </c>
      <c r="H696" s="292" t="s">
        <v>91</v>
      </c>
      <c r="I696" s="292" t="s">
        <v>91</v>
      </c>
      <c r="J696" s="292" t="s">
        <v>91</v>
      </c>
      <c r="K696" s="292" t="s">
        <v>91</v>
      </c>
      <c r="L696" s="292" t="s">
        <v>91</v>
      </c>
      <c r="M696" s="307">
        <f t="shared" si="10"/>
        <v>0</v>
      </c>
    </row>
    <row r="697" spans="1:13" ht="13.15">
      <c r="A697" s="2" t="s">
        <v>246</v>
      </c>
      <c r="B697" s="2" t="s">
        <v>163</v>
      </c>
      <c r="C697" s="2" t="s">
        <v>164</v>
      </c>
      <c r="D697" s="2" t="s">
        <v>85</v>
      </c>
      <c r="E697" s="2" t="s">
        <v>79</v>
      </c>
      <c r="F697" s="292" t="s">
        <v>91</v>
      </c>
      <c r="G697" s="292" t="s">
        <v>91</v>
      </c>
      <c r="H697" s="292" t="s">
        <v>91</v>
      </c>
      <c r="I697" s="292" t="s">
        <v>91</v>
      </c>
      <c r="J697" s="292" t="s">
        <v>91</v>
      </c>
      <c r="K697" s="292" t="s">
        <v>91</v>
      </c>
      <c r="L697" s="292" t="s">
        <v>91</v>
      </c>
      <c r="M697" s="307">
        <f t="shared" si="10"/>
        <v>0</v>
      </c>
    </row>
    <row r="698" spans="1:13" ht="13.15">
      <c r="A698" s="2" t="s">
        <v>246</v>
      </c>
      <c r="B698" s="2" t="s">
        <v>165</v>
      </c>
      <c r="C698" s="2" t="s">
        <v>166</v>
      </c>
      <c r="D698" s="2" t="s">
        <v>85</v>
      </c>
      <c r="E698" s="2" t="s">
        <v>79</v>
      </c>
      <c r="F698" s="292" t="s">
        <v>91</v>
      </c>
      <c r="G698" s="292" t="s">
        <v>91</v>
      </c>
      <c r="H698" s="292" t="s">
        <v>91</v>
      </c>
      <c r="I698" s="292" t="s">
        <v>91</v>
      </c>
      <c r="J698" s="292" t="s">
        <v>91</v>
      </c>
      <c r="K698" s="292" t="s">
        <v>91</v>
      </c>
      <c r="L698" s="292" t="s">
        <v>91</v>
      </c>
      <c r="M698" s="307">
        <f t="shared" si="10"/>
        <v>0</v>
      </c>
    </row>
    <row r="699" spans="1:13" ht="13.15">
      <c r="A699" s="2" t="s">
        <v>246</v>
      </c>
      <c r="B699" s="2" t="s">
        <v>167</v>
      </c>
      <c r="C699" s="2" t="s">
        <v>168</v>
      </c>
      <c r="D699" s="2" t="s">
        <v>85</v>
      </c>
      <c r="E699" s="2" t="s">
        <v>79</v>
      </c>
      <c r="F699" s="292" t="s">
        <v>91</v>
      </c>
      <c r="G699" s="292" t="s">
        <v>91</v>
      </c>
      <c r="H699" s="292" t="s">
        <v>91</v>
      </c>
      <c r="I699" s="292" t="s">
        <v>91</v>
      </c>
      <c r="J699" s="292" t="s">
        <v>91</v>
      </c>
      <c r="K699" s="292" t="s">
        <v>91</v>
      </c>
      <c r="L699" s="292" t="s">
        <v>91</v>
      </c>
      <c r="M699" s="307">
        <f t="shared" si="10"/>
        <v>0</v>
      </c>
    </row>
    <row r="700" spans="1:13" ht="13.15">
      <c r="A700" s="2" t="s">
        <v>246</v>
      </c>
      <c r="B700" s="2" t="s">
        <v>169</v>
      </c>
      <c r="C700" s="2" t="s">
        <v>170</v>
      </c>
      <c r="D700" s="2" t="s">
        <v>85</v>
      </c>
      <c r="E700" s="2" t="s">
        <v>79</v>
      </c>
      <c r="F700" s="292" t="s">
        <v>91</v>
      </c>
      <c r="G700" s="292" t="s">
        <v>91</v>
      </c>
      <c r="H700" s="292" t="s">
        <v>91</v>
      </c>
      <c r="I700" s="292" t="s">
        <v>91</v>
      </c>
      <c r="J700" s="292" t="s">
        <v>91</v>
      </c>
      <c r="K700" s="292" t="s">
        <v>91</v>
      </c>
      <c r="L700" s="292" t="s">
        <v>91</v>
      </c>
      <c r="M700" s="307">
        <f t="shared" si="10"/>
        <v>0</v>
      </c>
    </row>
    <row r="701" spans="1:13" ht="13.15">
      <c r="A701" s="2" t="s">
        <v>246</v>
      </c>
      <c r="B701" s="2" t="s">
        <v>171</v>
      </c>
      <c r="C701" s="2" t="s">
        <v>172</v>
      </c>
      <c r="D701" s="2" t="s">
        <v>85</v>
      </c>
      <c r="E701" s="2" t="s">
        <v>79</v>
      </c>
      <c r="F701" s="292" t="s">
        <v>91</v>
      </c>
      <c r="G701" s="292" t="s">
        <v>91</v>
      </c>
      <c r="H701" s="292" t="s">
        <v>91</v>
      </c>
      <c r="I701" s="292" t="s">
        <v>91</v>
      </c>
      <c r="J701" s="292" t="s">
        <v>91</v>
      </c>
      <c r="K701" s="292" t="s">
        <v>91</v>
      </c>
      <c r="L701" s="292" t="s">
        <v>91</v>
      </c>
      <c r="M701" s="307">
        <f t="shared" si="10"/>
        <v>0</v>
      </c>
    </row>
    <row r="702" spans="1:13" ht="13.15">
      <c r="A702" s="2" t="s">
        <v>246</v>
      </c>
      <c r="B702" s="2" t="s">
        <v>173</v>
      </c>
      <c r="C702" s="2" t="s">
        <v>174</v>
      </c>
      <c r="D702" s="2" t="s">
        <v>85</v>
      </c>
      <c r="E702" s="2" t="s">
        <v>79</v>
      </c>
      <c r="F702" s="292" t="s">
        <v>91</v>
      </c>
      <c r="G702" s="292" t="s">
        <v>91</v>
      </c>
      <c r="H702" s="292" t="s">
        <v>91</v>
      </c>
      <c r="I702" s="292" t="s">
        <v>91</v>
      </c>
      <c r="J702" s="292" t="s">
        <v>91</v>
      </c>
      <c r="K702" s="292" t="s">
        <v>91</v>
      </c>
      <c r="L702" s="292" t="s">
        <v>91</v>
      </c>
      <c r="M702" s="307">
        <f t="shared" si="10"/>
        <v>0</v>
      </c>
    </row>
    <row r="703" spans="1:13" ht="13.15">
      <c r="A703" s="2" t="s">
        <v>246</v>
      </c>
      <c r="B703" s="2" t="s">
        <v>175</v>
      </c>
      <c r="C703" s="2" t="s">
        <v>176</v>
      </c>
      <c r="D703" s="2" t="s">
        <v>85</v>
      </c>
      <c r="E703" s="2" t="s">
        <v>79</v>
      </c>
      <c r="F703" s="292" t="s">
        <v>91</v>
      </c>
      <c r="G703" s="292" t="s">
        <v>91</v>
      </c>
      <c r="H703" s="292" t="s">
        <v>91</v>
      </c>
      <c r="I703" s="292" t="s">
        <v>91</v>
      </c>
      <c r="J703" s="292" t="s">
        <v>91</v>
      </c>
      <c r="K703" s="292" t="s">
        <v>91</v>
      </c>
      <c r="L703" s="292" t="s">
        <v>91</v>
      </c>
      <c r="M703" s="307">
        <f t="shared" si="10"/>
        <v>0</v>
      </c>
    </row>
    <row r="704" spans="1:13" ht="13.15">
      <c r="A704" s="2" t="s">
        <v>246</v>
      </c>
      <c r="B704" s="2" t="s">
        <v>177</v>
      </c>
      <c r="C704" s="2" t="s">
        <v>178</v>
      </c>
      <c r="D704" s="2" t="s">
        <v>85</v>
      </c>
      <c r="E704" s="2" t="s">
        <v>79</v>
      </c>
      <c r="F704" s="292" t="s">
        <v>91</v>
      </c>
      <c r="G704" s="292" t="s">
        <v>91</v>
      </c>
      <c r="H704" s="292" t="s">
        <v>91</v>
      </c>
      <c r="I704" s="292" t="s">
        <v>91</v>
      </c>
      <c r="J704" s="292" t="s">
        <v>91</v>
      </c>
      <c r="K704" s="292" t="s">
        <v>91</v>
      </c>
      <c r="L704" s="292" t="s">
        <v>91</v>
      </c>
      <c r="M704" s="307">
        <f t="shared" si="10"/>
        <v>0</v>
      </c>
    </row>
    <row r="705" spans="1:13" ht="13.15">
      <c r="A705" s="2" t="s">
        <v>246</v>
      </c>
      <c r="B705" s="2" t="s">
        <v>179</v>
      </c>
      <c r="C705" s="2" t="s">
        <v>180</v>
      </c>
      <c r="D705" s="2" t="s">
        <v>85</v>
      </c>
      <c r="E705" s="2" t="s">
        <v>79</v>
      </c>
      <c r="F705" s="292" t="s">
        <v>91</v>
      </c>
      <c r="G705" s="292" t="s">
        <v>91</v>
      </c>
      <c r="H705" s="292" t="s">
        <v>91</v>
      </c>
      <c r="I705" s="292" t="s">
        <v>91</v>
      </c>
      <c r="J705" s="292" t="s">
        <v>91</v>
      </c>
      <c r="K705" s="292" t="s">
        <v>91</v>
      </c>
      <c r="L705" s="292" t="s">
        <v>91</v>
      </c>
      <c r="M705" s="307">
        <f t="shared" si="10"/>
        <v>0</v>
      </c>
    </row>
    <row r="706" spans="1:13" ht="13.15">
      <c r="A706" s="2" t="s">
        <v>246</v>
      </c>
      <c r="B706" s="2" t="s">
        <v>181</v>
      </c>
      <c r="C706" s="2" t="s">
        <v>182</v>
      </c>
      <c r="D706" s="2" t="s">
        <v>85</v>
      </c>
      <c r="E706" s="2" t="s">
        <v>79</v>
      </c>
      <c r="F706" s="292" t="s">
        <v>91</v>
      </c>
      <c r="G706" s="292" t="s">
        <v>91</v>
      </c>
      <c r="H706" s="292" t="s">
        <v>91</v>
      </c>
      <c r="I706" s="292" t="s">
        <v>91</v>
      </c>
      <c r="J706" s="292" t="s">
        <v>91</v>
      </c>
      <c r="K706" s="292" t="s">
        <v>91</v>
      </c>
      <c r="L706" s="292" t="s">
        <v>91</v>
      </c>
      <c r="M706" s="307">
        <f t="shared" si="10"/>
        <v>0</v>
      </c>
    </row>
    <row r="707" spans="1:13" ht="13.15">
      <c r="A707" s="2" t="s">
        <v>246</v>
      </c>
      <c r="B707" s="2" t="s">
        <v>183</v>
      </c>
      <c r="C707" s="2" t="s">
        <v>184</v>
      </c>
      <c r="D707" s="2" t="s">
        <v>85</v>
      </c>
      <c r="E707" s="2" t="s">
        <v>79</v>
      </c>
      <c r="F707" s="292" t="s">
        <v>91</v>
      </c>
      <c r="G707" s="292" t="s">
        <v>91</v>
      </c>
      <c r="H707" s="292" t="s">
        <v>91</v>
      </c>
      <c r="I707" s="292" t="s">
        <v>91</v>
      </c>
      <c r="J707" s="292" t="s">
        <v>91</v>
      </c>
      <c r="K707" s="292" t="s">
        <v>91</v>
      </c>
      <c r="L707" s="292" t="s">
        <v>91</v>
      </c>
      <c r="M707" s="307">
        <f t="shared" si="10"/>
        <v>0</v>
      </c>
    </row>
    <row r="708" spans="1:13" ht="13.15">
      <c r="A708" s="2" t="s">
        <v>246</v>
      </c>
      <c r="B708" s="2" t="s">
        <v>185</v>
      </c>
      <c r="C708" s="2" t="s">
        <v>186</v>
      </c>
      <c r="D708" s="2" t="s">
        <v>85</v>
      </c>
      <c r="E708" s="2" t="s">
        <v>79</v>
      </c>
      <c r="F708" s="292" t="s">
        <v>91</v>
      </c>
      <c r="G708" s="292" t="s">
        <v>91</v>
      </c>
      <c r="H708" s="292" t="s">
        <v>91</v>
      </c>
      <c r="I708" s="292" t="s">
        <v>91</v>
      </c>
      <c r="J708" s="292" t="s">
        <v>91</v>
      </c>
      <c r="K708" s="292" t="s">
        <v>91</v>
      </c>
      <c r="L708" s="292" t="s">
        <v>91</v>
      </c>
      <c r="M708" s="307">
        <f t="shared" si="10"/>
        <v>0</v>
      </c>
    </row>
    <row r="709" spans="1:13" ht="13.15">
      <c r="A709" s="2" t="s">
        <v>246</v>
      </c>
      <c r="B709" s="2" t="s">
        <v>187</v>
      </c>
      <c r="C709" s="2" t="s">
        <v>188</v>
      </c>
      <c r="D709" s="2" t="s">
        <v>85</v>
      </c>
      <c r="E709" s="2" t="s">
        <v>79</v>
      </c>
      <c r="F709" s="292" t="s">
        <v>91</v>
      </c>
      <c r="G709" s="292" t="s">
        <v>91</v>
      </c>
      <c r="H709" s="292" t="s">
        <v>91</v>
      </c>
      <c r="I709" s="292" t="s">
        <v>91</v>
      </c>
      <c r="J709" s="292" t="s">
        <v>91</v>
      </c>
      <c r="K709" s="292" t="s">
        <v>91</v>
      </c>
      <c r="L709" s="292" t="s">
        <v>91</v>
      </c>
      <c r="M709" s="307">
        <f t="shared" ref="M709:M735" si="11">SUM(F709:L709)</f>
        <v>0</v>
      </c>
    </row>
    <row r="710" spans="1:13" ht="13.15">
      <c r="A710" s="2" t="s">
        <v>246</v>
      </c>
      <c r="B710" s="2" t="s">
        <v>189</v>
      </c>
      <c r="C710" s="2" t="s">
        <v>190</v>
      </c>
      <c r="D710" s="2" t="s">
        <v>85</v>
      </c>
      <c r="E710" s="2" t="s">
        <v>79</v>
      </c>
      <c r="F710" s="292" t="s">
        <v>91</v>
      </c>
      <c r="G710" s="292" t="s">
        <v>91</v>
      </c>
      <c r="H710" s="292" t="s">
        <v>91</v>
      </c>
      <c r="I710" s="292" t="s">
        <v>91</v>
      </c>
      <c r="J710" s="292" t="s">
        <v>91</v>
      </c>
      <c r="K710" s="292" t="s">
        <v>91</v>
      </c>
      <c r="L710" s="292" t="s">
        <v>91</v>
      </c>
      <c r="M710" s="307">
        <f t="shared" si="11"/>
        <v>0</v>
      </c>
    </row>
    <row r="711" spans="1:13" ht="13.15">
      <c r="A711" s="2" t="s">
        <v>246</v>
      </c>
      <c r="B711" s="2" t="s">
        <v>191</v>
      </c>
      <c r="C711" s="2" t="s">
        <v>192</v>
      </c>
      <c r="D711" s="2" t="s">
        <v>85</v>
      </c>
      <c r="E711" s="2" t="s">
        <v>79</v>
      </c>
      <c r="F711" s="292" t="s">
        <v>91</v>
      </c>
      <c r="G711" s="292" t="s">
        <v>91</v>
      </c>
      <c r="H711" s="292" t="s">
        <v>91</v>
      </c>
      <c r="I711" s="292" t="s">
        <v>91</v>
      </c>
      <c r="J711" s="292" t="s">
        <v>91</v>
      </c>
      <c r="K711" s="292" t="s">
        <v>91</v>
      </c>
      <c r="L711" s="292" t="s">
        <v>91</v>
      </c>
      <c r="M711" s="307">
        <f t="shared" si="11"/>
        <v>0</v>
      </c>
    </row>
    <row r="712" spans="1:13" ht="13.15">
      <c r="A712" s="2" t="s">
        <v>246</v>
      </c>
      <c r="B712" s="2" t="s">
        <v>193</v>
      </c>
      <c r="C712" s="2" t="s">
        <v>194</v>
      </c>
      <c r="D712" s="2" t="s">
        <v>85</v>
      </c>
      <c r="E712" s="2" t="s">
        <v>79</v>
      </c>
      <c r="F712" s="292" t="s">
        <v>91</v>
      </c>
      <c r="G712" s="292" t="s">
        <v>91</v>
      </c>
      <c r="H712" s="292" t="s">
        <v>91</v>
      </c>
      <c r="I712" s="292" t="s">
        <v>91</v>
      </c>
      <c r="J712" s="292" t="s">
        <v>91</v>
      </c>
      <c r="K712" s="292" t="s">
        <v>91</v>
      </c>
      <c r="L712" s="292" t="s">
        <v>91</v>
      </c>
      <c r="M712" s="307">
        <f t="shared" si="11"/>
        <v>0</v>
      </c>
    </row>
    <row r="713" spans="1:13" ht="13.15">
      <c r="A713" s="2" t="s">
        <v>246</v>
      </c>
      <c r="B713" s="2" t="s">
        <v>195</v>
      </c>
      <c r="C713" s="2" t="s">
        <v>196</v>
      </c>
      <c r="D713" s="2" t="s">
        <v>85</v>
      </c>
      <c r="E713" s="2" t="s">
        <v>79</v>
      </c>
      <c r="F713" s="292" t="s">
        <v>91</v>
      </c>
      <c r="G713" s="292" t="s">
        <v>91</v>
      </c>
      <c r="H713" s="292" t="s">
        <v>91</v>
      </c>
      <c r="I713" s="292" t="s">
        <v>91</v>
      </c>
      <c r="J713" s="292" t="s">
        <v>91</v>
      </c>
      <c r="K713" s="292" t="s">
        <v>91</v>
      </c>
      <c r="L713" s="292" t="s">
        <v>91</v>
      </c>
      <c r="M713" s="307">
        <f t="shared" si="11"/>
        <v>0</v>
      </c>
    </row>
    <row r="714" spans="1:13" ht="13.15">
      <c r="A714" s="2" t="s">
        <v>246</v>
      </c>
      <c r="B714" s="2" t="s">
        <v>197</v>
      </c>
      <c r="C714" s="2" t="s">
        <v>198</v>
      </c>
      <c r="D714" s="2" t="s">
        <v>85</v>
      </c>
      <c r="E714" s="2" t="s">
        <v>79</v>
      </c>
      <c r="F714" s="292" t="s">
        <v>91</v>
      </c>
      <c r="G714" s="292" t="s">
        <v>91</v>
      </c>
      <c r="H714" s="292" t="s">
        <v>91</v>
      </c>
      <c r="I714" s="292" t="s">
        <v>91</v>
      </c>
      <c r="J714" s="292" t="s">
        <v>91</v>
      </c>
      <c r="K714" s="292" t="s">
        <v>91</v>
      </c>
      <c r="L714" s="292" t="s">
        <v>91</v>
      </c>
      <c r="M714" s="307">
        <f t="shared" si="11"/>
        <v>0</v>
      </c>
    </row>
    <row r="715" spans="1:13" ht="13.15">
      <c r="A715" s="2" t="s">
        <v>246</v>
      </c>
      <c r="B715" s="2" t="s">
        <v>199</v>
      </c>
      <c r="C715" s="2" t="s">
        <v>200</v>
      </c>
      <c r="D715" s="2" t="s">
        <v>85</v>
      </c>
      <c r="E715" s="2" t="s">
        <v>79</v>
      </c>
      <c r="F715" s="292" t="s">
        <v>91</v>
      </c>
      <c r="G715" s="292" t="s">
        <v>91</v>
      </c>
      <c r="H715" s="292" t="s">
        <v>91</v>
      </c>
      <c r="I715" s="292" t="s">
        <v>91</v>
      </c>
      <c r="J715" s="292" t="s">
        <v>91</v>
      </c>
      <c r="K715" s="292" t="s">
        <v>91</v>
      </c>
      <c r="L715" s="292" t="s">
        <v>91</v>
      </c>
      <c r="M715" s="307">
        <f t="shared" si="11"/>
        <v>0</v>
      </c>
    </row>
    <row r="716" spans="1:13" ht="13.15">
      <c r="A716" s="2" t="s">
        <v>246</v>
      </c>
      <c r="B716" s="2" t="s">
        <v>201</v>
      </c>
      <c r="C716" s="2" t="s">
        <v>202</v>
      </c>
      <c r="D716" s="2" t="s">
        <v>85</v>
      </c>
      <c r="E716" s="2" t="s">
        <v>79</v>
      </c>
      <c r="F716" s="292" t="s">
        <v>91</v>
      </c>
      <c r="G716" s="292" t="s">
        <v>91</v>
      </c>
      <c r="H716" s="292" t="s">
        <v>91</v>
      </c>
      <c r="I716" s="292" t="s">
        <v>91</v>
      </c>
      <c r="J716" s="292" t="s">
        <v>91</v>
      </c>
      <c r="K716" s="292" t="s">
        <v>91</v>
      </c>
      <c r="L716" s="292" t="s">
        <v>91</v>
      </c>
      <c r="M716" s="307">
        <f t="shared" si="11"/>
        <v>0</v>
      </c>
    </row>
    <row r="717" spans="1:13" ht="13.15">
      <c r="A717" s="2" t="s">
        <v>246</v>
      </c>
      <c r="B717" s="2" t="s">
        <v>203</v>
      </c>
      <c r="C717" s="2" t="s">
        <v>204</v>
      </c>
      <c r="D717" s="2" t="s">
        <v>85</v>
      </c>
      <c r="E717" s="2" t="s">
        <v>79</v>
      </c>
      <c r="F717" s="292" t="s">
        <v>91</v>
      </c>
      <c r="G717" s="292" t="s">
        <v>91</v>
      </c>
      <c r="H717" s="292" t="s">
        <v>91</v>
      </c>
      <c r="I717" s="292" t="s">
        <v>91</v>
      </c>
      <c r="J717" s="292" t="s">
        <v>91</v>
      </c>
      <c r="K717" s="292" t="s">
        <v>91</v>
      </c>
      <c r="L717" s="292" t="s">
        <v>91</v>
      </c>
      <c r="M717" s="307">
        <f t="shared" si="11"/>
        <v>0</v>
      </c>
    </row>
    <row r="718" spans="1:13" ht="13.15">
      <c r="A718" s="2" t="s">
        <v>246</v>
      </c>
      <c r="B718" s="2" t="s">
        <v>205</v>
      </c>
      <c r="C718" s="2" t="s">
        <v>206</v>
      </c>
      <c r="D718" s="2" t="s">
        <v>85</v>
      </c>
      <c r="E718" s="2" t="s">
        <v>79</v>
      </c>
      <c r="F718" s="292" t="s">
        <v>91</v>
      </c>
      <c r="G718" s="292" t="s">
        <v>91</v>
      </c>
      <c r="H718" s="292" t="s">
        <v>91</v>
      </c>
      <c r="I718" s="292" t="s">
        <v>91</v>
      </c>
      <c r="J718" s="292" t="s">
        <v>91</v>
      </c>
      <c r="K718" s="292" t="s">
        <v>91</v>
      </c>
      <c r="L718" s="292" t="s">
        <v>91</v>
      </c>
      <c r="M718" s="307">
        <f t="shared" si="11"/>
        <v>0</v>
      </c>
    </row>
    <row r="719" spans="1:13" ht="13.15">
      <c r="A719" s="2" t="s">
        <v>246</v>
      </c>
      <c r="B719" s="2" t="s">
        <v>207</v>
      </c>
      <c r="C719" s="2" t="s">
        <v>208</v>
      </c>
      <c r="D719" s="2" t="s">
        <v>85</v>
      </c>
      <c r="E719" s="2" t="s">
        <v>79</v>
      </c>
      <c r="F719" s="292" t="s">
        <v>91</v>
      </c>
      <c r="G719" s="292" t="s">
        <v>91</v>
      </c>
      <c r="H719" s="292" t="s">
        <v>91</v>
      </c>
      <c r="I719" s="292" t="s">
        <v>91</v>
      </c>
      <c r="J719" s="292" t="s">
        <v>91</v>
      </c>
      <c r="K719" s="292" t="s">
        <v>91</v>
      </c>
      <c r="L719" s="292" t="s">
        <v>91</v>
      </c>
      <c r="M719" s="307">
        <f t="shared" si="11"/>
        <v>0</v>
      </c>
    </row>
    <row r="720" spans="1:13" ht="13.15">
      <c r="A720" s="2" t="s">
        <v>246</v>
      </c>
      <c r="B720" s="2" t="s">
        <v>209</v>
      </c>
      <c r="C720" s="2" t="s">
        <v>210</v>
      </c>
      <c r="D720" s="2" t="s">
        <v>85</v>
      </c>
      <c r="E720" s="2" t="s">
        <v>79</v>
      </c>
      <c r="F720" s="292" t="s">
        <v>91</v>
      </c>
      <c r="G720" s="292" t="s">
        <v>91</v>
      </c>
      <c r="H720" s="292" t="s">
        <v>91</v>
      </c>
      <c r="I720" s="292" t="s">
        <v>91</v>
      </c>
      <c r="J720" s="292" t="s">
        <v>91</v>
      </c>
      <c r="K720" s="292" t="s">
        <v>91</v>
      </c>
      <c r="L720" s="292" t="s">
        <v>91</v>
      </c>
      <c r="M720" s="307">
        <f t="shared" si="11"/>
        <v>0</v>
      </c>
    </row>
    <row r="721" spans="1:13" ht="13.15">
      <c r="A721" s="2" t="s">
        <v>246</v>
      </c>
      <c r="B721" s="2" t="s">
        <v>211</v>
      </c>
      <c r="C721" s="2" t="s">
        <v>212</v>
      </c>
      <c r="D721" s="2" t="s">
        <v>85</v>
      </c>
      <c r="E721" s="2" t="s">
        <v>79</v>
      </c>
      <c r="F721" s="292" t="s">
        <v>91</v>
      </c>
      <c r="G721" s="292" t="s">
        <v>91</v>
      </c>
      <c r="H721" s="292" t="s">
        <v>91</v>
      </c>
      <c r="I721" s="292" t="s">
        <v>91</v>
      </c>
      <c r="J721" s="292" t="s">
        <v>91</v>
      </c>
      <c r="K721" s="292" t="s">
        <v>91</v>
      </c>
      <c r="L721" s="292" t="s">
        <v>91</v>
      </c>
      <c r="M721" s="307">
        <f t="shared" si="11"/>
        <v>0</v>
      </c>
    </row>
    <row r="722" spans="1:13" ht="13.15">
      <c r="A722" s="2" t="s">
        <v>246</v>
      </c>
      <c r="B722" s="2" t="s">
        <v>213</v>
      </c>
      <c r="C722" s="2" t="s">
        <v>214</v>
      </c>
      <c r="D722" s="2" t="s">
        <v>85</v>
      </c>
      <c r="E722" s="2" t="s">
        <v>79</v>
      </c>
      <c r="F722" s="292" t="s">
        <v>91</v>
      </c>
      <c r="G722" s="292" t="s">
        <v>91</v>
      </c>
      <c r="H722" s="292" t="s">
        <v>91</v>
      </c>
      <c r="I722" s="292" t="s">
        <v>91</v>
      </c>
      <c r="J722" s="292" t="s">
        <v>91</v>
      </c>
      <c r="K722" s="292" t="s">
        <v>91</v>
      </c>
      <c r="L722" s="292" t="s">
        <v>91</v>
      </c>
      <c r="M722" s="307">
        <f t="shared" si="11"/>
        <v>0</v>
      </c>
    </row>
    <row r="723" spans="1:13" ht="13.15">
      <c r="A723" s="2" t="s">
        <v>246</v>
      </c>
      <c r="B723" s="2" t="s">
        <v>215</v>
      </c>
      <c r="C723" s="2" t="s">
        <v>216</v>
      </c>
      <c r="D723" s="2" t="s">
        <v>85</v>
      </c>
      <c r="E723" s="2" t="s">
        <v>79</v>
      </c>
      <c r="F723" s="292" t="s">
        <v>91</v>
      </c>
      <c r="G723" s="292" t="s">
        <v>91</v>
      </c>
      <c r="H723" s="292" t="s">
        <v>91</v>
      </c>
      <c r="I723" s="292" t="s">
        <v>91</v>
      </c>
      <c r="J723" s="292" t="s">
        <v>91</v>
      </c>
      <c r="K723" s="292" t="s">
        <v>91</v>
      </c>
      <c r="L723" s="292" t="s">
        <v>91</v>
      </c>
      <c r="M723" s="307">
        <f t="shared" si="11"/>
        <v>0</v>
      </c>
    </row>
    <row r="724" spans="1:13" ht="13.15">
      <c r="A724" s="2" t="s">
        <v>246</v>
      </c>
      <c r="B724" s="2" t="s">
        <v>217</v>
      </c>
      <c r="C724" s="2" t="s">
        <v>218</v>
      </c>
      <c r="D724" s="2" t="s">
        <v>85</v>
      </c>
      <c r="E724" s="2" t="s">
        <v>79</v>
      </c>
      <c r="F724" s="292" t="s">
        <v>91</v>
      </c>
      <c r="G724" s="292" t="s">
        <v>91</v>
      </c>
      <c r="H724" s="292" t="s">
        <v>91</v>
      </c>
      <c r="I724" s="292" t="s">
        <v>91</v>
      </c>
      <c r="J724" s="292" t="s">
        <v>91</v>
      </c>
      <c r="K724" s="292" t="s">
        <v>91</v>
      </c>
      <c r="L724" s="292" t="s">
        <v>91</v>
      </c>
      <c r="M724" s="307">
        <f t="shared" si="11"/>
        <v>0</v>
      </c>
    </row>
    <row r="725" spans="1:13" ht="13.15">
      <c r="A725" s="2" t="s">
        <v>246</v>
      </c>
      <c r="B725" s="2" t="s">
        <v>219</v>
      </c>
      <c r="C725" s="2" t="s">
        <v>220</v>
      </c>
      <c r="D725" s="2" t="s">
        <v>85</v>
      </c>
      <c r="E725" s="2" t="s">
        <v>79</v>
      </c>
      <c r="F725" s="292" t="s">
        <v>91</v>
      </c>
      <c r="G725" s="292" t="s">
        <v>91</v>
      </c>
      <c r="H725" s="292" t="s">
        <v>91</v>
      </c>
      <c r="I725" s="292" t="s">
        <v>91</v>
      </c>
      <c r="J725" s="292" t="s">
        <v>91</v>
      </c>
      <c r="K725" s="292" t="s">
        <v>91</v>
      </c>
      <c r="L725" s="292" t="s">
        <v>91</v>
      </c>
      <c r="M725" s="307">
        <f t="shared" si="11"/>
        <v>0</v>
      </c>
    </row>
    <row r="726" spans="1:13" ht="13.15">
      <c r="A726" s="2" t="s">
        <v>246</v>
      </c>
      <c r="B726" s="2" t="s">
        <v>221</v>
      </c>
      <c r="C726" s="2" t="s">
        <v>222</v>
      </c>
      <c r="D726" s="2" t="s">
        <v>85</v>
      </c>
      <c r="E726" s="2" t="s">
        <v>79</v>
      </c>
      <c r="F726" s="292" t="s">
        <v>91</v>
      </c>
      <c r="G726" s="292" t="s">
        <v>91</v>
      </c>
      <c r="H726" s="292" t="s">
        <v>91</v>
      </c>
      <c r="I726" s="292" t="s">
        <v>91</v>
      </c>
      <c r="J726" s="292" t="s">
        <v>91</v>
      </c>
      <c r="K726" s="292" t="s">
        <v>91</v>
      </c>
      <c r="L726" s="292" t="s">
        <v>91</v>
      </c>
      <c r="M726" s="307">
        <f t="shared" si="11"/>
        <v>0</v>
      </c>
    </row>
    <row r="727" spans="1:13" ht="13.15">
      <c r="A727" s="2" t="s">
        <v>246</v>
      </c>
      <c r="B727" s="2" t="s">
        <v>223</v>
      </c>
      <c r="C727" s="2" t="s">
        <v>224</v>
      </c>
      <c r="D727" s="2" t="s">
        <v>85</v>
      </c>
      <c r="E727" s="2" t="s">
        <v>79</v>
      </c>
      <c r="F727" s="292" t="s">
        <v>91</v>
      </c>
      <c r="G727" s="292" t="s">
        <v>91</v>
      </c>
      <c r="H727" s="292" t="s">
        <v>91</v>
      </c>
      <c r="I727" s="292" t="s">
        <v>91</v>
      </c>
      <c r="J727" s="292" t="s">
        <v>91</v>
      </c>
      <c r="K727" s="292" t="s">
        <v>91</v>
      </c>
      <c r="L727" s="292" t="s">
        <v>91</v>
      </c>
      <c r="M727" s="307">
        <f t="shared" si="11"/>
        <v>0</v>
      </c>
    </row>
    <row r="728" spans="1:13" ht="13.15">
      <c r="A728" s="2" t="s">
        <v>246</v>
      </c>
      <c r="B728" s="2" t="s">
        <v>225</v>
      </c>
      <c r="C728" s="2" t="s">
        <v>226</v>
      </c>
      <c r="D728" s="2" t="s">
        <v>85</v>
      </c>
      <c r="E728" s="2" t="s">
        <v>79</v>
      </c>
      <c r="F728" s="292" t="s">
        <v>91</v>
      </c>
      <c r="G728" s="292" t="s">
        <v>91</v>
      </c>
      <c r="H728" s="292" t="s">
        <v>91</v>
      </c>
      <c r="I728" s="292" t="s">
        <v>91</v>
      </c>
      <c r="J728" s="292" t="s">
        <v>91</v>
      </c>
      <c r="K728" s="292" t="s">
        <v>91</v>
      </c>
      <c r="L728" s="292" t="s">
        <v>91</v>
      </c>
      <c r="M728" s="307">
        <f t="shared" si="11"/>
        <v>0</v>
      </c>
    </row>
    <row r="729" spans="1:13" ht="13.15">
      <c r="A729" s="2" t="s">
        <v>246</v>
      </c>
      <c r="B729" s="2" t="s">
        <v>227</v>
      </c>
      <c r="C729" s="2" t="s">
        <v>228</v>
      </c>
      <c r="D729" s="2" t="s">
        <v>85</v>
      </c>
      <c r="E729" s="2" t="s">
        <v>79</v>
      </c>
      <c r="F729" s="292" t="s">
        <v>91</v>
      </c>
      <c r="G729" s="292" t="s">
        <v>91</v>
      </c>
      <c r="H729" s="292" t="s">
        <v>91</v>
      </c>
      <c r="I729" s="292" t="s">
        <v>91</v>
      </c>
      <c r="J729" s="292" t="s">
        <v>91</v>
      </c>
      <c r="K729" s="292" t="s">
        <v>91</v>
      </c>
      <c r="L729" s="292" t="s">
        <v>91</v>
      </c>
      <c r="M729" s="307">
        <f t="shared" si="11"/>
        <v>0</v>
      </c>
    </row>
    <row r="730" spans="1:13" ht="13.15">
      <c r="A730" s="2" t="s">
        <v>246</v>
      </c>
      <c r="B730" s="2" t="s">
        <v>229</v>
      </c>
      <c r="C730" s="2" t="s">
        <v>230</v>
      </c>
      <c r="D730" s="2" t="s">
        <v>85</v>
      </c>
      <c r="E730" s="2" t="s">
        <v>79</v>
      </c>
      <c r="F730" s="292" t="s">
        <v>91</v>
      </c>
      <c r="G730" s="292" t="s">
        <v>91</v>
      </c>
      <c r="H730" s="292" t="s">
        <v>91</v>
      </c>
      <c r="I730" s="292" t="s">
        <v>91</v>
      </c>
      <c r="J730" s="292" t="s">
        <v>91</v>
      </c>
      <c r="K730" s="292" t="s">
        <v>91</v>
      </c>
      <c r="L730" s="292" t="s">
        <v>91</v>
      </c>
      <c r="M730" s="307">
        <f t="shared" si="11"/>
        <v>0</v>
      </c>
    </row>
    <row r="731" spans="1:13" ht="13.15">
      <c r="A731" s="2" t="s">
        <v>246</v>
      </c>
      <c r="B731" s="2" t="s">
        <v>231</v>
      </c>
      <c r="C731" s="2" t="s">
        <v>232</v>
      </c>
      <c r="D731" s="2" t="s">
        <v>85</v>
      </c>
      <c r="E731" s="2" t="s">
        <v>79</v>
      </c>
      <c r="F731" s="292" t="s">
        <v>91</v>
      </c>
      <c r="G731" s="292" t="s">
        <v>91</v>
      </c>
      <c r="H731" s="292" t="s">
        <v>91</v>
      </c>
      <c r="I731" s="292" t="s">
        <v>91</v>
      </c>
      <c r="J731" s="292" t="s">
        <v>91</v>
      </c>
      <c r="K731" s="292" t="s">
        <v>91</v>
      </c>
      <c r="L731" s="292" t="s">
        <v>91</v>
      </c>
      <c r="M731" s="307">
        <f t="shared" si="11"/>
        <v>0</v>
      </c>
    </row>
    <row r="732" spans="1:13" ht="13.15">
      <c r="A732" s="2" t="s">
        <v>246</v>
      </c>
      <c r="B732" s="2" t="s">
        <v>233</v>
      </c>
      <c r="C732" s="2" t="s">
        <v>234</v>
      </c>
      <c r="D732" s="2" t="s">
        <v>85</v>
      </c>
      <c r="E732" s="2" t="s">
        <v>79</v>
      </c>
      <c r="F732" s="292" t="s">
        <v>91</v>
      </c>
      <c r="G732" s="292" t="s">
        <v>91</v>
      </c>
      <c r="H732" s="292" t="s">
        <v>91</v>
      </c>
      <c r="I732" s="292" t="s">
        <v>91</v>
      </c>
      <c r="J732" s="292" t="s">
        <v>91</v>
      </c>
      <c r="K732" s="292" t="s">
        <v>91</v>
      </c>
      <c r="L732" s="292" t="s">
        <v>91</v>
      </c>
      <c r="M732" s="307">
        <f t="shared" si="11"/>
        <v>0</v>
      </c>
    </row>
    <row r="733" spans="1:13" ht="13.15">
      <c r="A733" s="2" t="s">
        <v>246</v>
      </c>
      <c r="B733" s="2" t="s">
        <v>235</v>
      </c>
      <c r="C733" s="2" t="s">
        <v>236</v>
      </c>
      <c r="D733" s="2" t="s">
        <v>85</v>
      </c>
      <c r="E733" s="2" t="s">
        <v>79</v>
      </c>
      <c r="F733" s="292" t="s">
        <v>91</v>
      </c>
      <c r="G733" s="292" t="s">
        <v>91</v>
      </c>
      <c r="H733" s="292" t="s">
        <v>91</v>
      </c>
      <c r="I733" s="292" t="s">
        <v>91</v>
      </c>
      <c r="J733" s="292" t="s">
        <v>91</v>
      </c>
      <c r="K733" s="292" t="s">
        <v>91</v>
      </c>
      <c r="L733" s="292" t="s">
        <v>91</v>
      </c>
      <c r="M733" s="307">
        <f t="shared" si="11"/>
        <v>0</v>
      </c>
    </row>
    <row r="734" spans="1:13" ht="13.15">
      <c r="A734" s="2" t="s">
        <v>246</v>
      </c>
      <c r="B734" s="2" t="s">
        <v>237</v>
      </c>
      <c r="C734" s="2" t="s">
        <v>238</v>
      </c>
      <c r="D734" s="2" t="s">
        <v>85</v>
      </c>
      <c r="E734" s="2" t="s">
        <v>79</v>
      </c>
      <c r="F734" s="292" t="s">
        <v>91</v>
      </c>
      <c r="G734" s="292" t="s">
        <v>91</v>
      </c>
      <c r="H734" s="292" t="s">
        <v>91</v>
      </c>
      <c r="I734" s="292" t="s">
        <v>91</v>
      </c>
      <c r="J734" s="292" t="s">
        <v>91</v>
      </c>
      <c r="K734" s="292" t="s">
        <v>91</v>
      </c>
      <c r="L734" s="292" t="s">
        <v>91</v>
      </c>
      <c r="M734" s="307">
        <f t="shared" si="11"/>
        <v>0</v>
      </c>
    </row>
    <row r="735" spans="1:13" ht="13.15">
      <c r="A735" s="2" t="s">
        <v>246</v>
      </c>
      <c r="B735" s="2" t="s">
        <v>239</v>
      </c>
      <c r="C735" s="2" t="s">
        <v>240</v>
      </c>
      <c r="D735" s="2" t="s">
        <v>85</v>
      </c>
      <c r="E735" s="2" t="s">
        <v>79</v>
      </c>
      <c r="F735" s="292" t="s">
        <v>91</v>
      </c>
      <c r="G735" s="292" t="s">
        <v>91</v>
      </c>
      <c r="H735" s="292" t="s">
        <v>91</v>
      </c>
      <c r="I735" s="292" t="s">
        <v>91</v>
      </c>
      <c r="J735" s="292" t="s">
        <v>91</v>
      </c>
      <c r="K735" s="292" t="s">
        <v>91</v>
      </c>
      <c r="L735" s="292" t="s">
        <v>91</v>
      </c>
      <c r="M735" s="307">
        <f t="shared" si="11"/>
        <v>0</v>
      </c>
    </row>
    <row r="736" spans="1:13" ht="14.25">
      <c r="A736" s="267"/>
      <c r="B736" s="267"/>
      <c r="C736" s="267"/>
      <c r="D736" s="267"/>
      <c r="E736" s="267"/>
      <c r="F736" s="267"/>
      <c r="G736" s="267"/>
      <c r="H736" s="267"/>
      <c r="I736" s="267"/>
      <c r="J736" s="267"/>
      <c r="K736" s="267"/>
      <c r="L736" s="267"/>
    </row>
    <row r="737" spans="1:12" ht="14.25">
      <c r="A737" s="267"/>
      <c r="B737" s="267"/>
      <c r="C737" s="267"/>
      <c r="D737" s="267"/>
      <c r="E737" s="267"/>
      <c r="F737" s="267"/>
      <c r="G737" s="267"/>
      <c r="H737" s="267"/>
      <c r="I737" s="267"/>
      <c r="J737" s="267"/>
      <c r="K737" s="267"/>
      <c r="L737" s="267"/>
    </row>
    <row r="738" spans="1:12" ht="14.25">
      <c r="A738" s="267"/>
      <c r="B738" s="267"/>
      <c r="C738" s="267"/>
      <c r="D738" s="267"/>
      <c r="E738" s="267"/>
      <c r="F738" s="267"/>
      <c r="G738" s="267"/>
      <c r="H738" s="267"/>
      <c r="I738" s="267"/>
      <c r="J738" s="267"/>
      <c r="K738" s="267"/>
      <c r="L738" s="267"/>
    </row>
    <row r="739" spans="1:12" ht="14.25">
      <c r="A739" s="267"/>
      <c r="B739" s="267"/>
      <c r="C739" s="267"/>
      <c r="D739" s="267"/>
      <c r="E739" s="267"/>
      <c r="F739" s="267"/>
      <c r="G739" s="267"/>
      <c r="H739" s="267"/>
      <c r="I739" s="267"/>
      <c r="J739" s="267"/>
      <c r="K739" s="267"/>
      <c r="L739" s="267"/>
    </row>
    <row r="740" spans="1:12" ht="14.25">
      <c r="A740" s="267"/>
      <c r="B740" s="267"/>
      <c r="C740" s="267"/>
      <c r="D740" s="267"/>
      <c r="E740" s="267"/>
      <c r="F740" s="267"/>
      <c r="G740" s="267"/>
      <c r="H740" s="267"/>
      <c r="I740" s="267"/>
      <c r="J740" s="267"/>
      <c r="K740" s="267"/>
      <c r="L740" s="267"/>
    </row>
    <row r="741" spans="1:12" ht="14.25">
      <c r="A741" s="267"/>
      <c r="B741" s="267"/>
      <c r="C741" s="267"/>
      <c r="D741" s="267"/>
      <c r="E741" s="267"/>
      <c r="F741" s="267"/>
      <c r="G741" s="267"/>
      <c r="H741" s="267"/>
      <c r="I741" s="267"/>
      <c r="J741" s="267"/>
      <c r="K741" s="267"/>
      <c r="L741" s="267"/>
    </row>
    <row r="742" spans="1:12" ht="14.25">
      <c r="A742" s="267"/>
      <c r="B742" s="267"/>
      <c r="C742" s="267"/>
      <c r="D742" s="267"/>
      <c r="E742" s="267"/>
      <c r="F742" s="267"/>
      <c r="G742" s="267"/>
      <c r="H742" s="267"/>
      <c r="I742" s="267"/>
      <c r="J742" s="267"/>
      <c r="K742" s="267"/>
      <c r="L742" s="267"/>
    </row>
    <row r="743" spans="1:12" ht="14.25">
      <c r="A743" s="267"/>
      <c r="B743" s="267"/>
      <c r="C743" s="267"/>
      <c r="D743" s="267"/>
      <c r="E743" s="267"/>
      <c r="F743" s="267"/>
      <c r="G743" s="267"/>
      <c r="H743" s="267"/>
      <c r="I743" s="267"/>
      <c r="J743" s="267"/>
      <c r="K743" s="267"/>
      <c r="L743" s="267"/>
    </row>
    <row r="744" spans="1:12" ht="14.25">
      <c r="A744" s="267"/>
      <c r="B744" s="267"/>
      <c r="C744" s="267"/>
      <c r="D744" s="267"/>
      <c r="E744" s="267"/>
      <c r="F744" s="267"/>
      <c r="G744" s="267"/>
      <c r="H744" s="267"/>
      <c r="I744" s="267"/>
      <c r="J744" s="267"/>
      <c r="K744" s="267"/>
      <c r="L744" s="267"/>
    </row>
    <row r="745" spans="1:12" ht="14.25">
      <c r="A745" s="267"/>
      <c r="B745" s="267"/>
      <c r="C745" s="267"/>
      <c r="D745" s="267"/>
      <c r="E745" s="267"/>
      <c r="F745" s="267"/>
      <c r="G745" s="267"/>
      <c r="H745" s="267"/>
      <c r="I745" s="267"/>
      <c r="J745" s="267"/>
      <c r="K745" s="267"/>
      <c r="L745" s="267"/>
    </row>
    <row r="746" spans="1:12" ht="14.25">
      <c r="A746" s="267"/>
      <c r="B746" s="267"/>
      <c r="C746" s="267"/>
      <c r="D746" s="267"/>
      <c r="E746" s="267"/>
      <c r="F746" s="267"/>
      <c r="G746" s="267"/>
      <c r="H746" s="267"/>
      <c r="I746" s="267"/>
      <c r="J746" s="267"/>
      <c r="K746" s="267"/>
      <c r="L746" s="267"/>
    </row>
    <row r="747" spans="1:12" ht="14.25">
      <c r="A747" s="267"/>
      <c r="B747" s="267"/>
      <c r="C747" s="267"/>
      <c r="D747" s="267"/>
      <c r="E747" s="267"/>
      <c r="F747" s="267"/>
      <c r="G747" s="267"/>
      <c r="H747" s="267"/>
      <c r="I747" s="267"/>
      <c r="J747" s="267"/>
      <c r="K747" s="267"/>
      <c r="L747" s="267"/>
    </row>
    <row r="748" spans="1:12" ht="14.25">
      <c r="A748" s="267"/>
      <c r="B748" s="267"/>
      <c r="C748" s="267"/>
      <c r="D748" s="267"/>
      <c r="E748" s="267"/>
      <c r="F748" s="267"/>
      <c r="G748" s="267"/>
      <c r="H748" s="267"/>
      <c r="I748" s="267"/>
      <c r="J748" s="267"/>
      <c r="K748" s="267"/>
      <c r="L748" s="267"/>
    </row>
    <row r="749" spans="1:12" ht="14.25">
      <c r="A749" s="267"/>
      <c r="B749" s="267"/>
      <c r="C749" s="267"/>
      <c r="D749" s="267"/>
      <c r="E749" s="267"/>
      <c r="F749" s="267"/>
      <c r="G749" s="267"/>
      <c r="H749" s="267"/>
      <c r="I749" s="267"/>
      <c r="J749" s="267"/>
      <c r="K749" s="267"/>
      <c r="L749" s="267"/>
    </row>
    <row r="750" spans="1:12" ht="14.25">
      <c r="A750" s="267"/>
      <c r="B750" s="267"/>
      <c r="C750" s="267"/>
      <c r="D750" s="267"/>
      <c r="E750" s="267"/>
      <c r="F750" s="267"/>
      <c r="G750" s="267"/>
      <c r="H750" s="267"/>
      <c r="I750" s="267"/>
      <c r="J750" s="267"/>
      <c r="K750" s="267"/>
      <c r="L750" s="267"/>
    </row>
    <row r="751" spans="1:12" ht="14.25">
      <c r="A751" s="267"/>
      <c r="B751" s="267"/>
      <c r="C751" s="267"/>
      <c r="D751" s="267"/>
      <c r="E751" s="267"/>
      <c r="F751" s="267"/>
      <c r="G751" s="267"/>
      <c r="H751" s="267"/>
      <c r="I751" s="267"/>
      <c r="J751" s="267"/>
      <c r="K751" s="267"/>
      <c r="L751" s="267"/>
    </row>
    <row r="752" spans="1:12" ht="14.25">
      <c r="A752" s="267"/>
      <c r="B752" s="267"/>
      <c r="C752" s="267"/>
      <c r="D752" s="267"/>
      <c r="E752" s="267"/>
      <c r="F752" s="267"/>
      <c r="G752" s="267"/>
      <c r="H752" s="267"/>
      <c r="I752" s="267"/>
      <c r="J752" s="267"/>
      <c r="K752" s="267"/>
      <c r="L752" s="267"/>
    </row>
    <row r="753" spans="1:12" ht="14.25">
      <c r="A753" s="267"/>
      <c r="B753" s="267"/>
      <c r="C753" s="267"/>
      <c r="D753" s="267"/>
      <c r="E753" s="267"/>
      <c r="F753" s="267"/>
      <c r="G753" s="267"/>
      <c r="H753" s="267"/>
      <c r="I753" s="267"/>
      <c r="J753" s="267"/>
      <c r="K753" s="267"/>
      <c r="L753" s="267"/>
    </row>
    <row r="754" spans="1:12" ht="14.25">
      <c r="A754" s="267"/>
      <c r="B754" s="267"/>
      <c r="C754" s="267"/>
      <c r="D754" s="267"/>
      <c r="E754" s="267"/>
      <c r="F754" s="267"/>
      <c r="G754" s="267"/>
      <c r="H754" s="267"/>
      <c r="I754" s="267"/>
      <c r="J754" s="267"/>
      <c r="K754" s="267"/>
      <c r="L754" s="267"/>
    </row>
    <row r="755" spans="1:12" ht="14.25">
      <c r="A755" s="267"/>
      <c r="B755" s="267"/>
      <c r="C755" s="267"/>
      <c r="D755" s="267"/>
      <c r="E755" s="267"/>
      <c r="F755" s="267"/>
      <c r="G755" s="267"/>
      <c r="H755" s="267"/>
      <c r="I755" s="267"/>
      <c r="J755" s="267"/>
      <c r="K755" s="267"/>
      <c r="L755" s="267"/>
    </row>
    <row r="756" spans="1:12" ht="14.25">
      <c r="A756" s="267"/>
      <c r="B756" s="267"/>
      <c r="C756" s="267"/>
      <c r="D756" s="267"/>
      <c r="E756" s="267"/>
      <c r="F756" s="267"/>
      <c r="G756" s="267"/>
      <c r="H756" s="267"/>
      <c r="I756" s="267"/>
      <c r="J756" s="267"/>
      <c r="K756" s="267"/>
      <c r="L756" s="267"/>
    </row>
    <row r="757" spans="1:12" ht="14.25">
      <c r="A757" s="267"/>
      <c r="B757" s="267"/>
      <c r="C757" s="267"/>
      <c r="D757" s="267"/>
      <c r="E757" s="267"/>
      <c r="F757" s="267"/>
      <c r="G757" s="267"/>
      <c r="H757" s="267"/>
      <c r="I757" s="267"/>
      <c r="J757" s="267"/>
      <c r="K757" s="267"/>
      <c r="L757" s="267"/>
    </row>
    <row r="758" spans="1:12" ht="14.25">
      <c r="A758" s="267"/>
      <c r="B758" s="267"/>
      <c r="C758" s="267"/>
      <c r="D758" s="267"/>
      <c r="E758" s="267"/>
      <c r="F758" s="267"/>
      <c r="G758" s="267"/>
      <c r="H758" s="267"/>
      <c r="I758" s="267"/>
      <c r="J758" s="267"/>
      <c r="K758" s="267"/>
      <c r="L758" s="267"/>
    </row>
    <row r="759" spans="1:12" ht="14.25">
      <c r="A759" s="267"/>
      <c r="B759" s="267"/>
      <c r="C759" s="267"/>
      <c r="D759" s="267"/>
      <c r="E759" s="267"/>
      <c r="F759" s="267"/>
      <c r="G759" s="267"/>
      <c r="H759" s="267"/>
      <c r="I759" s="267"/>
      <c r="J759" s="267"/>
      <c r="K759" s="267"/>
      <c r="L759" s="267"/>
    </row>
    <row r="760" spans="1:12" ht="14.25">
      <c r="A760" s="267"/>
      <c r="B760" s="267"/>
      <c r="C760" s="267"/>
      <c r="D760" s="267"/>
      <c r="E760" s="267"/>
      <c r="F760" s="267"/>
      <c r="G760" s="267"/>
      <c r="H760" s="267"/>
      <c r="I760" s="267"/>
      <c r="J760" s="267"/>
      <c r="K760" s="267"/>
      <c r="L760" s="267"/>
    </row>
    <row r="761" spans="1:12" ht="14.25">
      <c r="A761" s="267"/>
      <c r="B761" s="267"/>
      <c r="C761" s="267"/>
      <c r="D761" s="267"/>
      <c r="E761" s="267"/>
      <c r="F761" s="267"/>
      <c r="G761" s="267"/>
      <c r="H761" s="267"/>
      <c r="I761" s="267"/>
      <c r="J761" s="267"/>
      <c r="K761" s="267"/>
      <c r="L761" s="267"/>
    </row>
    <row r="762" spans="1:12" ht="14.25">
      <c r="A762" s="267"/>
      <c r="B762" s="267"/>
      <c r="C762" s="267"/>
      <c r="D762" s="267"/>
      <c r="E762" s="267"/>
      <c r="F762" s="267"/>
      <c r="G762" s="267"/>
      <c r="H762" s="267"/>
      <c r="I762" s="267"/>
      <c r="J762" s="267"/>
      <c r="K762" s="267"/>
      <c r="L762" s="267"/>
    </row>
    <row r="763" spans="1:12" ht="14.25">
      <c r="A763" s="267"/>
      <c r="B763" s="267"/>
      <c r="C763" s="267"/>
      <c r="D763" s="267"/>
      <c r="E763" s="267"/>
      <c r="F763" s="267"/>
      <c r="G763" s="267"/>
      <c r="H763" s="267"/>
      <c r="I763" s="267"/>
      <c r="J763" s="267"/>
      <c r="K763" s="267"/>
      <c r="L763" s="267"/>
    </row>
    <row r="764" spans="1:12" ht="14.25">
      <c r="A764" s="267"/>
      <c r="B764" s="267"/>
      <c r="C764" s="267"/>
      <c r="D764" s="267"/>
      <c r="E764" s="267"/>
      <c r="F764" s="267"/>
      <c r="G764" s="267"/>
      <c r="H764" s="267"/>
      <c r="I764" s="267"/>
      <c r="J764" s="267"/>
      <c r="K764" s="267"/>
      <c r="L764" s="267"/>
    </row>
    <row r="765" spans="1:12" ht="14.25">
      <c r="A765" s="267"/>
      <c r="B765" s="267"/>
      <c r="C765" s="267"/>
      <c r="D765" s="267"/>
      <c r="E765" s="267"/>
      <c r="F765" s="267"/>
      <c r="G765" s="267"/>
      <c r="H765" s="267"/>
      <c r="I765" s="267"/>
      <c r="J765" s="267"/>
      <c r="K765" s="267"/>
      <c r="L765" s="267"/>
    </row>
    <row r="766" spans="1:12" ht="14.25">
      <c r="A766" s="267"/>
      <c r="B766" s="267"/>
      <c r="C766" s="267"/>
      <c r="D766" s="267"/>
      <c r="E766" s="267"/>
      <c r="F766" s="267"/>
      <c r="G766" s="267"/>
      <c r="H766" s="267"/>
      <c r="I766" s="267"/>
      <c r="J766" s="267"/>
      <c r="K766" s="267"/>
      <c r="L766" s="267"/>
    </row>
    <row r="767" spans="1:12" ht="14.25">
      <c r="A767" s="267"/>
      <c r="B767" s="267"/>
      <c r="C767" s="267"/>
      <c r="D767" s="267"/>
      <c r="E767" s="267"/>
      <c r="F767" s="267"/>
      <c r="G767" s="267"/>
      <c r="H767" s="267"/>
      <c r="I767" s="267"/>
      <c r="J767" s="267"/>
      <c r="K767" s="267"/>
      <c r="L767" s="267"/>
    </row>
    <row r="768" spans="1:12" ht="14.25">
      <c r="A768" s="267"/>
      <c r="B768" s="267"/>
      <c r="C768" s="267"/>
      <c r="D768" s="267"/>
      <c r="E768" s="267"/>
      <c r="F768" s="267"/>
      <c r="G768" s="267"/>
      <c r="H768" s="267"/>
      <c r="I768" s="267"/>
      <c r="J768" s="267"/>
      <c r="K768" s="267"/>
      <c r="L768" s="267"/>
    </row>
    <row r="769" spans="1:12" ht="14.25">
      <c r="A769" s="267"/>
      <c r="B769" s="267"/>
      <c r="C769" s="267"/>
      <c r="D769" s="267"/>
      <c r="E769" s="267"/>
      <c r="F769" s="267"/>
      <c r="G769" s="267"/>
      <c r="H769" s="267"/>
      <c r="I769" s="267"/>
      <c r="J769" s="267"/>
      <c r="K769" s="267"/>
      <c r="L769" s="267"/>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79992-9C05-46F3-BA2B-022134FEF62B}">
  <sheetPr>
    <tabColor theme="0" tint="-0.14999847407452621"/>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1008-AA1B-4CE5-96C7-774CF6C74628}">
  <sheetPr>
    <tabColor theme="0" tint="-0.14999847407452621"/>
  </sheetPr>
  <dimension ref="A1:S69"/>
  <sheetViews>
    <sheetView showGridLines="0" zoomScale="80" zoomScaleNormal="80" workbookViewId="0"/>
  </sheetViews>
  <sheetFormatPr defaultRowHeight="12.75"/>
  <cols>
    <col min="2" max="2" width="20" bestFit="1" customWidth="1"/>
    <col min="3" max="3" width="48.28515625" style="208" bestFit="1" customWidth="1"/>
    <col min="4" max="4" width="14.140625" customWidth="1"/>
    <col min="5" max="5" width="11.85546875" customWidth="1"/>
    <col min="6" max="6" width="13.7109375" customWidth="1"/>
    <col min="7" max="8" width="18.7109375" customWidth="1"/>
    <col min="9" max="9" width="18.5703125" customWidth="1"/>
    <col min="10" max="10" width="28" bestFit="1" customWidth="1"/>
    <col min="11" max="11" width="20" bestFit="1" customWidth="1"/>
    <col min="12" max="12" width="44" bestFit="1" customWidth="1"/>
    <col min="13" max="15" width="14.85546875" bestFit="1" customWidth="1"/>
    <col min="16" max="16" width="20.85546875" bestFit="1" customWidth="1"/>
    <col min="17" max="17" width="20" bestFit="1" customWidth="1"/>
    <col min="18" max="18" width="16.42578125" bestFit="1" customWidth="1"/>
    <col min="20" max="20" width="61.42578125" customWidth="1"/>
  </cols>
  <sheetData>
    <row r="1" spans="1:19" ht="30.75">
      <c r="A1" s="1" t="e">
        <f ca="1" xml:space="preserve"> RIGHT(CELL("filename", $A$1), LEN(CELL("filename", $A$1)) - SEARCH("]", CELL("filename", $A$1)))</f>
        <v>#VALUE!</v>
      </c>
      <c r="B1" s="1"/>
      <c r="C1" s="1"/>
      <c r="D1" s="1"/>
      <c r="E1" s="1"/>
      <c r="F1" s="1"/>
      <c r="G1" s="1"/>
      <c r="H1" s="346"/>
      <c r="I1" s="346"/>
    </row>
    <row r="2" spans="1:19" ht="13.15">
      <c r="B2" s="310" t="s">
        <v>247</v>
      </c>
      <c r="K2" s="310" t="s">
        <v>248</v>
      </c>
    </row>
    <row r="3" spans="1:19" ht="13.15">
      <c r="B3" s="329"/>
      <c r="C3" s="330" t="s">
        <v>249</v>
      </c>
      <c r="D3" s="331" t="s">
        <v>250</v>
      </c>
      <c r="E3" s="331" t="s">
        <v>251</v>
      </c>
      <c r="F3" s="331" t="s">
        <v>252</v>
      </c>
      <c r="G3" s="331" t="s">
        <v>253</v>
      </c>
      <c r="H3" s="331" t="s">
        <v>254</v>
      </c>
      <c r="I3" s="331" t="s">
        <v>255</v>
      </c>
      <c r="K3" s="332"/>
      <c r="L3" s="333" t="s">
        <v>249</v>
      </c>
      <c r="M3" s="334" t="s">
        <v>250</v>
      </c>
      <c r="N3" s="334" t="s">
        <v>251</v>
      </c>
      <c r="O3" s="334" t="s">
        <v>252</v>
      </c>
      <c r="P3" s="334" t="s">
        <v>253</v>
      </c>
      <c r="Q3" s="334" t="s">
        <v>254</v>
      </c>
      <c r="R3" s="334" t="s">
        <v>256</v>
      </c>
      <c r="S3" s="244"/>
    </row>
    <row r="4" spans="1:19" ht="13.15">
      <c r="B4" s="209" t="s">
        <v>82</v>
      </c>
      <c r="C4" s="210" t="s">
        <v>257</v>
      </c>
      <c r="D4" s="233">
        <f>14.634</f>
        <v>14.634</v>
      </c>
      <c r="E4" s="233">
        <v>0</v>
      </c>
      <c r="F4" s="233">
        <f>14.634</f>
        <v>14.634</v>
      </c>
      <c r="G4" s="233">
        <f>920</f>
        <v>920</v>
      </c>
      <c r="H4" s="233">
        <v>0</v>
      </c>
      <c r="I4" s="233">
        <v>920</v>
      </c>
      <c r="J4" t="s">
        <v>258</v>
      </c>
      <c r="K4" s="240" t="s">
        <v>82</v>
      </c>
      <c r="L4" s="241" t="s">
        <v>257</v>
      </c>
      <c r="M4" s="240">
        <v>13.778</v>
      </c>
      <c r="N4" s="240">
        <v>0</v>
      </c>
      <c r="O4" s="240">
        <v>13.778</v>
      </c>
      <c r="P4" s="240">
        <v>920</v>
      </c>
      <c r="Q4" s="240">
        <v>0</v>
      </c>
      <c r="R4" s="240">
        <v>920</v>
      </c>
    </row>
    <row r="5" spans="1:19" ht="13.15">
      <c r="B5" s="209" t="s">
        <v>82</v>
      </c>
      <c r="C5" s="210" t="s">
        <v>259</v>
      </c>
      <c r="D5" s="233">
        <v>0</v>
      </c>
      <c r="E5" s="233">
        <v>0</v>
      </c>
      <c r="F5" s="233">
        <v>0</v>
      </c>
      <c r="G5" s="233">
        <v>0</v>
      </c>
      <c r="H5" s="233">
        <v>0</v>
      </c>
      <c r="I5" s="233">
        <v>0</v>
      </c>
      <c r="K5" s="240" t="s">
        <v>82</v>
      </c>
      <c r="L5" s="241" t="s">
        <v>259</v>
      </c>
      <c r="M5" s="240">
        <v>0</v>
      </c>
      <c r="N5" s="240">
        <v>0</v>
      </c>
      <c r="O5" s="240">
        <v>0</v>
      </c>
      <c r="P5" s="240">
        <v>0</v>
      </c>
      <c r="Q5" s="240">
        <v>0</v>
      </c>
      <c r="R5" s="240">
        <v>0</v>
      </c>
    </row>
    <row r="6" spans="1:19" ht="13.15">
      <c r="B6" s="209" t="s">
        <v>82</v>
      </c>
      <c r="C6" s="210" t="s">
        <v>260</v>
      </c>
      <c r="D6" s="233">
        <v>0</v>
      </c>
      <c r="E6" s="233">
        <v>0</v>
      </c>
      <c r="F6" s="233">
        <v>0</v>
      </c>
      <c r="G6" s="233">
        <v>0</v>
      </c>
      <c r="H6" s="233">
        <v>0</v>
      </c>
      <c r="I6" s="233">
        <v>0</v>
      </c>
      <c r="K6" s="240" t="s">
        <v>82</v>
      </c>
      <c r="L6" s="241" t="s">
        <v>260</v>
      </c>
      <c r="M6" s="240">
        <v>0</v>
      </c>
      <c r="N6" s="240">
        <v>0</v>
      </c>
      <c r="O6" s="240">
        <v>0</v>
      </c>
      <c r="P6" s="240">
        <v>0</v>
      </c>
      <c r="Q6" s="240">
        <v>0</v>
      </c>
      <c r="R6" s="240">
        <v>0</v>
      </c>
    </row>
    <row r="7" spans="1:19" ht="14.1" customHeight="1">
      <c r="B7" s="209" t="s">
        <v>82</v>
      </c>
      <c r="C7" s="210" t="s">
        <v>261</v>
      </c>
      <c r="D7" s="233">
        <f>33.096</f>
        <v>33.095999999999997</v>
      </c>
      <c r="E7" s="233">
        <f>0.296</f>
        <v>0.29599999999999999</v>
      </c>
      <c r="F7" s="233">
        <f>33.392</f>
        <v>33.392000000000003</v>
      </c>
      <c r="G7" s="233">
        <f>998</f>
        <v>998</v>
      </c>
      <c r="H7" s="233">
        <f>ROUNDUP(499,0)</f>
        <v>499</v>
      </c>
      <c r="I7" s="233">
        <v>499</v>
      </c>
      <c r="K7" s="240" t="s">
        <v>82</v>
      </c>
      <c r="L7" s="241" t="s">
        <v>261</v>
      </c>
      <c r="M7" s="240">
        <v>30.082000000000001</v>
      </c>
      <c r="N7" s="240">
        <v>0.29499999999999998</v>
      </c>
      <c r="O7" s="240">
        <v>30.376999999999999</v>
      </c>
      <c r="P7" s="240">
        <v>998</v>
      </c>
      <c r="Q7" s="240">
        <v>499</v>
      </c>
      <c r="R7" s="240">
        <v>499</v>
      </c>
    </row>
    <row r="8" spans="1:19" ht="15.6" customHeight="1">
      <c r="B8" s="209" t="s">
        <v>82</v>
      </c>
      <c r="C8" s="210" t="s">
        <v>262</v>
      </c>
      <c r="D8" s="233">
        <v>0</v>
      </c>
      <c r="E8" s="233">
        <v>0</v>
      </c>
      <c r="F8" s="233">
        <v>0</v>
      </c>
      <c r="G8" s="233">
        <v>0</v>
      </c>
      <c r="H8" s="233">
        <v>0</v>
      </c>
      <c r="I8" s="233">
        <v>0</v>
      </c>
      <c r="K8" s="240" t="s">
        <v>82</v>
      </c>
      <c r="L8" s="241" t="s">
        <v>262</v>
      </c>
      <c r="M8" s="240">
        <v>0</v>
      </c>
      <c r="N8" s="240">
        <v>0</v>
      </c>
      <c r="O8" s="240">
        <v>0</v>
      </c>
      <c r="P8" s="240">
        <v>0</v>
      </c>
      <c r="Q8" s="240">
        <v>0</v>
      </c>
      <c r="R8" s="240">
        <v>0</v>
      </c>
    </row>
    <row r="9" spans="1:19" ht="14.1" customHeight="1">
      <c r="B9" s="209" t="s">
        <v>82</v>
      </c>
      <c r="C9" s="210" t="s">
        <v>263</v>
      </c>
      <c r="D9" s="231"/>
      <c r="E9" s="231"/>
      <c r="F9" s="232"/>
      <c r="G9" s="232"/>
      <c r="H9" s="232"/>
      <c r="I9" s="231"/>
      <c r="K9" s="240" t="s">
        <v>82</v>
      </c>
      <c r="L9" s="241" t="s">
        <v>263</v>
      </c>
      <c r="M9" s="240"/>
      <c r="N9" s="240"/>
      <c r="O9" s="242"/>
      <c r="P9" s="242"/>
      <c r="Q9" s="242"/>
      <c r="R9" s="240"/>
    </row>
    <row r="10" spans="1:19" ht="14.1" customHeight="1">
      <c r="B10" s="209" t="s">
        <v>106</v>
      </c>
      <c r="C10" s="210" t="s">
        <v>257</v>
      </c>
      <c r="D10" s="233">
        <v>18.135999999999999</v>
      </c>
      <c r="E10" s="233">
        <v>2.4260000000000002</v>
      </c>
      <c r="F10" s="233">
        <v>20.562000000000001</v>
      </c>
      <c r="G10" s="233">
        <v>806</v>
      </c>
      <c r="H10" s="233">
        <v>0</v>
      </c>
      <c r="I10" s="233">
        <v>806</v>
      </c>
      <c r="J10" t="s">
        <v>264</v>
      </c>
      <c r="K10" s="240" t="s">
        <v>106</v>
      </c>
      <c r="L10" s="241" t="s">
        <v>257</v>
      </c>
      <c r="M10" s="240">
        <v>18.135999999999999</v>
      </c>
      <c r="N10" s="240">
        <v>2.4260000000000002</v>
      </c>
      <c r="O10" s="240">
        <v>20.562000000000001</v>
      </c>
      <c r="P10" s="240">
        <v>806</v>
      </c>
      <c r="Q10" s="240">
        <v>0</v>
      </c>
      <c r="R10" s="240">
        <v>806</v>
      </c>
    </row>
    <row r="11" spans="1:19" ht="13.35" customHeight="1">
      <c r="B11" s="209" t="s">
        <v>106</v>
      </c>
      <c r="C11" s="210" t="s">
        <v>259</v>
      </c>
      <c r="D11" s="233">
        <v>0</v>
      </c>
      <c r="E11" s="233">
        <v>0</v>
      </c>
      <c r="F11" s="233">
        <v>0</v>
      </c>
      <c r="G11" s="233">
        <v>0</v>
      </c>
      <c r="H11" s="233">
        <v>0</v>
      </c>
      <c r="I11" s="233">
        <v>0</v>
      </c>
      <c r="K11" s="240" t="s">
        <v>106</v>
      </c>
      <c r="L11" s="241" t="s">
        <v>259</v>
      </c>
      <c r="M11" s="240">
        <v>0</v>
      </c>
      <c r="N11" s="240">
        <v>0</v>
      </c>
      <c r="O11" s="240">
        <v>0</v>
      </c>
      <c r="P11" s="240">
        <v>0</v>
      </c>
      <c r="Q11" s="240">
        <v>0</v>
      </c>
      <c r="R11" s="240">
        <v>0</v>
      </c>
    </row>
    <row r="12" spans="1:19" ht="14.85" customHeight="1">
      <c r="B12" s="209" t="s">
        <v>106</v>
      </c>
      <c r="C12" s="210" t="s">
        <v>260</v>
      </c>
      <c r="D12" s="233">
        <v>0.06</v>
      </c>
      <c r="E12" s="233">
        <v>7.0000000000000001E-3</v>
      </c>
      <c r="F12" s="233">
        <v>6.7000000000000004E-2</v>
      </c>
      <c r="G12" s="233">
        <v>1</v>
      </c>
      <c r="H12" s="233">
        <v>0</v>
      </c>
      <c r="I12" s="233">
        <v>1</v>
      </c>
      <c r="K12" s="240" t="s">
        <v>106</v>
      </c>
      <c r="L12" s="241" t="s">
        <v>260</v>
      </c>
      <c r="M12" s="240">
        <v>0.06</v>
      </c>
      <c r="N12" s="240">
        <v>7.0000000000000001E-3</v>
      </c>
      <c r="O12" s="240">
        <v>6.7000000000000004E-2</v>
      </c>
      <c r="P12" s="240">
        <v>1</v>
      </c>
      <c r="Q12" s="240">
        <v>0</v>
      </c>
      <c r="R12" s="240">
        <v>1</v>
      </c>
    </row>
    <row r="13" spans="1:19" ht="14.85" customHeight="1">
      <c r="B13" s="209" t="s">
        <v>106</v>
      </c>
      <c r="C13" s="210" t="s">
        <v>261</v>
      </c>
      <c r="D13" s="233">
        <v>0.51100000000000001</v>
      </c>
      <c r="E13" s="233">
        <v>5.0999999999999997E-2</v>
      </c>
      <c r="F13" s="233">
        <v>0.56200000000000006</v>
      </c>
      <c r="G13" s="233">
        <v>6</v>
      </c>
      <c r="H13" s="233">
        <v>0</v>
      </c>
      <c r="I13" s="233">
        <v>6</v>
      </c>
      <c r="K13" s="240" t="s">
        <v>106</v>
      </c>
      <c r="L13" s="241" t="s">
        <v>261</v>
      </c>
      <c r="M13" s="240">
        <v>0.51100000000000001</v>
      </c>
      <c r="N13" s="240">
        <v>5.0999999999999997E-2</v>
      </c>
      <c r="O13" s="240">
        <v>0.56200000000000006</v>
      </c>
      <c r="P13" s="240">
        <v>6</v>
      </c>
      <c r="Q13" s="240">
        <v>0</v>
      </c>
      <c r="R13" s="240">
        <v>6</v>
      </c>
    </row>
    <row r="14" spans="1:19" ht="14.85" customHeight="1">
      <c r="B14" s="209" t="s">
        <v>106</v>
      </c>
      <c r="C14" s="210" t="s">
        <v>262</v>
      </c>
      <c r="D14" s="233">
        <v>0</v>
      </c>
      <c r="E14" s="233">
        <v>0</v>
      </c>
      <c r="F14" s="233">
        <v>0</v>
      </c>
      <c r="G14" s="233">
        <v>0</v>
      </c>
      <c r="H14" s="233">
        <v>0</v>
      </c>
      <c r="I14" s="233">
        <v>0</v>
      </c>
      <c r="K14" s="240" t="s">
        <v>106</v>
      </c>
      <c r="L14" s="241" t="s">
        <v>262</v>
      </c>
      <c r="M14" s="240">
        <v>0</v>
      </c>
      <c r="N14" s="240">
        <v>0</v>
      </c>
      <c r="O14" s="240">
        <v>0</v>
      </c>
      <c r="P14" s="240">
        <v>0</v>
      </c>
      <c r="Q14" s="240">
        <v>0</v>
      </c>
      <c r="R14" s="240">
        <v>0</v>
      </c>
    </row>
    <row r="15" spans="1:19" ht="14.85" customHeight="1">
      <c r="B15" s="209" t="s">
        <v>106</v>
      </c>
      <c r="C15" s="210" t="s">
        <v>263</v>
      </c>
      <c r="D15" s="233">
        <v>18.707000000000001</v>
      </c>
      <c r="E15" s="233">
        <v>2.484</v>
      </c>
      <c r="F15" s="233">
        <v>21.190999999999999</v>
      </c>
      <c r="G15" s="233">
        <v>813</v>
      </c>
      <c r="H15" s="233">
        <v>0</v>
      </c>
      <c r="I15" s="233">
        <v>813</v>
      </c>
      <c r="K15" s="240" t="s">
        <v>106</v>
      </c>
      <c r="L15" s="241" t="s">
        <v>263</v>
      </c>
      <c r="M15" s="240">
        <v>18.707000000000001</v>
      </c>
      <c r="N15" s="240">
        <v>2.484</v>
      </c>
      <c r="O15" s="240">
        <v>21.190999999999999</v>
      </c>
      <c r="P15" s="240">
        <v>813</v>
      </c>
      <c r="Q15" s="240">
        <v>0</v>
      </c>
      <c r="R15" s="240">
        <v>813</v>
      </c>
    </row>
    <row r="16" spans="1:19" ht="14.85" customHeight="1">
      <c r="B16" s="209" t="s">
        <v>107</v>
      </c>
      <c r="C16" s="210" t="s">
        <v>257</v>
      </c>
      <c r="D16" s="233">
        <v>4.2000000000000003E-2</v>
      </c>
      <c r="E16" s="233">
        <v>6.0000000000000001E-3</v>
      </c>
      <c r="F16" s="233">
        <v>4.8000000000000001E-2</v>
      </c>
      <c r="G16" s="233">
        <v>6</v>
      </c>
      <c r="H16" s="233">
        <v>0</v>
      </c>
      <c r="I16" s="233">
        <v>6</v>
      </c>
      <c r="J16" t="s">
        <v>264</v>
      </c>
      <c r="K16" s="240" t="s">
        <v>107</v>
      </c>
      <c r="L16" s="241" t="s">
        <v>257</v>
      </c>
      <c r="M16" s="240">
        <v>4.2000000000000003E-2</v>
      </c>
      <c r="N16" s="240">
        <v>6.0000000000000001E-3</v>
      </c>
      <c r="O16" s="240">
        <v>4.8000000000000001E-2</v>
      </c>
      <c r="P16" s="240">
        <v>6</v>
      </c>
      <c r="Q16" s="240">
        <v>0</v>
      </c>
      <c r="R16" s="240">
        <v>6</v>
      </c>
    </row>
    <row r="17" spans="2:18" ht="11.85" customHeight="1">
      <c r="B17" s="209" t="s">
        <v>107</v>
      </c>
      <c r="C17" s="210" t="s">
        <v>259</v>
      </c>
      <c r="D17" s="233">
        <v>0</v>
      </c>
      <c r="E17" s="233">
        <v>0</v>
      </c>
      <c r="F17" s="233">
        <v>0</v>
      </c>
      <c r="G17" s="233">
        <v>0</v>
      </c>
      <c r="H17" s="233">
        <v>0</v>
      </c>
      <c r="I17" s="233">
        <v>0</v>
      </c>
      <c r="K17" s="240" t="s">
        <v>107</v>
      </c>
      <c r="L17" s="241" t="s">
        <v>259</v>
      </c>
      <c r="M17" s="240">
        <v>0</v>
      </c>
      <c r="N17" s="240">
        <v>0</v>
      </c>
      <c r="O17" s="240">
        <v>0</v>
      </c>
      <c r="P17" s="240">
        <v>0</v>
      </c>
      <c r="Q17" s="240">
        <v>0</v>
      </c>
      <c r="R17" s="240">
        <v>0</v>
      </c>
    </row>
    <row r="18" spans="2:18" ht="13.15">
      <c r="B18" s="209" t="s">
        <v>107</v>
      </c>
      <c r="C18" s="210" t="s">
        <v>260</v>
      </c>
      <c r="D18" s="233">
        <v>0</v>
      </c>
      <c r="E18" s="233">
        <v>0</v>
      </c>
      <c r="F18" s="233">
        <v>0</v>
      </c>
      <c r="G18" s="233">
        <v>0</v>
      </c>
      <c r="H18" s="233">
        <v>0</v>
      </c>
      <c r="I18" s="233">
        <v>0</v>
      </c>
      <c r="K18" s="240" t="s">
        <v>107</v>
      </c>
      <c r="L18" s="241" t="s">
        <v>260</v>
      </c>
      <c r="M18" s="240">
        <v>0</v>
      </c>
      <c r="N18" s="240">
        <v>0</v>
      </c>
      <c r="O18" s="240">
        <v>0</v>
      </c>
      <c r="P18" s="240">
        <v>0</v>
      </c>
      <c r="Q18" s="240">
        <v>0</v>
      </c>
      <c r="R18" s="240">
        <v>0</v>
      </c>
    </row>
    <row r="19" spans="2:18" ht="13.15">
      <c r="B19" s="209" t="s">
        <v>107</v>
      </c>
      <c r="C19" s="210" t="s">
        <v>261</v>
      </c>
      <c r="D19" s="233">
        <v>0.505</v>
      </c>
      <c r="E19" s="233">
        <v>1.2999999999999999E-2</v>
      </c>
      <c r="F19" s="233">
        <v>0.51900000000000002</v>
      </c>
      <c r="G19" s="233">
        <v>3</v>
      </c>
      <c r="H19" s="233">
        <v>7</v>
      </c>
      <c r="I19" s="233">
        <v>7</v>
      </c>
      <c r="K19" s="240" t="s">
        <v>107</v>
      </c>
      <c r="L19" s="241" t="s">
        <v>261</v>
      </c>
      <c r="M19" s="240">
        <v>0.505</v>
      </c>
      <c r="N19" s="240">
        <v>1.2999999999999999E-2</v>
      </c>
      <c r="O19" s="240">
        <v>0.51900000000000002</v>
      </c>
      <c r="P19" s="240">
        <v>3</v>
      </c>
      <c r="Q19" s="240">
        <v>7</v>
      </c>
      <c r="R19" s="240">
        <v>7</v>
      </c>
    </row>
    <row r="20" spans="2:18" ht="13.15">
      <c r="B20" s="209" t="s">
        <v>107</v>
      </c>
      <c r="C20" s="210" t="s">
        <v>262</v>
      </c>
      <c r="D20" s="233">
        <v>0</v>
      </c>
      <c r="E20" s="233">
        <v>0</v>
      </c>
      <c r="F20" s="233">
        <v>0</v>
      </c>
      <c r="G20" s="233">
        <v>0</v>
      </c>
      <c r="H20" s="233">
        <v>0</v>
      </c>
      <c r="I20" s="233">
        <v>0</v>
      </c>
      <c r="K20" s="240" t="s">
        <v>107</v>
      </c>
      <c r="L20" s="241" t="s">
        <v>262</v>
      </c>
      <c r="M20" s="240">
        <v>0</v>
      </c>
      <c r="N20" s="240">
        <v>0</v>
      </c>
      <c r="O20" s="240">
        <v>0</v>
      </c>
      <c r="P20" s="240">
        <v>0</v>
      </c>
      <c r="Q20" s="240">
        <v>0</v>
      </c>
      <c r="R20" s="240">
        <v>0</v>
      </c>
    </row>
    <row r="21" spans="2:18" ht="13.15">
      <c r="B21" s="209" t="s">
        <v>107</v>
      </c>
      <c r="C21" s="210" t="s">
        <v>263</v>
      </c>
      <c r="D21" s="231"/>
      <c r="E21" s="231"/>
      <c r="F21" s="231"/>
      <c r="G21" s="231"/>
      <c r="H21" s="231"/>
      <c r="I21" s="231"/>
      <c r="K21" s="240" t="s">
        <v>107</v>
      </c>
      <c r="L21" s="241" t="s">
        <v>263</v>
      </c>
      <c r="M21" s="240"/>
      <c r="N21" s="240"/>
      <c r="O21" s="240"/>
      <c r="P21" s="240"/>
      <c r="Q21" s="240"/>
      <c r="R21" s="240"/>
    </row>
    <row r="22" spans="2:18" ht="13.15">
      <c r="B22" s="209" t="s">
        <v>108</v>
      </c>
      <c r="C22" s="210" t="s">
        <v>257</v>
      </c>
      <c r="D22" s="233">
        <v>0</v>
      </c>
      <c r="E22" s="233">
        <v>0</v>
      </c>
      <c r="F22" s="233">
        <v>0</v>
      </c>
      <c r="G22" s="233">
        <v>0</v>
      </c>
      <c r="H22" s="233">
        <v>0</v>
      </c>
      <c r="I22" s="233">
        <v>0</v>
      </c>
      <c r="J22" t="s">
        <v>265</v>
      </c>
      <c r="K22" s="240" t="s">
        <v>108</v>
      </c>
      <c r="L22" s="241" t="s">
        <v>257</v>
      </c>
      <c r="M22" s="240">
        <v>0</v>
      </c>
      <c r="N22" s="240">
        <v>0</v>
      </c>
      <c r="O22" s="240">
        <v>0</v>
      </c>
      <c r="P22" s="240">
        <v>0</v>
      </c>
      <c r="Q22" s="240">
        <v>0</v>
      </c>
      <c r="R22" s="240">
        <v>0</v>
      </c>
    </row>
    <row r="23" spans="2:18" ht="13.15">
      <c r="B23" s="209" t="s">
        <v>108</v>
      </c>
      <c r="C23" s="210" t="s">
        <v>259</v>
      </c>
      <c r="D23" s="233">
        <v>11.295999999999999</v>
      </c>
      <c r="E23" s="233">
        <v>1.4990000000000001</v>
      </c>
      <c r="F23" s="233">
        <v>12.795</v>
      </c>
      <c r="G23" s="233">
        <v>158</v>
      </c>
      <c r="H23" s="233">
        <v>0</v>
      </c>
      <c r="I23" s="233">
        <v>158</v>
      </c>
      <c r="K23" s="240" t="s">
        <v>108</v>
      </c>
      <c r="L23" s="241" t="s">
        <v>259</v>
      </c>
      <c r="M23" s="240">
        <v>47.252000000000002</v>
      </c>
      <c r="N23" s="240">
        <v>3.3</v>
      </c>
      <c r="O23" s="240">
        <v>50.521999999999998</v>
      </c>
      <c r="P23" s="240">
        <v>316</v>
      </c>
      <c r="Q23" s="240">
        <v>0</v>
      </c>
      <c r="R23" s="240">
        <v>316</v>
      </c>
    </row>
    <row r="24" spans="2:18" ht="13.15">
      <c r="B24" s="209" t="s">
        <v>108</v>
      </c>
      <c r="C24" s="210" t="s">
        <v>260</v>
      </c>
      <c r="D24" s="233">
        <v>0</v>
      </c>
      <c r="E24" s="233">
        <v>0</v>
      </c>
      <c r="F24" s="233">
        <v>0</v>
      </c>
      <c r="G24" s="233">
        <v>0</v>
      </c>
      <c r="H24" s="233">
        <v>0</v>
      </c>
      <c r="I24" s="233">
        <v>0</v>
      </c>
      <c r="K24" s="240" t="s">
        <v>108</v>
      </c>
      <c r="L24" s="241" t="s">
        <v>260</v>
      </c>
      <c r="M24" s="240">
        <v>0</v>
      </c>
      <c r="N24" s="240">
        <v>0</v>
      </c>
      <c r="O24" s="240">
        <v>0</v>
      </c>
      <c r="P24" s="240">
        <v>0</v>
      </c>
      <c r="Q24" s="240">
        <v>0</v>
      </c>
      <c r="R24" s="240">
        <v>0</v>
      </c>
    </row>
    <row r="25" spans="2:18" ht="13.15">
      <c r="B25" s="209" t="s">
        <v>108</v>
      </c>
      <c r="C25" s="210" t="s">
        <v>261</v>
      </c>
      <c r="D25" s="233">
        <v>22.277000000000001</v>
      </c>
      <c r="E25" s="233">
        <v>4.01</v>
      </c>
      <c r="F25" s="233">
        <v>26.286999999999999</v>
      </c>
      <c r="G25" s="233">
        <v>141</v>
      </c>
      <c r="H25" s="233">
        <v>141</v>
      </c>
      <c r="I25" s="233">
        <v>141</v>
      </c>
      <c r="K25" s="240" t="s">
        <v>108</v>
      </c>
      <c r="L25" s="241" t="s">
        <v>261</v>
      </c>
      <c r="M25" s="240">
        <v>66.253</v>
      </c>
      <c r="N25" s="240">
        <v>8.5</v>
      </c>
      <c r="O25" s="240">
        <v>74.753</v>
      </c>
      <c r="P25" s="240">
        <v>281</v>
      </c>
      <c r="Q25" s="240">
        <v>281</v>
      </c>
      <c r="R25" s="240">
        <v>281</v>
      </c>
    </row>
    <row r="26" spans="2:18" ht="13.15">
      <c r="B26" s="209" t="s">
        <v>108</v>
      </c>
      <c r="C26" s="210" t="s">
        <v>262</v>
      </c>
      <c r="D26" s="233">
        <v>0</v>
      </c>
      <c r="E26" s="233">
        <v>0</v>
      </c>
      <c r="F26" s="233">
        <v>0</v>
      </c>
      <c r="G26" s="233">
        <v>0</v>
      </c>
      <c r="H26" s="233">
        <v>0</v>
      </c>
      <c r="I26" s="233">
        <v>0</v>
      </c>
      <c r="K26" s="240" t="s">
        <v>108</v>
      </c>
      <c r="L26" s="241" t="s">
        <v>262</v>
      </c>
      <c r="M26" s="240">
        <v>0</v>
      </c>
      <c r="N26" s="240">
        <v>0</v>
      </c>
      <c r="O26" s="240">
        <v>0</v>
      </c>
      <c r="P26" s="240">
        <v>0</v>
      </c>
      <c r="Q26" s="240">
        <v>0</v>
      </c>
      <c r="R26" s="240">
        <v>0</v>
      </c>
    </row>
    <row r="27" spans="2:18" ht="13.15">
      <c r="B27" s="209" t="s">
        <v>108</v>
      </c>
      <c r="C27" s="210" t="s">
        <v>263</v>
      </c>
      <c r="D27" s="233"/>
      <c r="E27" s="233"/>
      <c r="F27" s="233"/>
      <c r="G27" s="233"/>
      <c r="H27" s="233"/>
      <c r="I27" s="233"/>
      <c r="K27" s="240" t="s">
        <v>108</v>
      </c>
      <c r="L27" s="241" t="s">
        <v>263</v>
      </c>
      <c r="M27" s="240">
        <v>113.505</v>
      </c>
      <c r="N27" s="240">
        <v>11.8</v>
      </c>
      <c r="O27" s="240">
        <v>125.30500000000001</v>
      </c>
      <c r="P27" s="240">
        <v>597</v>
      </c>
      <c r="Q27" s="240">
        <v>281</v>
      </c>
      <c r="R27" s="240">
        <v>597</v>
      </c>
    </row>
    <row r="28" spans="2:18" ht="13.15">
      <c r="B28" s="209" t="s">
        <v>109</v>
      </c>
      <c r="C28" s="210" t="s">
        <v>257</v>
      </c>
      <c r="D28" s="233">
        <v>4.0919999999999996</v>
      </c>
      <c r="E28" s="233">
        <v>0.30299999999999999</v>
      </c>
      <c r="F28" s="233">
        <v>4.3949999999999996</v>
      </c>
      <c r="G28" s="233">
        <v>378</v>
      </c>
      <c r="H28" s="233">
        <v>0</v>
      </c>
      <c r="I28" s="233">
        <v>378</v>
      </c>
      <c r="J28" t="s">
        <v>266</v>
      </c>
      <c r="K28" s="240" t="s">
        <v>109</v>
      </c>
      <c r="L28" s="241" t="s">
        <v>257</v>
      </c>
      <c r="M28" s="240">
        <v>1.7729999999999999</v>
      </c>
      <c r="N28" s="240">
        <v>0.16700000000000001</v>
      </c>
      <c r="O28" s="240">
        <v>1.94</v>
      </c>
      <c r="P28" s="240">
        <v>180</v>
      </c>
      <c r="Q28" s="240">
        <v>0</v>
      </c>
      <c r="R28" s="240">
        <v>180</v>
      </c>
    </row>
    <row r="29" spans="2:18" ht="13.15">
      <c r="B29" s="209" t="s">
        <v>109</v>
      </c>
      <c r="C29" s="210" t="s">
        <v>259</v>
      </c>
      <c r="D29" s="233">
        <v>0.78800000000000003</v>
      </c>
      <c r="E29" s="233">
        <v>0.01</v>
      </c>
      <c r="F29" s="233">
        <v>0.79800000000000004</v>
      </c>
      <c r="G29" s="233">
        <v>13</v>
      </c>
      <c r="H29" s="233">
        <v>0</v>
      </c>
      <c r="I29" s="233">
        <v>13</v>
      </c>
      <c r="K29" s="240" t="s">
        <v>109</v>
      </c>
      <c r="L29" s="241" t="s">
        <v>259</v>
      </c>
      <c r="M29" s="240">
        <v>0.32900000000000001</v>
      </c>
      <c r="N29" s="240">
        <v>0.01</v>
      </c>
      <c r="O29" s="240">
        <v>0.33900000000000002</v>
      </c>
      <c r="P29" s="240">
        <v>12</v>
      </c>
      <c r="Q29" s="240">
        <v>0</v>
      </c>
      <c r="R29" s="240">
        <v>12</v>
      </c>
    </row>
    <row r="30" spans="2:18" ht="13.15">
      <c r="B30" s="209" t="s">
        <v>109</v>
      </c>
      <c r="C30" s="210" t="s">
        <v>260</v>
      </c>
      <c r="D30" s="233">
        <v>0</v>
      </c>
      <c r="E30" s="233">
        <v>0</v>
      </c>
      <c r="F30" s="233">
        <v>0</v>
      </c>
      <c r="G30" s="233">
        <v>0</v>
      </c>
      <c r="H30" s="233">
        <v>0</v>
      </c>
      <c r="I30" s="233">
        <v>0</v>
      </c>
      <c r="K30" s="240" t="s">
        <v>109</v>
      </c>
      <c r="L30" s="241" t="s">
        <v>260</v>
      </c>
      <c r="M30" s="240">
        <v>0</v>
      </c>
      <c r="N30" s="240">
        <v>0</v>
      </c>
      <c r="O30" s="240">
        <v>0</v>
      </c>
      <c r="P30" s="240">
        <v>0</v>
      </c>
      <c r="Q30" s="240">
        <v>0</v>
      </c>
      <c r="R30" s="240">
        <v>0</v>
      </c>
    </row>
    <row r="31" spans="2:18" ht="13.15">
      <c r="B31" s="209" t="s">
        <v>109</v>
      </c>
      <c r="C31" s="210" t="s">
        <v>261</v>
      </c>
      <c r="D31" s="233">
        <v>20.638999999999999</v>
      </c>
      <c r="E31" s="233">
        <v>0.42</v>
      </c>
      <c r="F31" s="233">
        <v>21.059000000000001</v>
      </c>
      <c r="G31" s="233">
        <v>0</v>
      </c>
      <c r="H31" s="233">
        <v>262</v>
      </c>
      <c r="I31" s="233">
        <v>262</v>
      </c>
      <c r="K31" s="240" t="s">
        <v>109</v>
      </c>
      <c r="L31" s="241" t="s">
        <v>261</v>
      </c>
      <c r="M31" s="240">
        <v>10.46</v>
      </c>
      <c r="N31" s="240">
        <v>0.38800000000000001</v>
      </c>
      <c r="O31" s="240">
        <v>10.848000000000001</v>
      </c>
      <c r="P31" s="240">
        <v>13</v>
      </c>
      <c r="Q31" s="240">
        <v>131</v>
      </c>
      <c r="R31" s="240">
        <v>131</v>
      </c>
    </row>
    <row r="32" spans="2:18" ht="13.15">
      <c r="B32" s="209" t="s">
        <v>109</v>
      </c>
      <c r="C32" s="210" t="s">
        <v>262</v>
      </c>
      <c r="D32" s="233">
        <v>0</v>
      </c>
      <c r="E32" s="233">
        <v>0</v>
      </c>
      <c r="F32" s="233">
        <v>0</v>
      </c>
      <c r="G32" s="233">
        <v>0</v>
      </c>
      <c r="H32" s="233">
        <v>0</v>
      </c>
      <c r="I32" s="233">
        <v>0</v>
      </c>
      <c r="K32" s="240" t="s">
        <v>109</v>
      </c>
      <c r="L32" s="241" t="s">
        <v>262</v>
      </c>
      <c r="M32" s="240">
        <v>0</v>
      </c>
      <c r="N32" s="240">
        <v>0</v>
      </c>
      <c r="O32" s="240">
        <v>0</v>
      </c>
      <c r="P32" s="240">
        <v>0</v>
      </c>
      <c r="Q32" s="240">
        <v>0</v>
      </c>
      <c r="R32" s="240">
        <v>0</v>
      </c>
    </row>
    <row r="33" spans="2:18" ht="13.15">
      <c r="B33" s="209" t="s">
        <v>109</v>
      </c>
      <c r="C33" s="210" t="s">
        <v>263</v>
      </c>
      <c r="D33" s="231"/>
      <c r="E33" s="231"/>
      <c r="F33" s="231"/>
      <c r="G33" s="231"/>
      <c r="H33" s="231"/>
      <c r="I33" s="231"/>
      <c r="K33" s="240" t="s">
        <v>109</v>
      </c>
      <c r="L33" s="241" t="s">
        <v>263</v>
      </c>
      <c r="M33" s="240"/>
      <c r="N33" s="240"/>
      <c r="O33" s="240"/>
      <c r="P33" s="240"/>
      <c r="Q33" s="240"/>
      <c r="R33" s="240"/>
    </row>
    <row r="34" spans="2:18" ht="13.15">
      <c r="B34" s="209" t="s">
        <v>110</v>
      </c>
      <c r="C34" s="210" t="s">
        <v>257</v>
      </c>
      <c r="D34" s="233">
        <v>0.20899999999999999</v>
      </c>
      <c r="E34" s="233">
        <v>0</v>
      </c>
      <c r="F34" s="233">
        <v>0.20899999999999999</v>
      </c>
      <c r="G34" s="233">
        <v>0</v>
      </c>
      <c r="H34" s="233">
        <v>0</v>
      </c>
      <c r="I34" s="233">
        <v>0</v>
      </c>
      <c r="J34" t="s">
        <v>267</v>
      </c>
      <c r="K34" s="240" t="s">
        <v>110</v>
      </c>
      <c r="L34" s="241" t="s">
        <v>257</v>
      </c>
      <c r="M34" s="240">
        <v>0.64</v>
      </c>
      <c r="N34" s="240">
        <v>0</v>
      </c>
      <c r="O34" s="240">
        <v>0.64100000000000001</v>
      </c>
      <c r="P34" s="240">
        <v>131</v>
      </c>
      <c r="Q34" s="240">
        <v>0</v>
      </c>
      <c r="R34" s="240">
        <v>131</v>
      </c>
    </row>
    <row r="35" spans="2:18" ht="13.9" customHeight="1">
      <c r="B35" s="209" t="s">
        <v>110</v>
      </c>
      <c r="C35" s="210" t="s">
        <v>259</v>
      </c>
      <c r="D35" s="233">
        <v>0.24</v>
      </c>
      <c r="E35" s="233">
        <v>0</v>
      </c>
      <c r="F35" s="233">
        <v>0.24</v>
      </c>
      <c r="G35" s="233">
        <v>8</v>
      </c>
      <c r="H35" s="233">
        <v>0</v>
      </c>
      <c r="I35" s="233">
        <v>8</v>
      </c>
      <c r="J35" s="347" t="s">
        <v>268</v>
      </c>
      <c r="K35" s="240" t="s">
        <v>110</v>
      </c>
      <c r="L35" s="241" t="s">
        <v>259</v>
      </c>
      <c r="M35" s="240">
        <v>0.23599999999999999</v>
      </c>
      <c r="N35" s="240">
        <v>0</v>
      </c>
      <c r="O35" s="240">
        <v>0.23599999999999999</v>
      </c>
      <c r="P35" s="240">
        <v>8</v>
      </c>
      <c r="Q35" s="240">
        <v>0</v>
      </c>
      <c r="R35" s="240">
        <v>8</v>
      </c>
    </row>
    <row r="36" spans="2:18" ht="13.9" customHeight="1">
      <c r="B36" s="209" t="s">
        <v>110</v>
      </c>
      <c r="C36" s="210" t="s">
        <v>260</v>
      </c>
      <c r="D36" s="233">
        <v>0.27800000000000002</v>
      </c>
      <c r="E36" s="233">
        <v>0</v>
      </c>
      <c r="F36" s="233">
        <v>0.27800000000000002</v>
      </c>
      <c r="G36" s="233">
        <v>0</v>
      </c>
      <c r="H36" s="233">
        <v>0</v>
      </c>
      <c r="I36" s="233">
        <v>0</v>
      </c>
      <c r="J36" s="347"/>
      <c r="K36" s="240" t="s">
        <v>110</v>
      </c>
      <c r="L36" s="241" t="s">
        <v>260</v>
      </c>
      <c r="M36" s="240">
        <v>0.55000000000000004</v>
      </c>
      <c r="N36" s="240">
        <v>0</v>
      </c>
      <c r="O36" s="240">
        <v>0.54800000000000004</v>
      </c>
      <c r="P36" s="240">
        <v>56</v>
      </c>
      <c r="Q36" s="240">
        <v>56</v>
      </c>
      <c r="R36" s="240">
        <v>56</v>
      </c>
    </row>
    <row r="37" spans="2:18" ht="13.9" customHeight="1">
      <c r="B37" s="209" t="s">
        <v>110</v>
      </c>
      <c r="C37" s="210" t="s">
        <v>261</v>
      </c>
      <c r="D37" s="233">
        <v>9.2780000000000005</v>
      </c>
      <c r="E37" s="233">
        <v>0</v>
      </c>
      <c r="F37" s="233">
        <v>9.2780000000000005</v>
      </c>
      <c r="G37" s="233">
        <v>185</v>
      </c>
      <c r="H37" s="233">
        <v>185</v>
      </c>
      <c r="I37" s="233">
        <v>185</v>
      </c>
      <c r="J37" s="347"/>
      <c r="K37" s="240" t="s">
        <v>110</v>
      </c>
      <c r="L37" s="241" t="s">
        <v>261</v>
      </c>
      <c r="M37" s="240">
        <v>3.5419999999999998</v>
      </c>
      <c r="N37" s="240">
        <v>0</v>
      </c>
      <c r="O37" s="240">
        <v>3.544</v>
      </c>
      <c r="P37" s="240">
        <v>71</v>
      </c>
      <c r="Q37" s="240">
        <v>71</v>
      </c>
      <c r="R37" s="240">
        <v>71</v>
      </c>
    </row>
    <row r="38" spans="2:18" ht="13.15">
      <c r="B38" s="209" t="s">
        <v>110</v>
      </c>
      <c r="C38" s="210" t="s">
        <v>262</v>
      </c>
      <c r="D38" s="233">
        <v>0.19500000000000001</v>
      </c>
      <c r="E38" s="233">
        <v>0</v>
      </c>
      <c r="F38" s="233">
        <v>0.19500000000000001</v>
      </c>
      <c r="G38" s="233">
        <v>0</v>
      </c>
      <c r="H38" s="233">
        <v>0</v>
      </c>
      <c r="I38" s="233">
        <v>0</v>
      </c>
      <c r="J38" s="347"/>
      <c r="K38" s="240" t="s">
        <v>110</v>
      </c>
      <c r="L38" s="241" t="s">
        <v>262</v>
      </c>
      <c r="M38" s="240">
        <v>0.16800000000000001</v>
      </c>
      <c r="N38" s="240">
        <v>0</v>
      </c>
      <c r="O38" s="240">
        <v>0.16800000000000001</v>
      </c>
      <c r="P38" s="240">
        <v>49</v>
      </c>
      <c r="Q38" s="240">
        <v>49</v>
      </c>
      <c r="R38" s="240">
        <v>49</v>
      </c>
    </row>
    <row r="39" spans="2:18" ht="13.15">
      <c r="B39" s="209" t="s">
        <v>110</v>
      </c>
      <c r="C39" s="210" t="s">
        <v>263</v>
      </c>
      <c r="D39" s="233"/>
      <c r="E39" s="233"/>
      <c r="F39" s="233"/>
      <c r="G39" s="233"/>
      <c r="H39" s="233"/>
      <c r="I39" s="233"/>
      <c r="K39" s="240" t="s">
        <v>110</v>
      </c>
      <c r="L39" s="241" t="s">
        <v>263</v>
      </c>
      <c r="M39" s="240"/>
      <c r="N39" s="240"/>
      <c r="O39" s="240"/>
      <c r="P39" s="240"/>
      <c r="Q39" s="240"/>
      <c r="R39" s="240"/>
    </row>
    <row r="40" spans="2:18" ht="13.15">
      <c r="B40" s="209" t="s">
        <v>111</v>
      </c>
      <c r="C40" s="210" t="s">
        <v>257</v>
      </c>
      <c r="D40" s="233">
        <v>0.67400000000000004</v>
      </c>
      <c r="E40" s="233">
        <v>3.0000000000000001E-3</v>
      </c>
      <c r="F40" s="233">
        <v>0.67700000000000005</v>
      </c>
      <c r="G40" s="233">
        <v>45</v>
      </c>
      <c r="H40" s="233">
        <v>0</v>
      </c>
      <c r="I40" s="233">
        <v>45</v>
      </c>
      <c r="J40" t="s">
        <v>269</v>
      </c>
      <c r="K40" s="240" t="s">
        <v>111</v>
      </c>
      <c r="L40" s="241" t="s">
        <v>257</v>
      </c>
      <c r="M40" s="240">
        <v>0.56571099999999996</v>
      </c>
      <c r="N40" s="240">
        <v>2.1129999999999999E-3</v>
      </c>
      <c r="O40" s="240">
        <v>0.567824</v>
      </c>
      <c r="P40" s="240">
        <v>23</v>
      </c>
      <c r="Q40" s="240">
        <v>0</v>
      </c>
      <c r="R40" s="240">
        <v>23</v>
      </c>
    </row>
    <row r="41" spans="2:18" ht="13.15">
      <c r="B41" s="209" t="s">
        <v>111</v>
      </c>
      <c r="C41" s="210" t="s">
        <v>259</v>
      </c>
      <c r="D41" s="233">
        <v>0.67500000000000004</v>
      </c>
      <c r="E41" s="233">
        <v>3.0000000000000001E-3</v>
      </c>
      <c r="F41" s="233">
        <v>0.67800000000000005</v>
      </c>
      <c r="G41" s="233">
        <v>15</v>
      </c>
      <c r="H41" s="233">
        <v>0</v>
      </c>
      <c r="I41" s="233">
        <v>15</v>
      </c>
      <c r="K41" s="240" t="s">
        <v>111</v>
      </c>
      <c r="L41" s="241" t="s">
        <v>259</v>
      </c>
      <c r="M41" s="240">
        <v>0.32601999999999998</v>
      </c>
      <c r="N41" s="240">
        <v>1.4090000000000001E-3</v>
      </c>
      <c r="O41" s="240">
        <v>0.327428</v>
      </c>
      <c r="P41" s="240">
        <v>7</v>
      </c>
      <c r="Q41" s="240">
        <v>0</v>
      </c>
      <c r="R41" s="240">
        <v>7</v>
      </c>
    </row>
    <row r="42" spans="2:18" ht="13.15">
      <c r="B42" s="209" t="s">
        <v>111</v>
      </c>
      <c r="C42" s="210" t="s">
        <v>260</v>
      </c>
      <c r="D42" s="233">
        <v>0</v>
      </c>
      <c r="E42" s="233">
        <v>0</v>
      </c>
      <c r="F42" s="233">
        <v>0</v>
      </c>
      <c r="G42" s="233">
        <v>0</v>
      </c>
      <c r="H42" s="233">
        <v>0</v>
      </c>
      <c r="I42" s="233">
        <v>0</v>
      </c>
      <c r="K42" s="240" t="s">
        <v>111</v>
      </c>
      <c r="L42" s="241" t="s">
        <v>260</v>
      </c>
      <c r="M42" s="240">
        <v>0</v>
      </c>
      <c r="N42" s="240">
        <v>0</v>
      </c>
      <c r="O42" s="240">
        <v>0</v>
      </c>
      <c r="P42" s="240">
        <v>0</v>
      </c>
      <c r="Q42" s="240">
        <v>0</v>
      </c>
      <c r="R42" s="240">
        <v>0</v>
      </c>
    </row>
    <row r="43" spans="2:18" ht="13.15">
      <c r="B43" s="209" t="s">
        <v>111</v>
      </c>
      <c r="C43" s="210" t="s">
        <v>261</v>
      </c>
      <c r="D43" s="233">
        <v>91.384</v>
      </c>
      <c r="E43" s="233">
        <v>0.108</v>
      </c>
      <c r="F43" s="233">
        <v>91.492000000000004</v>
      </c>
      <c r="G43" s="233">
        <v>191</v>
      </c>
      <c r="H43" s="233">
        <v>191</v>
      </c>
      <c r="I43" s="233">
        <v>191</v>
      </c>
      <c r="J43" t="s">
        <v>270</v>
      </c>
      <c r="K43" s="240" t="s">
        <v>111</v>
      </c>
      <c r="L43" s="241" t="s">
        <v>261</v>
      </c>
      <c r="M43" s="240">
        <v>37.967460000000003</v>
      </c>
      <c r="N43" s="240">
        <v>3.8181E-2</v>
      </c>
      <c r="O43" s="240">
        <v>38.005640999999997</v>
      </c>
      <c r="P43" s="240">
        <v>98</v>
      </c>
      <c r="Q43" s="240">
        <v>98</v>
      </c>
      <c r="R43" s="240">
        <v>98</v>
      </c>
    </row>
    <row r="44" spans="2:18" ht="13.15">
      <c r="B44" s="209" t="s">
        <v>111</v>
      </c>
      <c r="C44" s="210" t="s">
        <v>262</v>
      </c>
      <c r="D44" s="233">
        <v>0</v>
      </c>
      <c r="E44" s="233">
        <v>0</v>
      </c>
      <c r="F44" s="233">
        <v>0</v>
      </c>
      <c r="G44" s="233">
        <v>0</v>
      </c>
      <c r="H44" s="233">
        <v>0</v>
      </c>
      <c r="I44" s="233">
        <v>0</v>
      </c>
      <c r="K44" s="240" t="s">
        <v>111</v>
      </c>
      <c r="L44" s="241" t="s">
        <v>262</v>
      </c>
      <c r="M44" s="240">
        <v>0</v>
      </c>
      <c r="N44" s="240">
        <v>0</v>
      </c>
      <c r="O44" s="240">
        <v>0</v>
      </c>
      <c r="P44" s="240">
        <v>0</v>
      </c>
      <c r="Q44" s="240">
        <v>0</v>
      </c>
      <c r="R44" s="240">
        <v>0</v>
      </c>
    </row>
    <row r="45" spans="2:18" ht="13.15">
      <c r="B45" s="209" t="s">
        <v>111</v>
      </c>
      <c r="C45" s="210" t="s">
        <v>263</v>
      </c>
      <c r="D45" s="233"/>
      <c r="E45" s="233"/>
      <c r="F45" s="233"/>
      <c r="G45" s="233"/>
      <c r="H45" s="233"/>
      <c r="I45" s="233"/>
      <c r="K45" s="240" t="s">
        <v>111</v>
      </c>
      <c r="L45" s="241" t="s">
        <v>263</v>
      </c>
      <c r="M45" s="240" t="s">
        <v>271</v>
      </c>
      <c r="N45" s="240" t="s">
        <v>271</v>
      </c>
      <c r="O45" s="240" t="s">
        <v>271</v>
      </c>
      <c r="P45" s="240" t="s">
        <v>271</v>
      </c>
      <c r="Q45" s="240" t="s">
        <v>271</v>
      </c>
      <c r="R45" s="240" t="s">
        <v>271</v>
      </c>
    </row>
    <row r="46" spans="2:18" ht="13.15">
      <c r="B46" s="209" t="s">
        <v>112</v>
      </c>
      <c r="C46" s="210" t="s">
        <v>257</v>
      </c>
      <c r="D46" s="233">
        <v>4.7160000000000002</v>
      </c>
      <c r="E46" s="233">
        <v>0</v>
      </c>
      <c r="F46" s="233">
        <v>4.7160000000000002</v>
      </c>
      <c r="G46" s="233">
        <v>26</v>
      </c>
      <c r="H46" s="233">
        <v>0</v>
      </c>
      <c r="I46" s="233">
        <v>26</v>
      </c>
      <c r="J46" s="246"/>
      <c r="K46" s="233" t="s">
        <v>112</v>
      </c>
      <c r="L46" s="241" t="s">
        <v>257</v>
      </c>
      <c r="M46" s="240">
        <v>3.4390000000000001</v>
      </c>
      <c r="N46" s="240">
        <v>0</v>
      </c>
      <c r="O46" s="240">
        <v>3.4390000000000001</v>
      </c>
      <c r="P46" s="240">
        <v>18</v>
      </c>
      <c r="Q46" s="240">
        <v>0</v>
      </c>
      <c r="R46" s="240">
        <v>19</v>
      </c>
    </row>
    <row r="47" spans="2:18" ht="13.15">
      <c r="B47" s="209" t="s">
        <v>112</v>
      </c>
      <c r="C47" s="210" t="s">
        <v>259</v>
      </c>
      <c r="D47" s="233">
        <v>0</v>
      </c>
      <c r="E47" s="233">
        <v>0</v>
      </c>
      <c r="F47" s="233">
        <v>0</v>
      </c>
      <c r="G47" s="233">
        <v>0</v>
      </c>
      <c r="H47" s="233">
        <v>0</v>
      </c>
      <c r="I47" s="233">
        <v>0</v>
      </c>
      <c r="J47" s="246"/>
      <c r="K47" s="233" t="s">
        <v>112</v>
      </c>
      <c r="L47" s="241" t="s">
        <v>259</v>
      </c>
      <c r="M47" s="240">
        <v>0</v>
      </c>
      <c r="N47" s="240">
        <v>0</v>
      </c>
      <c r="O47" s="240">
        <v>0</v>
      </c>
      <c r="P47" s="240">
        <v>0</v>
      </c>
      <c r="Q47" s="240">
        <v>0</v>
      </c>
      <c r="R47" s="240">
        <v>0</v>
      </c>
    </row>
    <row r="48" spans="2:18" ht="13.15">
      <c r="B48" s="209" t="s">
        <v>112</v>
      </c>
      <c r="C48" s="210" t="s">
        <v>260</v>
      </c>
      <c r="D48" s="233">
        <v>0</v>
      </c>
      <c r="E48" s="233">
        <v>0</v>
      </c>
      <c r="F48" s="233">
        <v>0</v>
      </c>
      <c r="G48" s="233">
        <v>0</v>
      </c>
      <c r="H48" s="233">
        <v>0</v>
      </c>
      <c r="I48" s="233">
        <v>0</v>
      </c>
      <c r="J48" s="246"/>
      <c r="K48" s="233" t="s">
        <v>112</v>
      </c>
      <c r="L48" s="241" t="s">
        <v>260</v>
      </c>
      <c r="M48" s="240">
        <v>0</v>
      </c>
      <c r="N48" s="240">
        <v>0</v>
      </c>
      <c r="O48" s="240">
        <v>0</v>
      </c>
      <c r="P48" s="240">
        <v>0</v>
      </c>
      <c r="Q48" s="240">
        <v>0</v>
      </c>
      <c r="R48" s="240">
        <v>0</v>
      </c>
    </row>
    <row r="49" spans="2:18" ht="13.15">
      <c r="B49" s="209" t="s">
        <v>112</v>
      </c>
      <c r="C49" s="210" t="s">
        <v>261</v>
      </c>
      <c r="D49" s="233">
        <v>7.0720000000000001</v>
      </c>
      <c r="E49" s="233">
        <v>0</v>
      </c>
      <c r="F49" s="233">
        <v>7.0720000000000001</v>
      </c>
      <c r="G49" s="233">
        <v>22</v>
      </c>
      <c r="H49" s="233">
        <v>22</v>
      </c>
      <c r="I49" s="233">
        <v>22</v>
      </c>
      <c r="J49" s="247" t="s">
        <v>272</v>
      </c>
      <c r="K49" s="233" t="s">
        <v>112</v>
      </c>
      <c r="L49" s="241" t="s">
        <v>261</v>
      </c>
      <c r="M49" s="240">
        <v>5.157</v>
      </c>
      <c r="N49" s="240">
        <v>0</v>
      </c>
      <c r="O49" s="240">
        <v>5.157</v>
      </c>
      <c r="P49" s="240">
        <v>14</v>
      </c>
      <c r="Q49" s="240"/>
      <c r="R49" s="240">
        <v>16</v>
      </c>
    </row>
    <row r="50" spans="2:18" ht="13.15">
      <c r="B50" s="209" t="s">
        <v>112</v>
      </c>
      <c r="C50" s="210" t="s">
        <v>262</v>
      </c>
      <c r="D50" s="233">
        <v>0</v>
      </c>
      <c r="E50" s="233">
        <v>0</v>
      </c>
      <c r="F50" s="233">
        <v>0</v>
      </c>
      <c r="G50" s="233">
        <v>0</v>
      </c>
      <c r="H50" s="233">
        <v>0</v>
      </c>
      <c r="I50" s="233">
        <v>0</v>
      </c>
      <c r="K50" s="240" t="s">
        <v>112</v>
      </c>
      <c r="L50" s="241" t="s">
        <v>262</v>
      </c>
      <c r="M50" s="240"/>
      <c r="N50" s="240"/>
      <c r="O50" s="240"/>
      <c r="P50" s="240"/>
      <c r="Q50" s="240"/>
      <c r="R50" s="240"/>
    </row>
    <row r="51" spans="2:18" ht="13.15">
      <c r="B51" s="209" t="s">
        <v>112</v>
      </c>
      <c r="C51" s="210" t="s">
        <v>263</v>
      </c>
      <c r="D51" s="231"/>
      <c r="E51" s="231"/>
      <c r="F51" s="231"/>
      <c r="G51" s="231"/>
      <c r="H51" s="231"/>
      <c r="I51" s="231"/>
      <c r="K51" s="240" t="s">
        <v>112</v>
      </c>
      <c r="L51" s="241" t="s">
        <v>263</v>
      </c>
      <c r="M51" s="240"/>
      <c r="N51" s="240"/>
      <c r="O51" s="240"/>
      <c r="P51" s="240"/>
      <c r="Q51" s="240"/>
      <c r="R51" s="240"/>
    </row>
    <row r="52" spans="2:18" ht="13.15">
      <c r="B52" s="209" t="s">
        <v>113</v>
      </c>
      <c r="C52" s="210" t="s">
        <v>257</v>
      </c>
      <c r="D52" s="233">
        <v>0</v>
      </c>
      <c r="E52" s="233">
        <v>0</v>
      </c>
      <c r="F52" s="233">
        <v>0</v>
      </c>
      <c r="G52" s="233">
        <v>0</v>
      </c>
      <c r="H52" s="233">
        <v>0</v>
      </c>
      <c r="I52" s="233">
        <v>0</v>
      </c>
      <c r="J52" t="s">
        <v>273</v>
      </c>
      <c r="K52" s="240" t="s">
        <v>113</v>
      </c>
      <c r="L52" s="241" t="s">
        <v>257</v>
      </c>
      <c r="M52" s="240">
        <v>0</v>
      </c>
      <c r="N52" s="240">
        <v>0</v>
      </c>
      <c r="O52" s="240">
        <v>0</v>
      </c>
      <c r="P52" s="240">
        <v>0</v>
      </c>
      <c r="Q52" s="240">
        <v>0</v>
      </c>
      <c r="R52" s="240">
        <v>0</v>
      </c>
    </row>
    <row r="53" spans="2:18" ht="13.15">
      <c r="B53" s="209" t="s">
        <v>113</v>
      </c>
      <c r="C53" s="210" t="s">
        <v>259</v>
      </c>
      <c r="D53" s="233">
        <v>20.539000000000001</v>
      </c>
      <c r="E53" s="233">
        <v>1.879</v>
      </c>
      <c r="F53" s="233">
        <v>22.417999999999999</v>
      </c>
      <c r="G53" s="233">
        <v>294</v>
      </c>
      <c r="H53" s="233">
        <v>0</v>
      </c>
      <c r="I53" s="233">
        <v>294</v>
      </c>
      <c r="K53" s="240" t="s">
        <v>113</v>
      </c>
      <c r="L53" s="241" t="s">
        <v>259</v>
      </c>
      <c r="M53" s="240">
        <v>16.492999999999999</v>
      </c>
      <c r="N53" s="240">
        <v>0</v>
      </c>
      <c r="O53" s="240">
        <v>16.492999999999999</v>
      </c>
      <c r="P53" s="240">
        <v>147</v>
      </c>
      <c r="Q53" s="240">
        <v>0</v>
      </c>
      <c r="R53" s="240">
        <v>147</v>
      </c>
    </row>
    <row r="54" spans="2:18" ht="13.15">
      <c r="B54" s="209" t="s">
        <v>113</v>
      </c>
      <c r="C54" s="210" t="s">
        <v>260</v>
      </c>
      <c r="D54" s="233">
        <v>0</v>
      </c>
      <c r="E54" s="233">
        <v>0</v>
      </c>
      <c r="F54" s="233">
        <v>0</v>
      </c>
      <c r="G54" s="233">
        <v>0</v>
      </c>
      <c r="H54" s="233">
        <v>0</v>
      </c>
      <c r="I54" s="233">
        <v>0</v>
      </c>
      <c r="K54" s="240" t="s">
        <v>113</v>
      </c>
      <c r="L54" s="241" t="s">
        <v>260</v>
      </c>
      <c r="M54" s="240">
        <v>0</v>
      </c>
      <c r="N54" s="240">
        <v>0</v>
      </c>
      <c r="O54" s="240">
        <v>0</v>
      </c>
      <c r="P54" s="240">
        <v>0</v>
      </c>
      <c r="Q54" s="240">
        <v>0</v>
      </c>
      <c r="R54" s="240">
        <v>0</v>
      </c>
    </row>
    <row r="55" spans="2:18" ht="13.15">
      <c r="B55" s="209" t="s">
        <v>113</v>
      </c>
      <c r="C55" s="210" t="s">
        <v>261</v>
      </c>
      <c r="D55" s="233">
        <v>45.921999999999997</v>
      </c>
      <c r="E55" s="233">
        <v>1.591</v>
      </c>
      <c r="F55" s="233">
        <v>47.512999999999998</v>
      </c>
      <c r="G55" s="233">
        <v>180</v>
      </c>
      <c r="H55" s="233">
        <v>180</v>
      </c>
      <c r="I55" s="233">
        <v>180</v>
      </c>
      <c r="K55" s="240" t="s">
        <v>113</v>
      </c>
      <c r="L55" s="241" t="s">
        <v>261</v>
      </c>
      <c r="M55" s="240">
        <v>22.62</v>
      </c>
      <c r="N55" s="240">
        <v>0</v>
      </c>
      <c r="O55" s="240">
        <v>22.62</v>
      </c>
      <c r="P55" s="240">
        <v>90</v>
      </c>
      <c r="Q55" s="240">
        <v>90</v>
      </c>
      <c r="R55" s="240">
        <v>90</v>
      </c>
    </row>
    <row r="56" spans="2:18" ht="13.15">
      <c r="B56" s="209" t="s">
        <v>113</v>
      </c>
      <c r="C56" s="210" t="s">
        <v>262</v>
      </c>
      <c r="D56" s="233">
        <v>0</v>
      </c>
      <c r="E56" s="233">
        <v>0</v>
      </c>
      <c r="F56" s="233">
        <v>0</v>
      </c>
      <c r="G56" s="233">
        <v>0</v>
      </c>
      <c r="H56" s="233">
        <v>0</v>
      </c>
      <c r="I56" s="233">
        <v>0</v>
      </c>
      <c r="K56" s="240" t="s">
        <v>113</v>
      </c>
      <c r="L56" s="241" t="s">
        <v>262</v>
      </c>
      <c r="M56" s="240">
        <v>0</v>
      </c>
      <c r="N56" s="240">
        <v>0</v>
      </c>
      <c r="O56" s="240">
        <v>0</v>
      </c>
      <c r="P56" s="240">
        <v>0</v>
      </c>
      <c r="Q56" s="240">
        <v>0</v>
      </c>
      <c r="R56" s="240">
        <v>0</v>
      </c>
    </row>
    <row r="57" spans="2:18" ht="13.15">
      <c r="B57" s="209" t="s">
        <v>113</v>
      </c>
      <c r="C57" s="210" t="s">
        <v>263</v>
      </c>
      <c r="D57" s="231"/>
      <c r="E57" s="231"/>
      <c r="F57" s="231"/>
      <c r="G57" s="231"/>
      <c r="H57" s="231"/>
      <c r="I57" s="231"/>
      <c r="K57" s="240" t="s">
        <v>113</v>
      </c>
      <c r="L57" s="241" t="s">
        <v>263</v>
      </c>
      <c r="M57" s="240">
        <v>39.113</v>
      </c>
      <c r="N57" s="240">
        <v>0</v>
      </c>
      <c r="O57" s="240">
        <v>39.113</v>
      </c>
      <c r="P57" s="240"/>
      <c r="Q57" s="240"/>
      <c r="R57" s="240"/>
    </row>
    <row r="58" spans="2:18" ht="13.15">
      <c r="B58" s="209" t="s">
        <v>114</v>
      </c>
      <c r="C58" s="210" t="s">
        <v>257</v>
      </c>
      <c r="D58" s="233">
        <v>1.2789999999999999</v>
      </c>
      <c r="E58" s="233">
        <v>9.7000000000000003E-2</v>
      </c>
      <c r="F58" s="233">
        <v>1.3759999999999999</v>
      </c>
      <c r="G58" s="233">
        <v>65</v>
      </c>
      <c r="H58" s="233">
        <v>0</v>
      </c>
      <c r="I58" s="233">
        <v>65</v>
      </c>
      <c r="J58" t="s">
        <v>274</v>
      </c>
      <c r="K58" s="240" t="s">
        <v>114</v>
      </c>
      <c r="L58" s="241" t="s">
        <v>257</v>
      </c>
      <c r="M58" s="240">
        <v>0.58699999999999997</v>
      </c>
      <c r="N58" s="240">
        <v>1.7000000000000001E-2</v>
      </c>
      <c r="O58" s="240">
        <v>0.60399999999999998</v>
      </c>
      <c r="P58" s="240">
        <v>31</v>
      </c>
      <c r="Q58" s="240">
        <v>0</v>
      </c>
      <c r="R58" s="240">
        <v>31</v>
      </c>
    </row>
    <row r="59" spans="2:18" ht="13.15">
      <c r="B59" s="209" t="s">
        <v>114</v>
      </c>
      <c r="C59" s="210" t="s">
        <v>259</v>
      </c>
      <c r="D59" s="233">
        <v>1.35</v>
      </c>
      <c r="E59" s="233">
        <v>6.5000000000000002E-2</v>
      </c>
      <c r="F59" s="233">
        <v>1.4139999999999999</v>
      </c>
      <c r="G59" s="233">
        <v>44</v>
      </c>
      <c r="H59" s="233">
        <v>0</v>
      </c>
      <c r="I59" s="233">
        <v>44</v>
      </c>
      <c r="K59" s="240" t="s">
        <v>114</v>
      </c>
      <c r="L59" s="241" t="s">
        <v>259</v>
      </c>
      <c r="M59" s="240">
        <v>0.62</v>
      </c>
      <c r="N59" s="240">
        <v>1.7999999999999999E-2</v>
      </c>
      <c r="O59" s="240">
        <v>0.63800000000000001</v>
      </c>
      <c r="P59" s="240">
        <v>18</v>
      </c>
      <c r="Q59" s="240">
        <v>0</v>
      </c>
      <c r="R59" s="240">
        <v>18</v>
      </c>
    </row>
    <row r="60" spans="2:18" ht="13.15">
      <c r="B60" s="209" t="s">
        <v>114</v>
      </c>
      <c r="C60" s="210" t="s">
        <v>260</v>
      </c>
      <c r="D60" s="233">
        <v>1.7849999999999999</v>
      </c>
      <c r="E60" s="233">
        <v>4.2000000000000003E-2</v>
      </c>
      <c r="F60" s="233">
        <v>1.8260000000000001</v>
      </c>
      <c r="G60" s="233">
        <v>11</v>
      </c>
      <c r="H60" s="233">
        <v>28</v>
      </c>
      <c r="I60" s="233">
        <v>28</v>
      </c>
      <c r="K60" s="240" t="s">
        <v>114</v>
      </c>
      <c r="L60" s="241" t="s">
        <v>260</v>
      </c>
      <c r="M60" s="240">
        <v>0.95599999999999996</v>
      </c>
      <c r="N60" s="240">
        <v>2.7E-2</v>
      </c>
      <c r="O60" s="240">
        <v>0.98299999999999998</v>
      </c>
      <c r="P60" s="240">
        <v>6</v>
      </c>
      <c r="Q60" s="240">
        <v>15</v>
      </c>
      <c r="R60" s="240">
        <v>15</v>
      </c>
    </row>
    <row r="61" spans="2:18" ht="13.15">
      <c r="B61" s="209" t="s">
        <v>114</v>
      </c>
      <c r="C61" s="210" t="s">
        <v>261</v>
      </c>
      <c r="D61" s="233">
        <v>15.089</v>
      </c>
      <c r="E61" s="233">
        <v>0.23799999999999999</v>
      </c>
      <c r="F61" s="233">
        <v>15.326000000000001</v>
      </c>
      <c r="G61" s="233">
        <v>64</v>
      </c>
      <c r="H61" s="233">
        <v>160</v>
      </c>
      <c r="I61" s="233">
        <v>160</v>
      </c>
      <c r="K61" s="240" t="s">
        <v>114</v>
      </c>
      <c r="L61" s="241" t="s">
        <v>261</v>
      </c>
      <c r="M61" s="240">
        <v>8.2590000000000003</v>
      </c>
      <c r="N61" s="240">
        <v>0.23599999999999999</v>
      </c>
      <c r="O61" s="240">
        <v>8.4949999999999992</v>
      </c>
      <c r="P61" s="240">
        <v>35</v>
      </c>
      <c r="Q61" s="240">
        <v>87</v>
      </c>
      <c r="R61" s="240">
        <v>87</v>
      </c>
    </row>
    <row r="62" spans="2:18" ht="13.15">
      <c r="B62" s="209" t="s">
        <v>114</v>
      </c>
      <c r="C62" s="210" t="s">
        <v>262</v>
      </c>
      <c r="D62" s="233">
        <v>3.1E-2</v>
      </c>
      <c r="E62" s="233">
        <v>0</v>
      </c>
      <c r="F62" s="233">
        <v>3.1E-2</v>
      </c>
      <c r="G62" s="233">
        <v>0</v>
      </c>
      <c r="H62" s="233">
        <v>29</v>
      </c>
      <c r="I62" s="233">
        <v>29</v>
      </c>
      <c r="K62" s="240" t="s">
        <v>114</v>
      </c>
      <c r="L62" s="241" t="s">
        <v>262</v>
      </c>
      <c r="M62" s="240">
        <v>2.8000000000000001E-2</v>
      </c>
      <c r="N62" s="240">
        <v>0</v>
      </c>
      <c r="O62" s="240">
        <v>2.8000000000000001E-2</v>
      </c>
      <c r="P62" s="240">
        <v>0</v>
      </c>
      <c r="Q62" s="240">
        <v>0</v>
      </c>
      <c r="R62" s="240">
        <v>0</v>
      </c>
    </row>
    <row r="63" spans="2:18" ht="13.15">
      <c r="B63" s="209" t="s">
        <v>114</v>
      </c>
      <c r="C63" s="210" t="s">
        <v>263</v>
      </c>
      <c r="D63" s="231"/>
      <c r="E63" s="231"/>
      <c r="F63" s="231"/>
      <c r="G63" s="231"/>
      <c r="H63" s="231"/>
      <c r="I63" s="231"/>
      <c r="K63" s="240" t="s">
        <v>114</v>
      </c>
      <c r="L63" s="241" t="s">
        <v>263</v>
      </c>
      <c r="M63" s="240">
        <v>10.448</v>
      </c>
      <c r="N63" s="240">
        <v>0.29799999999999999</v>
      </c>
      <c r="O63" s="240">
        <v>10.746</v>
      </c>
      <c r="P63" s="240">
        <v>90</v>
      </c>
      <c r="Q63" s="240">
        <v>151</v>
      </c>
      <c r="R63" s="240">
        <v>151</v>
      </c>
    </row>
    <row r="64" spans="2:18" ht="13.15">
      <c r="B64" s="209" t="s">
        <v>115</v>
      </c>
      <c r="C64" s="210" t="s">
        <v>257</v>
      </c>
      <c r="D64" s="233">
        <v>3.62</v>
      </c>
      <c r="E64" s="233">
        <v>0.17</v>
      </c>
      <c r="F64" s="233">
        <v>3.78</v>
      </c>
      <c r="G64" s="233">
        <v>401</v>
      </c>
      <c r="H64" s="233">
        <v>0</v>
      </c>
      <c r="I64" s="233">
        <v>401</v>
      </c>
      <c r="J64" t="s">
        <v>275</v>
      </c>
      <c r="K64" s="240" t="s">
        <v>115</v>
      </c>
      <c r="L64" s="241" t="s">
        <v>257</v>
      </c>
      <c r="M64" s="240">
        <v>0</v>
      </c>
      <c r="N64" s="240">
        <v>0</v>
      </c>
      <c r="O64" s="240">
        <v>0</v>
      </c>
      <c r="P64" s="240">
        <v>0</v>
      </c>
      <c r="Q64" s="240">
        <v>0</v>
      </c>
      <c r="R64" s="240">
        <v>0</v>
      </c>
    </row>
    <row r="65" spans="2:18" ht="13.15">
      <c r="B65" s="209" t="s">
        <v>115</v>
      </c>
      <c r="C65" s="210" t="s">
        <v>259</v>
      </c>
      <c r="D65" s="233">
        <v>0</v>
      </c>
      <c r="E65" s="233">
        <v>0</v>
      </c>
      <c r="F65" s="233">
        <v>0</v>
      </c>
      <c r="G65" s="233">
        <v>0</v>
      </c>
      <c r="H65" s="233">
        <v>0</v>
      </c>
      <c r="I65" s="233">
        <v>0</v>
      </c>
      <c r="K65" s="240" t="s">
        <v>115</v>
      </c>
      <c r="L65" s="241" t="s">
        <v>259</v>
      </c>
      <c r="M65" s="240">
        <v>1.809593</v>
      </c>
      <c r="N65" s="240">
        <v>8.4116999999999997E-2</v>
      </c>
      <c r="O65" s="240">
        <v>1.89377</v>
      </c>
      <c r="P65" s="240">
        <v>100</v>
      </c>
      <c r="Q65" s="240">
        <v>0</v>
      </c>
      <c r="R65" s="240">
        <v>100</v>
      </c>
    </row>
    <row r="66" spans="2:18" ht="13.15">
      <c r="B66" s="209" t="s">
        <v>115</v>
      </c>
      <c r="C66" s="210" t="s">
        <v>260</v>
      </c>
      <c r="D66" s="233">
        <v>1.63</v>
      </c>
      <c r="E66" s="233">
        <v>0.08</v>
      </c>
      <c r="F66" s="233">
        <v>1.71</v>
      </c>
      <c r="G66" s="233">
        <v>181</v>
      </c>
      <c r="H66" s="233">
        <v>181</v>
      </c>
      <c r="I66" s="233">
        <v>181</v>
      </c>
      <c r="K66" s="240" t="s">
        <v>115</v>
      </c>
      <c r="L66" s="241" t="s">
        <v>260</v>
      </c>
      <c r="M66" s="240">
        <v>0.81679900000000005</v>
      </c>
      <c r="N66" s="240">
        <v>3.7996000000000002E-2</v>
      </c>
      <c r="O66" s="240">
        <v>0.85479499999999997</v>
      </c>
      <c r="P66" s="240">
        <v>45</v>
      </c>
      <c r="Q66" s="240">
        <v>45</v>
      </c>
      <c r="R66" s="240">
        <v>45</v>
      </c>
    </row>
    <row r="67" spans="2:18" ht="13.15">
      <c r="B67" s="209" t="s">
        <v>115</v>
      </c>
      <c r="C67" s="210" t="s">
        <v>261</v>
      </c>
      <c r="D67" s="233">
        <v>32.64</v>
      </c>
      <c r="E67" s="233">
        <v>0.12</v>
      </c>
      <c r="F67" s="233">
        <v>32.76</v>
      </c>
      <c r="G67" s="233">
        <v>278</v>
      </c>
      <c r="H67" s="233">
        <v>278</v>
      </c>
      <c r="I67" s="233">
        <v>278</v>
      </c>
      <c r="K67" s="240" t="s">
        <v>115</v>
      </c>
      <c r="L67" s="241" t="s">
        <v>261</v>
      </c>
      <c r="M67" s="240">
        <v>16.319915000000002</v>
      </c>
      <c r="N67" s="240">
        <v>5.8358E-2</v>
      </c>
      <c r="O67" s="240">
        <v>16.378273</v>
      </c>
      <c r="P67" s="240">
        <v>70</v>
      </c>
      <c r="Q67" s="240">
        <v>70</v>
      </c>
      <c r="R67" s="240">
        <v>70</v>
      </c>
    </row>
    <row r="68" spans="2:18" ht="13.15">
      <c r="B68" s="209" t="s">
        <v>115</v>
      </c>
      <c r="C68" s="210" t="s">
        <v>262</v>
      </c>
      <c r="D68" s="233">
        <v>0</v>
      </c>
      <c r="E68" s="233">
        <v>0</v>
      </c>
      <c r="F68" s="233"/>
      <c r="G68" s="233">
        <v>0</v>
      </c>
      <c r="H68" s="233">
        <v>0</v>
      </c>
      <c r="I68" s="233">
        <v>0</v>
      </c>
      <c r="K68" s="240" t="s">
        <v>115</v>
      </c>
      <c r="L68" s="241" t="s">
        <v>262</v>
      </c>
      <c r="M68" s="240">
        <v>0</v>
      </c>
      <c r="N68" s="240">
        <v>0</v>
      </c>
      <c r="O68" s="240"/>
      <c r="P68" s="240">
        <v>0</v>
      </c>
      <c r="Q68" s="240">
        <v>0</v>
      </c>
      <c r="R68" s="240">
        <v>0</v>
      </c>
    </row>
    <row r="69" spans="2:18" ht="13.15">
      <c r="B69" s="209" t="s">
        <v>115</v>
      </c>
      <c r="C69" s="210" t="s">
        <v>263</v>
      </c>
      <c r="D69" s="143"/>
      <c r="E69" s="143"/>
      <c r="F69" s="143"/>
      <c r="G69" s="143"/>
      <c r="H69" s="143"/>
      <c r="I69" s="143"/>
      <c r="K69" s="240" t="s">
        <v>115</v>
      </c>
      <c r="L69" s="241" t="s">
        <v>263</v>
      </c>
      <c r="M69" s="243"/>
      <c r="N69" s="243"/>
      <c r="O69" s="243"/>
      <c r="P69" s="243"/>
      <c r="Q69" s="243"/>
      <c r="R69" s="243"/>
    </row>
  </sheetData>
  <mergeCells count="2">
    <mergeCell ref="H1:I1"/>
    <mergeCell ref="J35:J3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97EB-17D1-4620-BF1A-7B21A1615E15}">
  <sheetPr>
    <tabColor theme="0" tint="-0.14999847407452621"/>
  </sheetPr>
  <dimension ref="A1:L20"/>
  <sheetViews>
    <sheetView showGridLines="0" zoomScale="80" zoomScaleNormal="80" workbookViewId="0"/>
  </sheetViews>
  <sheetFormatPr defaultRowHeight="12.75"/>
  <cols>
    <col min="1" max="1" width="7.28515625" style="20" customWidth="1"/>
    <col min="3" max="3" width="14.85546875" customWidth="1"/>
    <col min="4" max="5" width="23.85546875" customWidth="1"/>
    <col min="6" max="6" width="18" customWidth="1"/>
    <col min="7" max="7" width="18.85546875" customWidth="1"/>
    <col min="8" max="8" width="18.5703125" customWidth="1"/>
    <col min="9" max="9" width="16.7109375" customWidth="1"/>
    <col min="10" max="10" width="4.140625" customWidth="1"/>
    <col min="11" max="11" width="86" customWidth="1"/>
    <col min="12" max="12" width="56.28515625" customWidth="1"/>
  </cols>
  <sheetData>
    <row r="1" spans="1:12" s="2" customFormat="1" ht="30.75">
      <c r="A1" s="117" t="e">
        <f ca="1" xml:space="preserve"> RIGHT(CELL("filename", $A$1), LEN(CELL("filename", $A$1)) - SEARCH("]", CELL("filename", $A$1)))</f>
        <v>#VALUE!</v>
      </c>
      <c r="B1" s="1"/>
      <c r="C1" s="1"/>
      <c r="D1" s="1"/>
      <c r="E1" s="1"/>
      <c r="F1" s="1"/>
      <c r="G1" s="1"/>
      <c r="H1" s="1"/>
      <c r="I1" s="1"/>
      <c r="J1" s="1"/>
      <c r="K1" s="1"/>
      <c r="L1" s="1"/>
    </row>
    <row r="4" spans="1:12" ht="13.15">
      <c r="A4" s="348"/>
      <c r="B4" s="348"/>
      <c r="C4" s="348"/>
      <c r="D4" s="348"/>
      <c r="E4" s="348"/>
      <c r="F4" s="348"/>
      <c r="G4" s="348"/>
      <c r="H4" s="348"/>
      <c r="I4" s="348"/>
      <c r="J4" s="348"/>
      <c r="K4" s="348"/>
      <c r="L4" s="348"/>
    </row>
    <row r="6" spans="1:12" ht="39.4">
      <c r="A6" s="155"/>
      <c r="B6" s="19" t="s">
        <v>148</v>
      </c>
      <c r="C6" s="11" t="s">
        <v>276</v>
      </c>
      <c r="D6" s="19" t="s">
        <v>277</v>
      </c>
      <c r="E6" s="11" t="s">
        <v>150</v>
      </c>
      <c r="F6" s="19" t="s">
        <v>278</v>
      </c>
      <c r="G6" s="11" t="s">
        <v>279</v>
      </c>
      <c r="H6" s="28" t="s">
        <v>280</v>
      </c>
      <c r="I6" s="11" t="s">
        <v>281</v>
      </c>
      <c r="J6" s="2"/>
      <c r="K6" s="11" t="s">
        <v>282</v>
      </c>
      <c r="L6" s="34"/>
    </row>
    <row r="7" spans="1:12" ht="26.25">
      <c r="A7" s="195">
        <v>1</v>
      </c>
      <c r="B7" s="8" t="s">
        <v>82</v>
      </c>
      <c r="C7" s="202">
        <f>_xlfn.XLOOKUP($B7,PR24_NETTOTEX_WASTE!$B$9:$B$19,PR24_NETTOTEX_WASTE!$G$9:$G$19)</f>
        <v>6050.1790000000001</v>
      </c>
      <c r="D7" s="236">
        <f ca="1">INDEX(Data_final_model_format!J$5:J$15,MATCH(B7,Data_final_model_format!A$5:A$15,0))</f>
        <v>48.026999999999994</v>
      </c>
      <c r="E7" s="137">
        <f ca="1">INDEX(Data_final_model_format!J:J,MATCH($B7,Data_final_model_format!A:A,0))</f>
        <v>48.026999999999994</v>
      </c>
      <c r="F7" s="138">
        <f ca="1">E7/C7</f>
        <v>7.9381122442823589E-3</v>
      </c>
      <c r="G7" s="139" t="s">
        <v>283</v>
      </c>
      <c r="H7" s="135"/>
      <c r="I7" s="140" t="str">
        <f t="shared" ref="I7:I17" si="0">IF(G7="Shallow dive",(1-H7)*E7,"")</f>
        <v/>
      </c>
      <c r="J7" s="2"/>
      <c r="K7" s="132" t="s">
        <v>284</v>
      </c>
      <c r="L7" s="58"/>
    </row>
    <row r="8" spans="1:12" ht="13.15">
      <c r="A8" s="207">
        <v>2</v>
      </c>
      <c r="B8" s="8" t="s">
        <v>106</v>
      </c>
      <c r="C8" s="202">
        <f>_xlfn.XLOOKUP($B8,PR24_NETTOTEX_WASTE!$B$9:$B$19,PR24_NETTOTEX_WASTE!$G$9:$G$19)</f>
        <v>3318.1689999999999</v>
      </c>
      <c r="D8" s="236">
        <f ca="1">INDEX(Data_final_model_format!J$5:J$15,MATCH(B8,Data_final_model_format!A$5:A$15,0))</f>
        <v>21.192</v>
      </c>
      <c r="E8" s="137">
        <f ca="1">INDEX(Data_final_model_format!J:J,MATCH($B8,Data_final_model_format!A:A,0))</f>
        <v>21.192</v>
      </c>
      <c r="F8" s="138">
        <f t="shared" ref="F8:F17" ca="1" si="1">E8/C8</f>
        <v>6.3866548087213159E-3</v>
      </c>
      <c r="G8" s="139" t="s">
        <v>283</v>
      </c>
      <c r="H8" s="135"/>
      <c r="I8" s="140" t="str">
        <f t="shared" si="0"/>
        <v/>
      </c>
      <c r="J8" s="2"/>
      <c r="K8" s="132" t="s">
        <v>285</v>
      </c>
      <c r="L8" s="131"/>
    </row>
    <row r="9" spans="1:12" ht="13.15">
      <c r="A9" s="207">
        <v>3</v>
      </c>
      <c r="B9" s="8" t="s">
        <v>107</v>
      </c>
      <c r="C9" s="202">
        <f>_xlfn.XLOOKUP($B9,PR24_NETTOTEX_WASTE!$B$9:$B$19,PR24_NETTOTEX_WASTE!$G$9:$G$19)</f>
        <v>61.302999999999997</v>
      </c>
      <c r="D9" s="236">
        <f ca="1">INDEX(Data_final_model_format!J$5:J$15,MATCH(B9,Data_final_model_format!A$5:A$15,0))</f>
        <v>0.56600000000000006</v>
      </c>
      <c r="E9" s="137">
        <f ca="1">INDEX(Data_final_model_format!J:J,MATCH($B9,Data_final_model_format!A:A,0))</f>
        <v>0.56600000000000006</v>
      </c>
      <c r="F9" s="138">
        <f t="shared" ca="1" si="1"/>
        <v>9.2328271047093964E-3</v>
      </c>
      <c r="G9" s="139" t="s">
        <v>286</v>
      </c>
      <c r="H9" s="311">
        <v>0</v>
      </c>
      <c r="I9" s="140">
        <f t="shared" ca="1" si="0"/>
        <v>0.56600000000000006</v>
      </c>
      <c r="J9" s="2"/>
      <c r="K9" s="132" t="s">
        <v>287</v>
      </c>
      <c r="L9" s="58"/>
    </row>
    <row r="10" spans="1:12" ht="13.15">
      <c r="A10" s="207">
        <v>4</v>
      </c>
      <c r="B10" s="8" t="s">
        <v>108</v>
      </c>
      <c r="C10" s="202">
        <f>_xlfn.XLOOKUP($B10,PR24_NETTOTEX_WASTE!$B$9:$B$19,PR24_NETTOTEX_WASTE!$G$9:$G$19)</f>
        <v>3207.9270000000001</v>
      </c>
      <c r="D10" s="236">
        <f ca="1">INDEX(Data_final_model_format!J$5:J$15,MATCH(B10,Data_final_model_format!A$5:A$15,0))</f>
        <v>39.082000000000008</v>
      </c>
      <c r="E10" s="137">
        <f ca="1">INDEX(Data_final_model_format!J:J,MATCH($B10,Data_final_model_format!A:A,0))</f>
        <v>39.082000000000008</v>
      </c>
      <c r="F10" s="138">
        <f t="shared" ca="1" si="1"/>
        <v>1.2182945559546712E-2</v>
      </c>
      <c r="G10" s="139" t="s">
        <v>283</v>
      </c>
      <c r="H10" s="135"/>
      <c r="I10" s="140" t="str">
        <f t="shared" si="0"/>
        <v/>
      </c>
      <c r="J10" s="2"/>
      <c r="K10" s="132" t="s">
        <v>288</v>
      </c>
      <c r="L10" s="131"/>
    </row>
    <row r="11" spans="1:12" ht="13.15">
      <c r="A11" s="207">
        <v>5</v>
      </c>
      <c r="B11" s="8" t="s">
        <v>109</v>
      </c>
      <c r="C11" s="202">
        <f>_xlfn.XLOOKUP($B11,PR24_NETTOTEX_WASTE!$B$9:$B$19,PR24_NETTOTEX_WASTE!$G$9:$G$19)</f>
        <v>8618.7119999999995</v>
      </c>
      <c r="D11" s="236">
        <f ca="1">INDEX(Data_final_model_format!J$5:J$15,MATCH(B11,Data_final_model_format!A$5:A$15,0))</f>
        <v>26.253561906402226</v>
      </c>
      <c r="E11" s="137">
        <f ca="1">INDEX(Data_final_model_format!J:J,MATCH($B11,Data_final_model_format!A:A,0))</f>
        <v>26.253561906402226</v>
      </c>
      <c r="F11" s="138">
        <f t="shared" ca="1" si="1"/>
        <v>3.0461119836005923E-3</v>
      </c>
      <c r="G11" s="139" t="s">
        <v>286</v>
      </c>
      <c r="H11" s="311">
        <v>0</v>
      </c>
      <c r="I11" s="140">
        <f t="shared" ca="1" si="0"/>
        <v>26.253561906402226</v>
      </c>
      <c r="J11" s="2"/>
      <c r="K11" s="132" t="s">
        <v>289</v>
      </c>
      <c r="L11" s="58"/>
    </row>
    <row r="12" spans="1:12" ht="13.15">
      <c r="A12" s="207">
        <v>6</v>
      </c>
      <c r="B12" s="8" t="s">
        <v>110</v>
      </c>
      <c r="C12" s="202">
        <f>_xlfn.XLOOKUP($B12,PR24_NETTOTEX_WASTE!$B$9:$B$19,PR24_NETTOTEX_WASTE!$G$9:$G$19)</f>
        <v>2220.3789999999999</v>
      </c>
      <c r="D12" s="236">
        <f ca="1">INDEX(Data_final_model_format!J$5:J$15,MATCH(B12,Data_final_model_format!A$5:A$15,0))</f>
        <v>10.199999999999999</v>
      </c>
      <c r="E12" s="137">
        <f ca="1">INDEX(Data_final_model_format!J:J,MATCH($B12,Data_final_model_format!A:A,0))</f>
        <v>10.199999999999999</v>
      </c>
      <c r="F12" s="138">
        <f t="shared" ca="1" si="1"/>
        <v>4.5938103359831808E-3</v>
      </c>
      <c r="G12" s="139" t="s">
        <v>286</v>
      </c>
      <c r="H12" s="135">
        <f>_xlfn.XLOOKUP($B12,'Company level efficiencies'!$B$7:$B$17,'Company level efficiencies'!$I$7:$I$17)</f>
        <v>0.01</v>
      </c>
      <c r="I12" s="140">
        <f t="shared" ca="1" si="0"/>
        <v>10.097999999999999</v>
      </c>
      <c r="J12" s="2"/>
      <c r="K12" s="133" t="s">
        <v>289</v>
      </c>
      <c r="L12" s="58"/>
    </row>
    <row r="13" spans="1:12" ht="26.25">
      <c r="A13" s="207">
        <v>7</v>
      </c>
      <c r="B13" s="8" t="s">
        <v>111</v>
      </c>
      <c r="C13" s="202">
        <f>_xlfn.XLOOKUP($B13,PR24_NETTOTEX_WASTE!$B$9:$B$19,PR24_NETTOTEX_WASTE!$G$9:$G$19)</f>
        <v>5114.1959999999999</v>
      </c>
      <c r="D13" s="236">
        <f ca="1">INDEX(Data_final_model_format!J$5:J$15,MATCH(B13,Data_final_model_format!A$5:A$15,0))</f>
        <v>92.847000000000008</v>
      </c>
      <c r="E13" s="137">
        <f ca="1">INDEX(Data_final_model_format!J:J,MATCH($B13,Data_final_model_format!A:A,0))</f>
        <v>92.847000000000008</v>
      </c>
      <c r="F13" s="138">
        <f t="shared" ca="1" si="1"/>
        <v>1.815475980975309E-2</v>
      </c>
      <c r="G13" s="139" t="s">
        <v>283</v>
      </c>
      <c r="H13" s="135"/>
      <c r="I13" s="140" t="str">
        <f t="shared" si="0"/>
        <v/>
      </c>
      <c r="J13" s="2"/>
      <c r="K13" s="132" t="s">
        <v>290</v>
      </c>
      <c r="L13" s="131"/>
    </row>
    <row r="14" spans="1:12" ht="26.25">
      <c r="A14" s="207">
        <v>8</v>
      </c>
      <c r="B14" s="8" t="s">
        <v>112</v>
      </c>
      <c r="C14" s="202">
        <f>_xlfn.XLOOKUP($B14,PR24_NETTOTEX_WASTE!$B$9:$B$19,PR24_NETTOTEX_WASTE!$G$9:$G$19)</f>
        <v>12775.474</v>
      </c>
      <c r="D14" s="236">
        <f ca="1">INDEX(Data_final_model_format!J$5:J$15,MATCH(B14,Data_final_model_format!A$5:A$15,0))</f>
        <v>11.788000000000002</v>
      </c>
      <c r="E14" s="137">
        <f ca="1">INDEX(Data_final_model_format!J:J,MATCH($B14,Data_final_model_format!A:A,0))</f>
        <v>11.788000000000002</v>
      </c>
      <c r="F14" s="138">
        <f t="shared" ca="1" si="1"/>
        <v>9.2270549022290698E-4</v>
      </c>
      <c r="G14" s="139" t="s">
        <v>283</v>
      </c>
      <c r="H14" s="135"/>
      <c r="I14" s="140" t="str">
        <f t="shared" si="0"/>
        <v/>
      </c>
      <c r="J14" s="2"/>
      <c r="K14" s="132" t="s">
        <v>291</v>
      </c>
      <c r="L14" s="58"/>
    </row>
    <row r="15" spans="1:12" ht="36.6" customHeight="1">
      <c r="A15" s="207">
        <v>9</v>
      </c>
      <c r="B15" s="8" t="s">
        <v>113</v>
      </c>
      <c r="C15" s="202">
        <f>_xlfn.XLOOKUP($B15,PR24_NETTOTEX_WASTE!$B$9:$B$19,PR24_NETTOTEX_WASTE!$G$9:$G$19)</f>
        <v>8993.18</v>
      </c>
      <c r="D15" s="236">
        <f ca="1">INDEX(Data_final_model_format!J$5:J$15,MATCH(B15,Data_final_model_format!A$5:A$15,0))</f>
        <v>69.930999999999997</v>
      </c>
      <c r="E15" s="137">
        <f ca="1">INDEX(Data_final_model_format!J:J,MATCH($B15,Data_final_model_format!A:A,0))</f>
        <v>69.930999999999997</v>
      </c>
      <c r="F15" s="138">
        <f ca="1">E15/C15</f>
        <v>7.7760035938344383E-3</v>
      </c>
      <c r="G15" s="139" t="s">
        <v>283</v>
      </c>
      <c r="H15" s="135"/>
      <c r="I15" s="140" t="str">
        <f t="shared" si="0"/>
        <v/>
      </c>
      <c r="J15" s="2"/>
      <c r="K15" s="132" t="s">
        <v>292</v>
      </c>
      <c r="L15" s="131"/>
    </row>
    <row r="16" spans="1:12" ht="13.15">
      <c r="A16" s="207">
        <v>10</v>
      </c>
      <c r="B16" s="8" t="s">
        <v>114</v>
      </c>
      <c r="C16" s="202">
        <f>_xlfn.XLOOKUP($B16,PR24_NETTOTEX_WASTE!$B$9:$B$19,PR24_NETTOTEX_WASTE!$G$9:$G$19)</f>
        <v>3717.8809999999999</v>
      </c>
      <c r="D16" s="236">
        <f ca="1">INDEX(Data_final_model_format!J$5:J$15,MATCH(B16,Data_final_model_format!A$5:A$15,0))</f>
        <v>19.975000000000001</v>
      </c>
      <c r="E16" s="137">
        <f ca="1">INDEX(Data_final_model_format!J:J,MATCH($B16,Data_final_model_format!A:A,0))</f>
        <v>19.975000000000001</v>
      </c>
      <c r="F16" s="138">
        <f t="shared" ca="1" si="1"/>
        <v>5.3726840638525014E-3</v>
      </c>
      <c r="G16" s="139" t="s">
        <v>283</v>
      </c>
      <c r="H16" s="135"/>
      <c r="I16" s="140" t="str">
        <f t="shared" si="0"/>
        <v/>
      </c>
      <c r="J16" s="2"/>
      <c r="K16" s="132" t="s">
        <v>293</v>
      </c>
      <c r="L16" s="131"/>
    </row>
    <row r="17" spans="1:12" ht="13.15">
      <c r="A17" s="207">
        <v>11</v>
      </c>
      <c r="B17" s="8" t="s">
        <v>115</v>
      </c>
      <c r="C17" s="202">
        <f>_xlfn.XLOOKUP($B17,PR24_NETTOTEX_WASTE!$B$9:$B$19,PR24_NETTOTEX_WASTE!$G$9:$G$19)</f>
        <v>4605.5680000000002</v>
      </c>
      <c r="D17" s="236">
        <f ca="1">INDEX(Data_final_model_format!J$5:J$15,MATCH(B17,Data_final_model_format!A$5:A$15,0))</f>
        <v>38.256211</v>
      </c>
      <c r="E17" s="137">
        <f ca="1">INDEX(Data_final_model_format!J:J,MATCH($B17,Data_final_model_format!A:A,0))</f>
        <v>38.256211</v>
      </c>
      <c r="F17" s="138">
        <f t="shared" ca="1" si="1"/>
        <v>8.3065131162974905E-3</v>
      </c>
      <c r="G17" s="139" t="s">
        <v>283</v>
      </c>
      <c r="H17" s="135"/>
      <c r="I17" s="140" t="str">
        <f t="shared" si="0"/>
        <v/>
      </c>
      <c r="J17" s="2"/>
      <c r="K17" s="132" t="s">
        <v>293</v>
      </c>
      <c r="L17" s="131"/>
    </row>
    <row r="18" spans="1:12" ht="13.15">
      <c r="A18" s="155"/>
      <c r="B18" s="14" t="s">
        <v>154</v>
      </c>
      <c r="C18" s="141">
        <f>SUM(C7:C17)</f>
        <v>58682.968000000001</v>
      </c>
      <c r="D18" s="237">
        <f t="shared" ref="D18:E18" ca="1" si="2">SUM(D7:D17)</f>
        <v>378.11777290640225</v>
      </c>
      <c r="E18" s="142">
        <f t="shared" ca="1" si="2"/>
        <v>378.11777290640225</v>
      </c>
      <c r="F18" s="138"/>
      <c r="G18" s="139"/>
      <c r="H18" s="136"/>
      <c r="I18" s="142">
        <f ca="1">SUM(I7:I17)</f>
        <v>36.917561906402227</v>
      </c>
      <c r="J18" s="2"/>
      <c r="K18" s="134"/>
    </row>
    <row r="20" spans="1:12">
      <c r="F20" s="60"/>
    </row>
  </sheetData>
  <mergeCells count="1">
    <mergeCell ref="A4:L4"/>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58A6FFC5-B66E-455E-ADD3-4BF65F6D9C88}">
          <x14:formula1>
            <xm:f>'DROPDOWN LISTS'!$F$5:$F$7</xm:f>
          </x14:formula1>
          <xm:sqref>G7:G18</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D8A8A-C222-4C03-9D01-FA443CED9B5D}">
  <sheetPr>
    <tabColor theme="0" tint="-0.14999847407452621"/>
  </sheetPr>
  <dimension ref="A1:X41"/>
  <sheetViews>
    <sheetView showGridLines="0" zoomScale="80" zoomScaleNormal="80" workbookViewId="0"/>
  </sheetViews>
  <sheetFormatPr defaultRowHeight="12.75" customHeight="1"/>
  <cols>
    <col min="2" max="2" width="11.42578125" customWidth="1"/>
    <col min="3" max="3" width="25.28515625" customWidth="1"/>
    <col min="4" max="4" width="11.42578125" customWidth="1"/>
    <col min="5" max="18" width="13.140625" customWidth="1"/>
    <col min="19" max="19" width="14.42578125" bestFit="1" customWidth="1"/>
    <col min="20" max="20" width="11.7109375" bestFit="1" customWidth="1"/>
    <col min="21" max="21" width="64.42578125" customWidth="1"/>
    <col min="22" max="22" width="9.85546875" customWidth="1"/>
  </cols>
  <sheetData>
    <row r="1" spans="1:24" ht="30.75">
      <c r="A1" s="1" t="e">
        <f ca="1" xml:space="preserve"> RIGHT(CELL("filename", $A$1), LEN(CELL("filename", $A$1)) - SEARCH("]", CELL("filename", $A$1)))</f>
        <v>#VALUE!</v>
      </c>
      <c r="B1" s="1"/>
      <c r="C1" s="1"/>
      <c r="D1" s="1"/>
      <c r="E1" s="1"/>
      <c r="F1" s="1"/>
      <c r="G1" s="1"/>
      <c r="H1" s="1"/>
      <c r="I1" s="1"/>
      <c r="J1" s="1"/>
      <c r="K1" s="1"/>
      <c r="L1" s="1"/>
      <c r="M1" s="1"/>
      <c r="N1" s="1"/>
      <c r="O1" s="1"/>
      <c r="P1" s="1"/>
      <c r="Q1" s="1"/>
      <c r="R1" s="1"/>
      <c r="S1" s="1"/>
      <c r="T1" s="1"/>
      <c r="U1" s="1"/>
      <c r="V1" s="1"/>
    </row>
    <row r="2" spans="1:24"/>
    <row r="3" spans="1:24"/>
    <row r="4" spans="1:24" ht="12.75" customHeight="1" thickBot="1">
      <c r="A4" s="2"/>
      <c r="B4" s="2"/>
      <c r="E4" s="349" t="s">
        <v>294</v>
      </c>
      <c r="F4" s="349"/>
      <c r="G4" s="349"/>
      <c r="H4" s="349"/>
      <c r="I4" s="349"/>
      <c r="J4" s="349"/>
      <c r="K4" s="349"/>
      <c r="L4" s="349"/>
      <c r="M4" s="349"/>
      <c r="N4" s="349"/>
      <c r="O4" s="349"/>
      <c r="P4" s="349"/>
      <c r="Q4" s="350"/>
      <c r="R4" s="350"/>
      <c r="S4" s="312"/>
      <c r="T4" s="2"/>
    </row>
    <row r="5" spans="1:24" ht="28.35" customHeight="1" thickBot="1">
      <c r="A5" s="2"/>
      <c r="B5" s="2"/>
      <c r="C5" s="351" t="s">
        <v>295</v>
      </c>
      <c r="D5" s="352"/>
      <c r="E5" s="353" t="s">
        <v>257</v>
      </c>
      <c r="F5" s="354"/>
      <c r="G5" s="354"/>
      <c r="H5" s="355" t="s">
        <v>259</v>
      </c>
      <c r="I5" s="354"/>
      <c r="J5" s="354"/>
      <c r="K5" s="355" t="s">
        <v>260</v>
      </c>
      <c r="L5" s="354"/>
      <c r="M5" s="354"/>
      <c r="N5" s="355" t="s">
        <v>261</v>
      </c>
      <c r="O5" s="354"/>
      <c r="P5" s="354"/>
      <c r="Q5" s="356" t="s">
        <v>262</v>
      </c>
      <c r="R5" s="357"/>
      <c r="T5" s="2"/>
    </row>
    <row r="6" spans="1:24" ht="39.4">
      <c r="A6" s="325" t="s">
        <v>148</v>
      </c>
      <c r="B6" s="326" t="s">
        <v>276</v>
      </c>
      <c r="C6" s="326" t="s">
        <v>150</v>
      </c>
      <c r="D6" s="326" t="s">
        <v>296</v>
      </c>
      <c r="E6" s="320" t="s">
        <v>255</v>
      </c>
      <c r="F6" s="321" t="s">
        <v>297</v>
      </c>
      <c r="G6" s="322" t="s">
        <v>298</v>
      </c>
      <c r="H6" s="320" t="s">
        <v>255</v>
      </c>
      <c r="I6" s="321" t="s">
        <v>297</v>
      </c>
      <c r="J6" s="323" t="s">
        <v>299</v>
      </c>
      <c r="K6" s="320" t="s">
        <v>255</v>
      </c>
      <c r="L6" s="321" t="s">
        <v>297</v>
      </c>
      <c r="M6" s="323" t="s">
        <v>300</v>
      </c>
      <c r="N6" s="320" t="s">
        <v>255</v>
      </c>
      <c r="O6" s="321" t="s">
        <v>297</v>
      </c>
      <c r="P6" s="322" t="s">
        <v>300</v>
      </c>
      <c r="Q6" s="324" t="s">
        <v>255</v>
      </c>
      <c r="R6" s="323" t="s">
        <v>297</v>
      </c>
      <c r="S6" s="327" t="s">
        <v>301</v>
      </c>
      <c r="T6" s="328" t="s">
        <v>302</v>
      </c>
      <c r="U6" s="328" t="s">
        <v>303</v>
      </c>
    </row>
    <row r="7" spans="1:24" ht="39.4">
      <c r="A7" s="119" t="s">
        <v>82</v>
      </c>
      <c r="B7" s="120">
        <f>INDEX('Materiality &amp; shallow dive'!C$7:C$17,MATCH(A7,'Materiality &amp; shallow dive'!B$7:B$17,0))</f>
        <v>6050.1790000000001</v>
      </c>
      <c r="C7" s="120">
        <f ca="1">INDEX('Materiality &amp; shallow dive'!E$7:E$17,MATCH(A7,'Materiality &amp; shallow dive'!B$7:B$17,0))</f>
        <v>48.026999999999994</v>
      </c>
      <c r="D7" s="121">
        <f ca="1">C7/B7</f>
        <v>7.9381122442823589E-3</v>
      </c>
      <c r="E7" s="148" cm="1">
        <f t="array" ref="E7">INDEX(QueryResponse_SchemeBreakdown!$D$4:$I$69,MATCH($A7&amp;$E$5,QueryResponse_SchemeBreakdown!$B$4:$B$69&amp;QueryResponse_SchemeBreakdown!$C$4:$C$69,0),MATCH(E$6,QueryResponse_SchemeBreakdown!$D$3:$I$3,0))</f>
        <v>920</v>
      </c>
      <c r="F7" s="145" cm="1">
        <f t="array" ref="F7">INDEX(QueryResponse_SchemeBreakdown!$D$4:$I$69,MATCH($A7&amp;$E$5,QueryResponse_SchemeBreakdown!$B$4:$B$69&amp;QueryResponse_SchemeBreakdown!$C$4:$C$69,0),MATCH(F$6,QueryResponse_SchemeBreakdown!$D$3:$I$3,0))</f>
        <v>14.634</v>
      </c>
      <c r="G7" s="149">
        <f>IFERROR(F7/E7,"-")</f>
        <v>1.5906521739130434E-2</v>
      </c>
      <c r="H7" s="122" cm="1">
        <f t="array" ref="H7">INDEX(QueryResponse_SchemeBreakdown!$D$4:$I$69,MATCH($A7&amp;$H$5,QueryResponse_SchemeBreakdown!$B$4:$B$69&amp;QueryResponse_SchemeBreakdown!$C$4:$C$69,0),MATCH(H$6,QueryResponse_SchemeBreakdown!$D$3:$I$3,0))</f>
        <v>0</v>
      </c>
      <c r="I7" s="145" cm="1">
        <f t="array" ref="I7">INDEX(QueryResponse_SchemeBreakdown!$D$4:$I$69,MATCH($A7&amp;$H$5,QueryResponse_SchemeBreakdown!$B$4:$B$69&amp;QueryResponse_SchemeBreakdown!$C$4:$C$69,0),MATCH(I$6,QueryResponse_SchemeBreakdown!$D$3:$I$3,0))</f>
        <v>0</v>
      </c>
      <c r="J7" s="123" t="str">
        <f>IFERROR(I7/H7,"-")</f>
        <v>-</v>
      </c>
      <c r="K7" s="148" cm="1">
        <f t="array" ref="K7">INDEX(QueryResponse_SchemeBreakdown!$D$4:$I$69,MATCH($A7&amp;$K$5,QueryResponse_SchemeBreakdown!$B$4:$B$69&amp;QueryResponse_SchemeBreakdown!$C$4:$C$69,0),MATCH(K$6,QueryResponse_SchemeBreakdown!$D$3:$I$3,0))</f>
        <v>0</v>
      </c>
      <c r="L7" s="145" cm="1">
        <f t="array" ref="L7">INDEX(QueryResponse_SchemeBreakdown!$D$4:$I$69,MATCH($A7&amp;$K$5,QueryResponse_SchemeBreakdown!$B$4:$B$69&amp;QueryResponse_SchemeBreakdown!$C$4:$C$69,0),MATCH(L$6,QueryResponse_SchemeBreakdown!$D$3:$I$3,0))</f>
        <v>0</v>
      </c>
      <c r="M7" s="239" t="str">
        <f t="shared" ref="M7:M17" si="0">IFERROR(L7/MAX(K7:K7),"-")</f>
        <v>-</v>
      </c>
      <c r="N7" s="148" cm="1">
        <f t="array" ref="N7">INDEX(QueryResponse_SchemeBreakdown!$D$4:$I$69,MATCH($A7&amp;$N$5,QueryResponse_SchemeBreakdown!$B$4:$B$69&amp;QueryResponse_SchemeBreakdown!$C$4:$C$69,0),MATCH(N$6,QueryResponse_SchemeBreakdown!$D$3:$I$3,0))</f>
        <v>499</v>
      </c>
      <c r="O7" s="145" cm="1">
        <f t="array" ref="O7">INDEX(QueryResponse_SchemeBreakdown!$D$4:$I$69,MATCH($A7&amp;$N$5,QueryResponse_SchemeBreakdown!$B$4:$B$69&amp;QueryResponse_SchemeBreakdown!$C$4:$C$69,0),MATCH(O$6,QueryResponse_SchemeBreakdown!$D$3:$I$3,0))</f>
        <v>33.392000000000003</v>
      </c>
      <c r="P7" s="154">
        <f t="shared" ref="P7:P17" si="1">IFERROR(O7/MAX(N7:N7),"-")</f>
        <v>6.6917835671342685E-2</v>
      </c>
      <c r="Q7" s="122" cm="1">
        <f t="array" ref="Q7">INDEX(QueryResponse_SchemeBreakdown!$D$4:$I$69,MATCH($A7&amp;$Q$5,QueryResponse_SchemeBreakdown!$B$4:$B$69&amp;QueryResponse_SchemeBreakdown!$C$4:$C$69,0),MATCH(Q$6,QueryResponse_SchemeBreakdown!$D$3:$I$3,0))</f>
        <v>0</v>
      </c>
      <c r="R7" s="239" cm="1">
        <f t="array" ref="R7">INDEX(QueryResponse_SchemeBreakdown!$D$4:$I$69,MATCH($A7&amp;$Q$5,QueryResponse_SchemeBreakdown!$B$4:$B$69&amp;QueryResponse_SchemeBreakdown!$C$4:$C$69,0),MATCH(R$6,QueryResponse_SchemeBreakdown!$D$3:$I$3,0))</f>
        <v>0</v>
      </c>
      <c r="S7" s="253">
        <f>SUM(E7+H7+K7+N7+Q7)</f>
        <v>1419</v>
      </c>
      <c r="T7" s="257">
        <f>(E7*$G$18)+(H7*$J$18)+(K7*$M$18)+(N7*$P$18)+R7</f>
        <v>62.035406944444446</v>
      </c>
      <c r="U7" s="254" t="str">
        <f>_xlfn.XLOOKUP(A7,'Materiality &amp; shallow dive'!B$7:B$17,'Materiality &amp; shallow dive'!K$7:K$17)</f>
        <v xml:space="preserve">Material (&gt;0.5% of WW totex &amp; &gt;£10m). Slightly above indicative unit cost benchmark for event duration monitors sub-category and level of investment not aligned with the August 2024 regulatory steer on delivery from Defra. </v>
      </c>
    </row>
    <row r="8" spans="1:24" ht="26.25">
      <c r="A8" s="119" t="s">
        <v>106</v>
      </c>
      <c r="B8" s="120">
        <f>INDEX('Materiality &amp; shallow dive'!C$7:C$17,MATCH(A8,'Materiality &amp; shallow dive'!B$7:B$17,0))</f>
        <v>3318.1689999999999</v>
      </c>
      <c r="C8" s="120">
        <f ca="1">INDEX('Materiality &amp; shallow dive'!E$7:E$17,MATCH(A8,'Materiality &amp; shallow dive'!B$7:B$17,0))</f>
        <v>21.192</v>
      </c>
      <c r="D8" s="121">
        <f t="shared" ref="D8:D17" ca="1" si="2">C8/B8</f>
        <v>6.3866548087213159E-3</v>
      </c>
      <c r="E8" s="148" cm="1">
        <f t="array" ref="E8">INDEX(QueryResponse_SchemeBreakdown!$D$4:$I$69,MATCH($A8&amp;$E$5,QueryResponse_SchemeBreakdown!$B$4:$B$69&amp;QueryResponse_SchemeBreakdown!$C$4:$C$69,0),MATCH($E$6,QueryResponse_SchemeBreakdown!$D$3:$I$3,0))</f>
        <v>806</v>
      </c>
      <c r="F8" s="145" cm="1">
        <f t="array" ref="F8">INDEX(QueryResponse_SchemeBreakdown!$D$4:$I$69,MATCH($A8&amp;$E$5,QueryResponse_SchemeBreakdown!$B$4:$B$69&amp;QueryResponse_SchemeBreakdown!$C$4:$C$69,0),MATCH(F$6,QueryResponse_SchemeBreakdown!$D$3:$I$3,0))</f>
        <v>20.562000000000001</v>
      </c>
      <c r="G8" s="150">
        <f t="shared" ref="G8:G17" si="3">IFERROR(F8/E8,"-")</f>
        <v>2.5511166253101739E-2</v>
      </c>
      <c r="H8" s="122" cm="1">
        <f t="array" ref="H8">INDEX(QueryResponse_SchemeBreakdown!$D$4:$I$69,MATCH($A8&amp;$H$5,QueryResponse_SchemeBreakdown!$B$4:$B$69&amp;QueryResponse_SchemeBreakdown!$C$4:$C$69,0),MATCH(H$6,QueryResponse_SchemeBreakdown!$D$3:$I$3,0))</f>
        <v>0</v>
      </c>
      <c r="I8" s="145" cm="1">
        <f t="array" ref="I8">INDEX(QueryResponse_SchemeBreakdown!$D$4:$I$69,MATCH($A8&amp;$H$5,QueryResponse_SchemeBreakdown!$B$4:$B$69&amp;QueryResponse_SchemeBreakdown!$C$4:$C$69,0),MATCH(I$6,QueryResponse_SchemeBreakdown!$D$3:$I$3,0))</f>
        <v>0</v>
      </c>
      <c r="J8" s="124" t="str">
        <f t="shared" ref="J8:J9" si="4">IFERROR(I8/H8,"-")</f>
        <v>-</v>
      </c>
      <c r="K8" s="148" cm="1">
        <f t="array" ref="K8">INDEX(QueryResponse_SchemeBreakdown!$D$4:$I$69,MATCH($A8&amp;$K$5,QueryResponse_SchemeBreakdown!$B$4:$B$69&amp;QueryResponse_SchemeBreakdown!$C$4:$C$69,0),MATCH(K$6,QueryResponse_SchemeBreakdown!$D$3:$I$3,0))</f>
        <v>1</v>
      </c>
      <c r="L8" s="145" cm="1">
        <f t="array" ref="L8">INDEX(QueryResponse_SchemeBreakdown!$D$4:$I$69,MATCH($A8&amp;$K$5,QueryResponse_SchemeBreakdown!$B$4:$B$69&amp;QueryResponse_SchemeBreakdown!$C$4:$C$69,0),MATCH(L$6,QueryResponse_SchemeBreakdown!$D$3:$I$3,0))</f>
        <v>6.7000000000000004E-2</v>
      </c>
      <c r="M8" s="239">
        <f t="shared" si="0"/>
        <v>6.7000000000000004E-2</v>
      </c>
      <c r="N8" s="148" cm="1">
        <f t="array" ref="N8">INDEX(QueryResponse_SchemeBreakdown!$D$4:$I$69,MATCH($A8&amp;$N$5,QueryResponse_SchemeBreakdown!$B$4:$B$69&amp;QueryResponse_SchemeBreakdown!$C$4:$C$69,0),MATCH(N$6,QueryResponse_SchemeBreakdown!$D$3:$I$3,0))</f>
        <v>6</v>
      </c>
      <c r="O8" s="145" cm="1">
        <f t="array" ref="O8">INDEX(QueryResponse_SchemeBreakdown!$D$4:$I$69,MATCH($A8&amp;$N$5,QueryResponse_SchemeBreakdown!$B$4:$B$69&amp;QueryResponse_SchemeBreakdown!$C$4:$C$69,0),MATCH(O$6,QueryResponse_SchemeBreakdown!$D$3:$I$3,0))</f>
        <v>0.56200000000000006</v>
      </c>
      <c r="P8" s="154">
        <f t="shared" si="1"/>
        <v>9.3666666666666676E-2</v>
      </c>
      <c r="Q8" s="122" cm="1">
        <f t="array" ref="Q8">INDEX(QueryResponse_SchemeBreakdown!$D$4:$I$69,MATCH($A8&amp;$Q$5,QueryResponse_SchemeBreakdown!$B$4:$B$69&amp;QueryResponse_SchemeBreakdown!$C$4:$C$69,0),MATCH(Q$6,QueryResponse_SchemeBreakdown!$D$3:$I$3,0))</f>
        <v>0</v>
      </c>
      <c r="R8" s="239" cm="1">
        <f t="array" ref="R8">INDEX(QueryResponse_SchemeBreakdown!$D$4:$I$69,MATCH($A8&amp;$Q$5,QueryResponse_SchemeBreakdown!$B$4:$B$69&amp;QueryResponse_SchemeBreakdown!$C$4:$C$69,0),MATCH(R$6,QueryResponse_SchemeBreakdown!$D$3:$I$3,0))</f>
        <v>0</v>
      </c>
      <c r="S8" s="253">
        <f t="shared" ref="S8:S17" si="5">SUM(E8+H8+K8+N8+Q8)</f>
        <v>813</v>
      </c>
      <c r="T8" s="258">
        <f>(E8*$G$18)+(H8*$J$18)+(K8*$M$18)+(N8*$P$18)+R8</f>
        <v>13.113178657694963</v>
      </c>
      <c r="U8" s="255" t="str">
        <f>_xlfn.XLOOKUP(A8,'Materiality &amp; shallow dive'!B$7:B$17,'Materiality &amp; shallow dive'!K$7:K$17)</f>
        <v>Material (&gt;0.5% of WW totex &amp; &gt;£10m) and above indicative unit cost benchmark for 1 sub-category - deep dive</v>
      </c>
      <c r="V8" s="235"/>
    </row>
    <row r="9" spans="1:24" ht="26.25">
      <c r="A9" s="119" t="s">
        <v>107</v>
      </c>
      <c r="B9" s="120">
        <f>INDEX('Materiality &amp; shallow dive'!C$7:C$17,MATCH(A9,'Materiality &amp; shallow dive'!B$7:B$17,0))</f>
        <v>61.302999999999997</v>
      </c>
      <c r="C9" s="120">
        <f ca="1">INDEX('Materiality &amp; shallow dive'!E$7:E$17,MATCH(A9,'Materiality &amp; shallow dive'!B$7:B$17,0))</f>
        <v>0.56600000000000006</v>
      </c>
      <c r="D9" s="121">
        <f t="shared" ca="1" si="2"/>
        <v>9.2328271047093964E-3</v>
      </c>
      <c r="E9" s="148" cm="1">
        <f t="array" ref="E9">INDEX(QueryResponse_SchemeBreakdown!$D$4:$I$69,MATCH($A9&amp;$E$5,QueryResponse_SchemeBreakdown!$B$4:$B$69&amp;QueryResponse_SchemeBreakdown!$C$4:$C$69,0),MATCH($E$6,QueryResponse_SchemeBreakdown!$D$3:$I$3,0))</f>
        <v>6</v>
      </c>
      <c r="F9" s="145" cm="1">
        <f t="array" ref="F9">INDEX(QueryResponse_SchemeBreakdown!$D$4:$I$69,MATCH($A9&amp;$E$5,QueryResponse_SchemeBreakdown!$B$4:$B$69&amp;QueryResponse_SchemeBreakdown!$C$4:$C$69,0),MATCH(F$6,QueryResponse_SchemeBreakdown!$D$3:$I$3,0))</f>
        <v>4.8000000000000001E-2</v>
      </c>
      <c r="G9" s="150">
        <f t="shared" si="3"/>
        <v>8.0000000000000002E-3</v>
      </c>
      <c r="H9" s="122" cm="1">
        <f t="array" ref="H9">INDEX(QueryResponse_SchemeBreakdown!$D$4:$I$69,MATCH($A9&amp;$H$5,QueryResponse_SchemeBreakdown!$B$4:$B$69&amp;QueryResponse_SchemeBreakdown!$C$4:$C$69,0),MATCH(H$6,QueryResponse_SchemeBreakdown!$D$3:$I$3,0))</f>
        <v>0</v>
      </c>
      <c r="I9" s="145" cm="1">
        <f t="array" ref="I9">INDEX(QueryResponse_SchemeBreakdown!$D$4:$I$69,MATCH($A9&amp;$H$5,QueryResponse_SchemeBreakdown!$B$4:$B$69&amp;QueryResponse_SchemeBreakdown!$C$4:$C$69,0),MATCH(I$6,QueryResponse_SchemeBreakdown!$D$3:$I$3,0))</f>
        <v>0</v>
      </c>
      <c r="J9" s="124" t="str">
        <f t="shared" si="4"/>
        <v>-</v>
      </c>
      <c r="K9" s="148" cm="1">
        <f t="array" ref="K9">INDEX(QueryResponse_SchemeBreakdown!$D$4:$I$69,MATCH($A9&amp;$K$5,QueryResponse_SchemeBreakdown!$B$4:$B$69&amp;QueryResponse_SchemeBreakdown!$C$4:$C$69,0),MATCH(K$6,QueryResponse_SchemeBreakdown!$D$3:$I$3,0))</f>
        <v>0</v>
      </c>
      <c r="L9" s="145" cm="1">
        <f t="array" ref="L9">INDEX(QueryResponse_SchemeBreakdown!$D$4:$I$69,MATCH($A9&amp;$K$5,QueryResponse_SchemeBreakdown!$B$4:$B$69&amp;QueryResponse_SchemeBreakdown!$C$4:$C$69,0),MATCH(L$6,QueryResponse_SchemeBreakdown!$D$3:$I$3,0))</f>
        <v>0</v>
      </c>
      <c r="M9" s="239" t="str">
        <f t="shared" si="0"/>
        <v>-</v>
      </c>
      <c r="N9" s="148" cm="1">
        <f t="array" ref="N9">INDEX(QueryResponse_SchemeBreakdown!$D$4:$I$69,MATCH($A9&amp;$N$5,QueryResponse_SchemeBreakdown!$B$4:$B$69&amp;QueryResponse_SchemeBreakdown!$C$4:$C$69,0),MATCH(N$6,QueryResponse_SchemeBreakdown!$D$3:$I$3,0))</f>
        <v>7</v>
      </c>
      <c r="O9" s="145" cm="1">
        <f t="array" ref="O9">INDEX(QueryResponse_SchemeBreakdown!$D$4:$I$69,MATCH($A9&amp;$N$5,QueryResponse_SchemeBreakdown!$B$4:$B$69&amp;QueryResponse_SchemeBreakdown!$C$4:$C$69,0),MATCH(O$6,QueryResponse_SchemeBreakdown!$D$3:$I$3,0))</f>
        <v>0.51900000000000002</v>
      </c>
      <c r="P9" s="154">
        <f t="shared" si="1"/>
        <v>7.4142857142857149E-2</v>
      </c>
      <c r="Q9" s="122" cm="1">
        <f t="array" ref="Q9">INDEX(QueryResponse_SchemeBreakdown!$D$4:$I$69,MATCH($A9&amp;$Q$5,QueryResponse_SchemeBreakdown!$B$4:$B$69&amp;QueryResponse_SchemeBreakdown!$C$4:$C$69,0),MATCH(Q$6,QueryResponse_SchemeBreakdown!$D$3:$I$3,0))</f>
        <v>0</v>
      </c>
      <c r="R9" s="239" cm="1">
        <f t="array" ref="R9">INDEX(QueryResponse_SchemeBreakdown!$D$4:$I$69,MATCH($A9&amp;$Q$5,QueryResponse_SchemeBreakdown!$B$4:$B$69&amp;QueryResponse_SchemeBreakdown!$C$4:$C$69,0),MATCH(R$6,QueryResponse_SchemeBreakdown!$D$3:$I$3,0))</f>
        <v>0</v>
      </c>
      <c r="S9" s="253">
        <f t="shared" si="5"/>
        <v>13</v>
      </c>
      <c r="T9" s="258">
        <f t="shared" ref="T9:T16" si="6">(E9*$G$18)+(H9*$J$18)+(K9*$M$18)+(N9*$P$18)+R9</f>
        <v>0.76336539855072461</v>
      </c>
      <c r="U9" s="255" t="str">
        <f>_xlfn.XLOOKUP(A9,'Materiality &amp; shallow dive'!B$7:B$17,'Materiality &amp; shallow dive'!K$7:K$17)</f>
        <v>Below £10m materiality threshold and below indicative unit cost benchmark - shallow dive</v>
      </c>
    </row>
    <row r="10" spans="1:24" ht="26.25">
      <c r="A10" s="119" t="s">
        <v>108</v>
      </c>
      <c r="B10" s="120">
        <f>INDEX('Materiality &amp; shallow dive'!C$7:C$17,MATCH(A10,'Materiality &amp; shallow dive'!B$7:B$17,0))</f>
        <v>3207.9270000000001</v>
      </c>
      <c r="C10" s="120">
        <f ca="1">INDEX('Materiality &amp; shallow dive'!E$7:E$17,MATCH(A10,'Materiality &amp; shallow dive'!B$7:B$17,0))</f>
        <v>39.082000000000008</v>
      </c>
      <c r="D10" s="121">
        <f t="shared" ca="1" si="2"/>
        <v>1.2182945559546712E-2</v>
      </c>
      <c r="E10" s="148" cm="1">
        <f t="array" ref="E10">INDEX(QueryResponse_SchemeBreakdown!$D$4:$I$69,MATCH($A10&amp;$E$5,QueryResponse_SchemeBreakdown!$B$4:$B$69&amp;QueryResponse_SchemeBreakdown!$C$4:$C$69,0),MATCH($E$6,QueryResponse_SchemeBreakdown!$D$3:$I$3,0))</f>
        <v>0</v>
      </c>
      <c r="F10" s="145" cm="1">
        <f t="array" ref="F10">INDEX(QueryResponse_SchemeBreakdown!$D$4:$I$69,MATCH($A10&amp;$E$5,QueryResponse_SchemeBreakdown!$B$4:$B$69&amp;QueryResponse_SchemeBreakdown!$C$4:$C$69,0),MATCH(F$6,QueryResponse_SchemeBreakdown!$D$3:$I$3,0))</f>
        <v>0</v>
      </c>
      <c r="G10" s="150" t="str">
        <f t="shared" si="3"/>
        <v>-</v>
      </c>
      <c r="H10" s="122" cm="1">
        <f t="array" ref="H10">INDEX(QueryResponse_SchemeBreakdown!$D$4:$I$69,MATCH($A10&amp;$H$5,QueryResponse_SchemeBreakdown!$B$4:$B$69&amp;QueryResponse_SchemeBreakdown!$C$4:$C$69,0),MATCH(H$6,QueryResponse_SchemeBreakdown!$D$3:$I$3,0))</f>
        <v>158</v>
      </c>
      <c r="I10" s="145" cm="1">
        <f t="array" ref="I10">INDEX(QueryResponse_SchemeBreakdown!$D$4:$I$69,MATCH($A10&amp;$H$5,QueryResponse_SchemeBreakdown!$B$4:$B$69&amp;QueryResponse_SchemeBreakdown!$C$4:$C$69,0),MATCH(I$6,QueryResponse_SchemeBreakdown!$D$3:$I$3,0))</f>
        <v>12.795</v>
      </c>
      <c r="J10" s="124">
        <f>IFERROR(I10/H10,"-")</f>
        <v>8.0981012658227852E-2</v>
      </c>
      <c r="K10" s="148" cm="1">
        <f t="array" ref="K10">INDEX(QueryResponse_SchemeBreakdown!$D$4:$I$69,MATCH($A10&amp;$K$5,QueryResponse_SchemeBreakdown!$B$4:$B$69&amp;QueryResponse_SchemeBreakdown!$C$4:$C$69,0),MATCH(K$6,QueryResponse_SchemeBreakdown!$D$3:$I$3,0))</f>
        <v>0</v>
      </c>
      <c r="L10" s="145" cm="1">
        <f t="array" ref="L10">INDEX(QueryResponse_SchemeBreakdown!$D$4:$I$69,MATCH($A10&amp;$K$5,QueryResponse_SchemeBreakdown!$B$4:$B$69&amp;QueryResponse_SchemeBreakdown!$C$4:$C$69,0),MATCH(L$6,QueryResponse_SchemeBreakdown!$D$3:$I$3,0))</f>
        <v>0</v>
      </c>
      <c r="M10" s="239" t="str">
        <f t="shared" si="0"/>
        <v>-</v>
      </c>
      <c r="N10" s="148" cm="1">
        <f t="array" ref="N10">INDEX(QueryResponse_SchemeBreakdown!$D$4:$I$69,MATCH($A10&amp;$N$5,QueryResponse_SchemeBreakdown!$B$4:$B$69&amp;QueryResponse_SchemeBreakdown!$C$4:$C$69,0),MATCH(N$6,QueryResponse_SchemeBreakdown!$D$3:$I$3,0))</f>
        <v>141</v>
      </c>
      <c r="O10" s="145" cm="1">
        <f t="array" ref="O10">INDEX(QueryResponse_SchemeBreakdown!$D$4:$I$69,MATCH($A10&amp;$N$5,QueryResponse_SchemeBreakdown!$B$4:$B$69&amp;QueryResponse_SchemeBreakdown!$C$4:$C$69,0),MATCH(O$6,QueryResponse_SchemeBreakdown!$D$3:$I$3,0))</f>
        <v>26.286999999999999</v>
      </c>
      <c r="P10" s="154">
        <f t="shared" si="1"/>
        <v>0.18643262411347516</v>
      </c>
      <c r="Q10" s="122" cm="1">
        <f t="array" ref="Q10">INDEX(QueryResponse_SchemeBreakdown!$D$4:$I$69,MATCH($A10&amp;$Q$5,QueryResponse_SchemeBreakdown!$B$4:$B$69&amp;QueryResponse_SchemeBreakdown!$C$4:$C$69,0),MATCH(Q$6,QueryResponse_SchemeBreakdown!$D$3:$I$3,0))</f>
        <v>0</v>
      </c>
      <c r="R10" s="239" cm="1">
        <f t="array" ref="R10">INDEX(QueryResponse_SchemeBreakdown!$D$4:$I$69,MATCH($A10&amp;$Q$5,QueryResponse_SchemeBreakdown!$B$4:$B$69&amp;QueryResponse_SchemeBreakdown!$C$4:$C$69,0),MATCH(R$6,QueryResponse_SchemeBreakdown!$D$3:$I$3,0))</f>
        <v>0</v>
      </c>
      <c r="S10" s="253">
        <f t="shared" si="5"/>
        <v>299</v>
      </c>
      <c r="T10" s="258">
        <f t="shared" si="6"/>
        <v>21.926222115384615</v>
      </c>
      <c r="U10" s="255" t="str">
        <f>_xlfn.XLOOKUP(A10,'Materiality &amp; shallow dive'!B$7:B$17,'Materiality &amp; shallow dive'!K$7:K$17)</f>
        <v>Material (&gt;0.5% of WW totex &amp; &gt;£10m) and above indicative unit cost benchmarks for 2 sub-categories - deep dive</v>
      </c>
      <c r="V10" s="235"/>
    </row>
    <row r="11" spans="1:24" ht="26.25">
      <c r="A11" s="119" t="s">
        <v>109</v>
      </c>
      <c r="B11" s="120">
        <f>INDEX('Materiality &amp; shallow dive'!C$7:C$17,MATCH(A11,'Materiality &amp; shallow dive'!B$7:B$17,0))</f>
        <v>8618.7119999999995</v>
      </c>
      <c r="C11" s="120">
        <f ca="1">INDEX('Materiality &amp; shallow dive'!E$7:E$17,MATCH(A11,'Materiality &amp; shallow dive'!B$7:B$17,0))</f>
        <v>26.253561906402226</v>
      </c>
      <c r="D11" s="121">
        <f t="shared" ca="1" si="2"/>
        <v>3.0461119836005923E-3</v>
      </c>
      <c r="E11" s="148" cm="1">
        <f t="array" ref="E11">INDEX(QueryResponse_SchemeBreakdown!$D$4:$I$69,MATCH($A11&amp;$E$5,QueryResponse_SchemeBreakdown!$B$4:$B$69&amp;QueryResponse_SchemeBreakdown!$C$4:$C$69,0),MATCH($E$6,QueryResponse_SchemeBreakdown!$D$3:$I$3,0))</f>
        <v>378</v>
      </c>
      <c r="F11" s="145" cm="1">
        <f t="array" ref="F11">INDEX(QueryResponse_SchemeBreakdown!$D$4:$I$69,MATCH($A11&amp;$E$5,QueryResponse_SchemeBreakdown!$B$4:$B$69&amp;QueryResponse_SchemeBreakdown!$C$4:$C$69,0),MATCH(F$6,QueryResponse_SchemeBreakdown!$D$3:$I$3,0))</f>
        <v>4.3949999999999996</v>
      </c>
      <c r="G11" s="150">
        <f t="shared" si="3"/>
        <v>1.1626984126984126E-2</v>
      </c>
      <c r="H11" s="122" cm="1">
        <f t="array" ref="H11">INDEX(QueryResponse_SchemeBreakdown!$D$4:$I$69,MATCH($A11&amp;$H$5,QueryResponse_SchemeBreakdown!$B$4:$B$69&amp;QueryResponse_SchemeBreakdown!$C$4:$C$69,0),MATCH(H$6,QueryResponse_SchemeBreakdown!$D$3:$I$3,0))</f>
        <v>13</v>
      </c>
      <c r="I11" s="145" cm="1">
        <f t="array" ref="I11">INDEX(QueryResponse_SchemeBreakdown!$D$4:$I$69,MATCH($A11&amp;$H$5,QueryResponse_SchemeBreakdown!$B$4:$B$69&amp;QueryResponse_SchemeBreakdown!$C$4:$C$69,0),MATCH(I$6,QueryResponse_SchemeBreakdown!$D$3:$I$3,0))</f>
        <v>0.79800000000000004</v>
      </c>
      <c r="J11" s="124">
        <f>IFERROR(I11/H11,"-")</f>
        <v>6.1384615384615385E-2</v>
      </c>
      <c r="K11" s="148" cm="1">
        <f t="array" ref="K11">INDEX(QueryResponse_SchemeBreakdown!$D$4:$I$69,MATCH($A11&amp;$K$5,QueryResponse_SchemeBreakdown!$B$4:$B$69&amp;QueryResponse_SchemeBreakdown!$C$4:$C$69,0),MATCH(K$6,QueryResponse_SchemeBreakdown!$D$3:$I$3,0))</f>
        <v>0</v>
      </c>
      <c r="L11" s="145" cm="1">
        <f t="array" ref="L11">INDEX(QueryResponse_SchemeBreakdown!$D$4:$I$69,MATCH($A11&amp;$K$5,QueryResponse_SchemeBreakdown!$B$4:$B$69&amp;QueryResponse_SchemeBreakdown!$C$4:$C$69,0),MATCH(L$6,QueryResponse_SchemeBreakdown!$D$3:$I$3,0))</f>
        <v>0</v>
      </c>
      <c r="M11" s="239" t="str">
        <f t="shared" si="0"/>
        <v>-</v>
      </c>
      <c r="N11" s="148" cm="1">
        <f t="array" ref="N11">INDEX(QueryResponse_SchemeBreakdown!$D$4:$I$69,MATCH($A11&amp;$N$5,QueryResponse_SchemeBreakdown!$B$4:$B$69&amp;QueryResponse_SchemeBreakdown!$C$4:$C$69,0),MATCH(N$6,QueryResponse_SchemeBreakdown!$D$3:$I$3,0))</f>
        <v>262</v>
      </c>
      <c r="O11" s="145" cm="1">
        <f t="array" ref="O11">INDEX(QueryResponse_SchemeBreakdown!$D$4:$I$69,MATCH($A11&amp;$N$5,QueryResponse_SchemeBreakdown!$B$4:$B$69&amp;QueryResponse_SchemeBreakdown!$C$4:$C$69,0),MATCH(O$6,QueryResponse_SchemeBreakdown!$D$3:$I$3,0))</f>
        <v>21.059000000000001</v>
      </c>
      <c r="P11" s="154">
        <f t="shared" si="1"/>
        <v>8.0377862595419847E-2</v>
      </c>
      <c r="Q11" s="122" cm="1">
        <f t="array" ref="Q11">INDEX(QueryResponse_SchemeBreakdown!$D$4:$I$69,MATCH($A11&amp;$Q$5,QueryResponse_SchemeBreakdown!$B$4:$B$69&amp;QueryResponse_SchemeBreakdown!$C$4:$C$69,0),MATCH(Q$6,QueryResponse_SchemeBreakdown!$D$3:$I$3,0))</f>
        <v>0</v>
      </c>
      <c r="R11" s="239" cm="1">
        <f t="array" ref="R11">INDEX(QueryResponse_SchemeBreakdown!$D$4:$I$69,MATCH($A11&amp;$Q$5,QueryResponse_SchemeBreakdown!$B$4:$B$69&amp;QueryResponse_SchemeBreakdown!$C$4:$C$69,0),MATCH(R$6,QueryResponse_SchemeBreakdown!$D$3:$I$3,0))</f>
        <v>0</v>
      </c>
      <c r="S11" s="253">
        <f t="shared" si="5"/>
        <v>653</v>
      </c>
      <c r="T11" s="258">
        <f t="shared" si="6"/>
        <v>31.638857608695652</v>
      </c>
      <c r="U11" s="255" t="str">
        <f>_xlfn.XLOOKUP(A11,'Materiality &amp; shallow dive'!B$7:B$17,'Materiality &amp; shallow dive'!K$7:K$17)</f>
        <v>Below 0.5% materiality threshold and below indicative unit cost benchmark - shallow dive</v>
      </c>
    </row>
    <row r="12" spans="1:24" ht="26.25">
      <c r="A12" s="119" t="s">
        <v>110</v>
      </c>
      <c r="B12" s="120">
        <f>INDEX('Materiality &amp; shallow dive'!C$7:C$17,MATCH(A12,'Materiality &amp; shallow dive'!B$7:B$17,0))</f>
        <v>2220.3789999999999</v>
      </c>
      <c r="C12" s="120">
        <f ca="1">INDEX('Materiality &amp; shallow dive'!E$7:E$17,MATCH(A12,'Materiality &amp; shallow dive'!B$7:B$17,0))</f>
        <v>10.199999999999999</v>
      </c>
      <c r="D12" s="121">
        <f t="shared" ca="1" si="2"/>
        <v>4.5938103359831808E-3</v>
      </c>
      <c r="E12" s="148" cm="1">
        <f t="array" ref="E12">INDEX(QueryResponse_SchemeBreakdown!$D$4:$I$69,MATCH($A12&amp;$E$5,QueryResponse_SchemeBreakdown!$B$4:$B$69&amp;QueryResponse_SchemeBreakdown!$C$4:$C$69,0),MATCH($E$6,QueryResponse_SchemeBreakdown!$D$3:$I$3,0))</f>
        <v>0</v>
      </c>
      <c r="F12" s="145" cm="1">
        <f t="array" ref="F12">INDEX(QueryResponse_SchemeBreakdown!$D$4:$I$69,MATCH($A12&amp;$E$5,QueryResponse_SchemeBreakdown!$B$4:$B$69&amp;QueryResponse_SchemeBreakdown!$C$4:$C$69,0),MATCH(F$6,QueryResponse_SchemeBreakdown!$D$3:$I$3,0))</f>
        <v>0.20899999999999999</v>
      </c>
      <c r="G12" s="150" t="str">
        <f t="shared" si="3"/>
        <v>-</v>
      </c>
      <c r="H12" s="122" cm="1">
        <f t="array" ref="H12">INDEX(QueryResponse_SchemeBreakdown!$D$4:$I$69,MATCH($A12&amp;$H$5,QueryResponse_SchemeBreakdown!$B$4:$B$69&amp;QueryResponse_SchemeBreakdown!$C$4:$C$69,0),MATCH(H$6,QueryResponse_SchemeBreakdown!$D$3:$I$3,0))</f>
        <v>8</v>
      </c>
      <c r="I12" s="145" cm="1">
        <f t="array" ref="I12">INDEX(QueryResponse_SchemeBreakdown!$D$4:$I$69,MATCH($A12&amp;$H$5,QueryResponse_SchemeBreakdown!$B$4:$B$69&amp;QueryResponse_SchemeBreakdown!$C$4:$C$69,0),MATCH(I$6,QueryResponse_SchemeBreakdown!$D$3:$I$3,0))</f>
        <v>0.24</v>
      </c>
      <c r="J12" s="124">
        <f t="shared" ref="J12:J17" si="7">IFERROR(I12/H12,"-")</f>
        <v>0.03</v>
      </c>
      <c r="K12" s="148" cm="1">
        <f t="array" ref="K12">INDEX(QueryResponse_SchemeBreakdown!$D$4:$I$69,MATCH($A12&amp;$K$5,QueryResponse_SchemeBreakdown!$B$4:$B$69&amp;QueryResponse_SchemeBreakdown!$C$4:$C$69,0),MATCH(K$6,QueryResponse_SchemeBreakdown!$D$3:$I$3,0))</f>
        <v>0</v>
      </c>
      <c r="L12" s="145" cm="1">
        <f t="array" ref="L12">INDEX(QueryResponse_SchemeBreakdown!$D$4:$I$69,MATCH($A12&amp;$K$5,QueryResponse_SchemeBreakdown!$B$4:$B$69&amp;QueryResponse_SchemeBreakdown!$C$4:$C$69,0),MATCH(L$6,QueryResponse_SchemeBreakdown!$D$3:$I$3,0))</f>
        <v>0.27800000000000002</v>
      </c>
      <c r="M12" s="239" t="str">
        <f t="shared" si="0"/>
        <v>-</v>
      </c>
      <c r="N12" s="148" cm="1">
        <f t="array" ref="N12">INDEX(QueryResponse_SchemeBreakdown!$D$4:$I$69,MATCH($A12&amp;$N$5,QueryResponse_SchemeBreakdown!$B$4:$B$69&amp;QueryResponse_SchemeBreakdown!$C$4:$C$69,0),MATCH(N$6,QueryResponse_SchemeBreakdown!$D$3:$I$3,0))</f>
        <v>185</v>
      </c>
      <c r="O12" s="145" cm="1">
        <f t="array" ref="O12">INDEX(QueryResponse_SchemeBreakdown!$D$4:$I$69,MATCH($A12&amp;$N$5,QueryResponse_SchemeBreakdown!$B$4:$B$69&amp;QueryResponse_SchemeBreakdown!$C$4:$C$69,0),MATCH(O$6,QueryResponse_SchemeBreakdown!$D$3:$I$3,0))</f>
        <v>9.2780000000000005</v>
      </c>
      <c r="P12" s="154">
        <f t="shared" si="1"/>
        <v>5.0151351351351355E-2</v>
      </c>
      <c r="Q12" s="122" cm="1">
        <f t="array" ref="Q12">INDEX(QueryResponse_SchemeBreakdown!$D$4:$I$69,MATCH($A12&amp;$Q$5,QueryResponse_SchemeBreakdown!$B$4:$B$69&amp;QueryResponse_SchemeBreakdown!$C$4:$C$69,0),MATCH(Q$6,QueryResponse_SchemeBreakdown!$D$3:$I$3,0))</f>
        <v>0</v>
      </c>
      <c r="R12" s="239" cm="1">
        <f t="array" ref="R12">INDEX(QueryResponse_SchemeBreakdown!$D$4:$I$69,MATCH($A12&amp;$Q$5,QueryResponse_SchemeBreakdown!$B$4:$B$69&amp;QueryResponse_SchemeBreakdown!$C$4:$C$69,0),MATCH(R$6,QueryResponse_SchemeBreakdown!$D$3:$I$3,0))</f>
        <v>0.19500000000000001</v>
      </c>
      <c r="S12" s="253">
        <f t="shared" si="5"/>
        <v>193</v>
      </c>
      <c r="T12" s="258">
        <f t="shared" si="6"/>
        <v>18.342025961538461</v>
      </c>
      <c r="U12" s="255" t="str">
        <f>_xlfn.XLOOKUP(A12,'Materiality &amp; shallow dive'!B$7:B$17,'Materiality &amp; shallow dive'!K$7:K$17)</f>
        <v>Below 0.5% materiality threshold and below indicative unit cost benchmark - shallow dive</v>
      </c>
    </row>
    <row r="13" spans="1:24" ht="39.4">
      <c r="A13" s="119" t="s">
        <v>111</v>
      </c>
      <c r="B13" s="120">
        <f>INDEX('Materiality &amp; shallow dive'!C$7:C$17,MATCH(A13,'Materiality &amp; shallow dive'!B$7:B$17,0))</f>
        <v>5114.1959999999999</v>
      </c>
      <c r="C13" s="120">
        <f ca="1">INDEX('Materiality &amp; shallow dive'!E$7:E$17,MATCH(A13,'Materiality &amp; shallow dive'!B$7:B$17,0))</f>
        <v>92.847000000000008</v>
      </c>
      <c r="D13" s="121">
        <f t="shared" ca="1" si="2"/>
        <v>1.815475980975309E-2</v>
      </c>
      <c r="E13" s="148" cm="1">
        <f t="array" ref="E13">INDEX(QueryResponse_SchemeBreakdown!$D$4:$I$69,MATCH($A13&amp;$E$5,QueryResponse_SchemeBreakdown!$B$4:$B$69&amp;QueryResponse_SchemeBreakdown!$C$4:$C$69,0),MATCH($E$6,QueryResponse_SchemeBreakdown!$D$3:$I$3,0))</f>
        <v>45</v>
      </c>
      <c r="F13" s="145" cm="1">
        <f t="array" ref="F13">INDEX(QueryResponse_SchemeBreakdown!$D$4:$I$69,MATCH($A13&amp;$E$5,QueryResponse_SchemeBreakdown!$B$4:$B$69&amp;QueryResponse_SchemeBreakdown!$C$4:$C$69,0),MATCH(F$6,QueryResponse_SchemeBreakdown!$D$3:$I$3,0))</f>
        <v>0.67700000000000005</v>
      </c>
      <c r="G13" s="150">
        <f t="shared" si="3"/>
        <v>1.5044444444444445E-2</v>
      </c>
      <c r="H13" s="122" cm="1">
        <f t="array" ref="H13">INDEX(QueryResponse_SchemeBreakdown!$D$4:$I$69,MATCH($A13&amp;$H$5,QueryResponse_SchemeBreakdown!$B$4:$B$69&amp;QueryResponse_SchemeBreakdown!$C$4:$C$69,0),MATCH(H$6,QueryResponse_SchemeBreakdown!$D$3:$I$3,0))</f>
        <v>15</v>
      </c>
      <c r="I13" s="145" cm="1">
        <f t="array" ref="I13">INDEX(QueryResponse_SchemeBreakdown!$D$4:$I$69,MATCH($A13&amp;$H$5,QueryResponse_SchemeBreakdown!$B$4:$B$69&amp;QueryResponse_SchemeBreakdown!$C$4:$C$69,0),MATCH(I$6,QueryResponse_SchemeBreakdown!$D$3:$I$3,0))</f>
        <v>0.67800000000000005</v>
      </c>
      <c r="J13" s="124">
        <f t="shared" si="7"/>
        <v>4.5200000000000004E-2</v>
      </c>
      <c r="K13" s="148" cm="1">
        <f t="array" ref="K13">INDEX(QueryResponse_SchemeBreakdown!$D$4:$I$69,MATCH($A13&amp;$K$5,QueryResponse_SchemeBreakdown!$B$4:$B$69&amp;QueryResponse_SchemeBreakdown!$C$4:$C$69,0),MATCH(K$6,QueryResponse_SchemeBreakdown!$D$3:$I$3,0))</f>
        <v>0</v>
      </c>
      <c r="L13" s="145" cm="1">
        <f t="array" ref="L13">INDEX(QueryResponse_SchemeBreakdown!$D$4:$I$69,MATCH($A13&amp;$K$5,QueryResponse_SchemeBreakdown!$B$4:$B$69&amp;QueryResponse_SchemeBreakdown!$C$4:$C$69,0),MATCH(L$6,QueryResponse_SchemeBreakdown!$D$3:$I$3,0))</f>
        <v>0</v>
      </c>
      <c r="M13" s="239" t="str">
        <f t="shared" si="0"/>
        <v>-</v>
      </c>
      <c r="N13" s="148" cm="1">
        <f t="array" ref="N13">INDEX(QueryResponse_SchemeBreakdown!$D$4:$I$69,MATCH($A13&amp;$N$5,QueryResponse_SchemeBreakdown!$B$4:$B$69&amp;QueryResponse_SchemeBreakdown!$C$4:$C$69,0),MATCH(N$6,QueryResponse_SchemeBreakdown!$D$3:$I$3,0))</f>
        <v>191</v>
      </c>
      <c r="O13" s="145" cm="1">
        <f t="array" ref="O13">INDEX(QueryResponse_SchemeBreakdown!$D$4:$I$69,MATCH($A13&amp;$N$5,QueryResponse_SchemeBreakdown!$B$4:$B$69&amp;QueryResponse_SchemeBreakdown!$C$4:$C$69,0),MATCH(O$6,QueryResponse_SchemeBreakdown!$D$3:$I$3,0))</f>
        <v>91.492000000000004</v>
      </c>
      <c r="P13" s="154">
        <f>IFERROR(O13/MAX(N13:N13),"-")</f>
        <v>0.47901570680628275</v>
      </c>
      <c r="Q13" s="122" cm="1">
        <f t="array" ref="Q13">INDEX(QueryResponse_SchemeBreakdown!$D$4:$I$69,MATCH($A13&amp;$Q$5,QueryResponse_SchemeBreakdown!$B$4:$B$69&amp;QueryResponse_SchemeBreakdown!$C$4:$C$69,0),MATCH(Q$6,QueryResponse_SchemeBreakdown!$D$3:$I$3,0))</f>
        <v>0</v>
      </c>
      <c r="R13" s="239" cm="1">
        <f t="array" ref="R13">INDEX(QueryResponse_SchemeBreakdown!$D$4:$I$69,MATCH($A13&amp;$Q$5,QueryResponse_SchemeBreakdown!$B$4:$B$69&amp;QueryResponse_SchemeBreakdown!$C$4:$C$69,0),MATCH(R$6,QueryResponse_SchemeBreakdown!$D$3:$I$3,0))</f>
        <v>0</v>
      </c>
      <c r="S13" s="253">
        <f t="shared" si="5"/>
        <v>251</v>
      </c>
      <c r="T13" s="258">
        <f>(E13*$G$18)+(H13*$J$18)+(K13*$M$18)+(N13*$P$18)+R13</f>
        <v>19.791193854515051</v>
      </c>
      <c r="U13" s="255" t="str">
        <f>_xlfn.XLOOKUP(A13,'Materiality &amp; shallow dive'!B$7:B$17,'Materiality &amp; shallow dive'!K$7:K$17)</f>
        <v>Material (&gt;0.5% of WW totex &amp; &gt;£10m) and above indicative unit cost benchmark for event duration monitors and pass forward flow monitors and civils sub-category - deep dive</v>
      </c>
      <c r="V13" s="235"/>
      <c r="X13" s="235"/>
    </row>
    <row r="14" spans="1:24" ht="25.9" customHeight="1">
      <c r="A14" s="119" t="s">
        <v>112</v>
      </c>
      <c r="B14" s="120">
        <f>INDEX('Materiality &amp; shallow dive'!C$7:C$17,MATCH(A14,'Materiality &amp; shallow dive'!B$7:B$17,0))</f>
        <v>12775.474</v>
      </c>
      <c r="C14" s="120">
        <f ca="1">INDEX('Materiality &amp; shallow dive'!E$7:E$17,MATCH(A14,'Materiality &amp; shallow dive'!B$7:B$17,0))</f>
        <v>11.788000000000002</v>
      </c>
      <c r="D14" s="121">
        <f t="shared" ca="1" si="2"/>
        <v>9.2270549022290698E-4</v>
      </c>
      <c r="E14" s="148" cm="1">
        <f t="array" ref="E14">INDEX(QueryResponse_SchemeBreakdown!$D$4:$I$69,MATCH($A14&amp;$E$5,QueryResponse_SchemeBreakdown!$B$4:$B$69&amp;QueryResponse_SchemeBreakdown!$C$4:$C$69,0),MATCH($E$6,QueryResponse_SchemeBreakdown!$D$3:$I$3,0))</f>
        <v>26</v>
      </c>
      <c r="F14" s="145" cm="1">
        <f t="array" ref="F14">INDEX(QueryResponse_SchemeBreakdown!$D$4:$I$69,MATCH($A14&amp;$E$5,QueryResponse_SchemeBreakdown!$B$4:$B$69&amp;QueryResponse_SchemeBreakdown!$C$4:$C$69,0),MATCH(F$6,QueryResponse_SchemeBreakdown!$D$3:$I$3,0))</f>
        <v>4.7160000000000002</v>
      </c>
      <c r="G14" s="150">
        <f>IFERROR(F14/E14,"-")</f>
        <v>0.18138461538461539</v>
      </c>
      <c r="H14" s="122" cm="1">
        <f t="array" ref="H14">INDEX(QueryResponse_SchemeBreakdown!$D$4:$I$69,MATCH($A14&amp;$H$5,QueryResponse_SchemeBreakdown!$B$4:$B$69&amp;QueryResponse_SchemeBreakdown!$C$4:$C$69,0),MATCH(H$6,QueryResponse_SchemeBreakdown!$D$3:$I$3,0))</f>
        <v>0</v>
      </c>
      <c r="I14" s="145" cm="1">
        <f t="array" ref="I14">INDEX(QueryResponse_SchemeBreakdown!$D$4:$I$69,MATCH($A14&amp;$H$5,QueryResponse_SchemeBreakdown!$B$4:$B$69&amp;QueryResponse_SchemeBreakdown!$C$4:$C$69,0),MATCH(I$6,QueryResponse_SchemeBreakdown!$D$3:$I$3,0))</f>
        <v>0</v>
      </c>
      <c r="J14" s="124" t="str">
        <f t="shared" si="7"/>
        <v>-</v>
      </c>
      <c r="K14" s="148" cm="1">
        <f t="array" ref="K14">INDEX(QueryResponse_SchemeBreakdown!$D$4:$I$69,MATCH($A14&amp;$K$5,QueryResponse_SchemeBreakdown!$B$4:$B$69&amp;QueryResponse_SchemeBreakdown!$C$4:$C$69,0),MATCH(K$6,QueryResponse_SchemeBreakdown!$D$3:$I$3,0))</f>
        <v>0</v>
      </c>
      <c r="L14" s="145" cm="1">
        <f t="array" ref="L14">INDEX(QueryResponse_SchemeBreakdown!$D$4:$I$69,MATCH($A14&amp;$K$5,QueryResponse_SchemeBreakdown!$B$4:$B$69&amp;QueryResponse_SchemeBreakdown!$C$4:$C$69,0),MATCH(L$6,QueryResponse_SchemeBreakdown!$D$3:$I$3,0))</f>
        <v>0</v>
      </c>
      <c r="M14" s="239" t="str">
        <f t="shared" si="0"/>
        <v>-</v>
      </c>
      <c r="N14" s="148" cm="1">
        <f t="array" ref="N14">INDEX(QueryResponse_SchemeBreakdown!$D$4:$I$69,MATCH($A14&amp;$N$5,QueryResponse_SchemeBreakdown!$B$4:$B$69&amp;QueryResponse_SchemeBreakdown!$C$4:$C$69,0),MATCH(N$6,QueryResponse_SchemeBreakdown!$D$3:$I$3,0))</f>
        <v>22</v>
      </c>
      <c r="O14" s="145" cm="1">
        <f t="array" ref="O14">INDEX(QueryResponse_SchemeBreakdown!$D$4:$I$69,MATCH($A14&amp;$N$5,QueryResponse_SchemeBreakdown!$B$4:$B$69&amp;QueryResponse_SchemeBreakdown!$C$4:$C$69,0),MATCH(O$6,QueryResponse_SchemeBreakdown!$D$3:$I$3,0))</f>
        <v>7.0720000000000001</v>
      </c>
      <c r="P14" s="154">
        <f t="shared" si="1"/>
        <v>0.32145454545454544</v>
      </c>
      <c r="Q14" s="122" cm="1">
        <f t="array" ref="Q14">INDEX(QueryResponse_SchemeBreakdown!$D$4:$I$69,MATCH($A14&amp;$Q$5,QueryResponse_SchemeBreakdown!$B$4:$B$69&amp;QueryResponse_SchemeBreakdown!$C$4:$C$69,0),MATCH(Q$6,QueryResponse_SchemeBreakdown!$D$3:$I$3,0))</f>
        <v>0</v>
      </c>
      <c r="R14" s="239" cm="1">
        <f t="array" ref="R14">INDEX(QueryResponse_SchemeBreakdown!$D$4:$I$69,MATCH($A14&amp;$Q$5,QueryResponse_SchemeBreakdown!$B$4:$B$69&amp;QueryResponse_SchemeBreakdown!$C$4:$C$69,0),MATCH(R$6,QueryResponse_SchemeBreakdown!$D$3:$I$3,0))</f>
        <v>0</v>
      </c>
      <c r="S14" s="253">
        <f t="shared" si="5"/>
        <v>48</v>
      </c>
      <c r="T14" s="258">
        <f>(E14*$G$18)+(H14*$J$18)+(K14*$M$18)+(N14*$P$18)+R14</f>
        <v>2.5096875603864732</v>
      </c>
      <c r="U14" s="255" t="str">
        <f>_xlfn.XLOOKUP(A14,'Materiality &amp; shallow dive'!B$7:B$17,'Materiality &amp; shallow dive'!K$7:K$17)</f>
        <v>Material (&lt;0.5% of WW totex &amp; &gt;£10m) and above indicative unit cost benchmark for two sub-categories - deep dive</v>
      </c>
      <c r="V14" s="235"/>
      <c r="W14" s="260"/>
      <c r="X14" s="235"/>
    </row>
    <row r="15" spans="1:24" ht="26.25">
      <c r="A15" s="119" t="s">
        <v>113</v>
      </c>
      <c r="B15" s="120">
        <f>INDEX('Materiality &amp; shallow dive'!C$7:C$17,MATCH(A15,'Materiality &amp; shallow dive'!B$7:B$17,0))</f>
        <v>8993.18</v>
      </c>
      <c r="C15" s="120">
        <f ca="1">INDEX('Materiality &amp; shallow dive'!E$7:E$17,MATCH(A15,'Materiality &amp; shallow dive'!B$7:B$17,0))</f>
        <v>69.930999999999997</v>
      </c>
      <c r="D15" s="121">
        <f t="shared" ca="1" si="2"/>
        <v>7.7760035938344383E-3</v>
      </c>
      <c r="E15" s="148" cm="1">
        <f t="array" ref="E15">INDEX(QueryResponse_SchemeBreakdown!$D$4:$I$69,MATCH($A15&amp;$E$5,QueryResponse_SchemeBreakdown!$B$4:$B$69&amp;QueryResponse_SchemeBreakdown!$C$4:$C$69,0),MATCH($E$6,QueryResponse_SchemeBreakdown!$D$3:$I$3,0))</f>
        <v>0</v>
      </c>
      <c r="F15" s="145" cm="1">
        <f t="array" ref="F15">INDEX(QueryResponse_SchemeBreakdown!$D$4:$I$69,MATCH($A15&amp;$E$5,QueryResponse_SchemeBreakdown!$B$4:$B$69&amp;QueryResponse_SchemeBreakdown!$C$4:$C$69,0),MATCH(F$6,QueryResponse_SchemeBreakdown!$D$3:$I$3,0))</f>
        <v>0</v>
      </c>
      <c r="G15" s="150" t="str">
        <f t="shared" si="3"/>
        <v>-</v>
      </c>
      <c r="H15" s="122" cm="1">
        <f t="array" ref="H15">INDEX(QueryResponse_SchemeBreakdown!$D$4:$I$69,MATCH($A15&amp;$H$5,QueryResponse_SchemeBreakdown!$B$4:$B$69&amp;QueryResponse_SchemeBreakdown!$C$4:$C$69,0),MATCH(H$6,QueryResponse_SchemeBreakdown!$D$3:$I$3,0))</f>
        <v>294</v>
      </c>
      <c r="I15" s="145" cm="1">
        <f t="array" ref="I15">INDEX(QueryResponse_SchemeBreakdown!$D$4:$I$69,MATCH($A15&amp;$H$5,QueryResponse_SchemeBreakdown!$B$4:$B$69&amp;QueryResponse_SchemeBreakdown!$C$4:$C$69,0),MATCH(I$6,QueryResponse_SchemeBreakdown!$D$3:$I$3,0))</f>
        <v>22.417999999999999</v>
      </c>
      <c r="J15" s="124">
        <f t="shared" si="7"/>
        <v>7.6251700680272108E-2</v>
      </c>
      <c r="K15" s="148" cm="1">
        <f t="array" ref="K15">INDEX(QueryResponse_SchemeBreakdown!$D$4:$I$69,MATCH($A15&amp;$K$5,QueryResponse_SchemeBreakdown!$B$4:$B$69&amp;QueryResponse_SchemeBreakdown!$C$4:$C$69,0),MATCH(K$6,QueryResponse_SchemeBreakdown!$D$3:$I$3,0))</f>
        <v>0</v>
      </c>
      <c r="L15" s="145" cm="1">
        <f t="array" ref="L15">INDEX(QueryResponse_SchemeBreakdown!$D$4:$I$69,MATCH($A15&amp;$K$5,QueryResponse_SchemeBreakdown!$B$4:$B$69&amp;QueryResponse_SchemeBreakdown!$C$4:$C$69,0),MATCH(L$6,QueryResponse_SchemeBreakdown!$D$3:$I$3,0))</f>
        <v>0</v>
      </c>
      <c r="M15" s="239" t="str">
        <f t="shared" si="0"/>
        <v>-</v>
      </c>
      <c r="N15" s="148" cm="1">
        <f t="array" ref="N15">INDEX(QueryResponse_SchemeBreakdown!$D$4:$I$69,MATCH($A15&amp;$N$5,QueryResponse_SchemeBreakdown!$B$4:$B$69&amp;QueryResponse_SchemeBreakdown!$C$4:$C$69,0),MATCH(N$6,QueryResponse_SchemeBreakdown!$D$3:$I$3,0))</f>
        <v>180</v>
      </c>
      <c r="O15" s="145" cm="1">
        <f t="array" ref="O15">INDEX(QueryResponse_SchemeBreakdown!$D$4:$I$69,MATCH($A15&amp;$N$5,QueryResponse_SchemeBreakdown!$B$4:$B$69&amp;QueryResponse_SchemeBreakdown!$C$4:$C$69,0),MATCH(O$6,QueryResponse_SchemeBreakdown!$D$3:$I$3,0))</f>
        <v>47.512999999999998</v>
      </c>
      <c r="P15" s="154">
        <f t="shared" si="1"/>
        <v>0.26396111111111109</v>
      </c>
      <c r="Q15" s="122" cm="1">
        <f t="array" ref="Q15">INDEX(QueryResponse_SchemeBreakdown!$D$4:$I$69,MATCH($A15&amp;$Q$5,QueryResponse_SchemeBreakdown!$B$4:$B$69&amp;QueryResponse_SchemeBreakdown!$C$4:$C$69,0),MATCH(Q$6,QueryResponse_SchemeBreakdown!$D$3:$I$3,0))</f>
        <v>0</v>
      </c>
      <c r="R15" s="239" cm="1">
        <f t="array" ref="R15">INDEX(QueryResponse_SchemeBreakdown!$D$4:$I$69,MATCH($A15&amp;$Q$5,QueryResponse_SchemeBreakdown!$B$4:$B$69&amp;QueryResponse_SchemeBreakdown!$C$4:$C$69,0),MATCH(R$6,QueryResponse_SchemeBreakdown!$D$3:$I$3,0))</f>
        <v>0</v>
      </c>
      <c r="S15" s="253">
        <f t="shared" si="5"/>
        <v>474</v>
      </c>
      <c r="T15" s="258">
        <f t="shared" si="6"/>
        <v>32.909688461538465</v>
      </c>
      <c r="U15" s="255" t="str">
        <f>_xlfn.XLOOKUP(A15,'Materiality &amp; shallow dive'!B$7:B$17,'Materiality &amp; shallow dive'!K$7:K$17)</f>
        <v>Material (&gt;0.5% of WW totex &amp; &gt;£10m)  and above indicative cost benchmark for two sub-categories - deep dive</v>
      </c>
      <c r="W15" s="260"/>
    </row>
    <row r="16" spans="1:24" ht="26.25">
      <c r="A16" s="119" t="s">
        <v>114</v>
      </c>
      <c r="B16" s="120">
        <f>INDEX('Materiality &amp; shallow dive'!C$7:C$17,MATCH(A16,'Materiality &amp; shallow dive'!B$7:B$17,0))</f>
        <v>3717.8809999999999</v>
      </c>
      <c r="C16" s="120">
        <f ca="1">INDEX('Materiality &amp; shallow dive'!E$7:E$17,MATCH(A16,'Materiality &amp; shallow dive'!B$7:B$17,0))</f>
        <v>19.975000000000001</v>
      </c>
      <c r="D16" s="121">
        <f t="shared" ca="1" si="2"/>
        <v>5.3726840638525014E-3</v>
      </c>
      <c r="E16" s="148" cm="1">
        <f t="array" ref="E16">INDEX(QueryResponse_SchemeBreakdown!$D$4:$I$69,MATCH($A16&amp;$E$5,QueryResponse_SchemeBreakdown!$B$4:$B$69&amp;QueryResponse_SchemeBreakdown!$C$4:$C$69,0),MATCH($E$6,QueryResponse_SchemeBreakdown!$D$3:$I$3,0))</f>
        <v>65</v>
      </c>
      <c r="F16" s="145" cm="1">
        <f t="array" ref="F16">INDEX(QueryResponse_SchemeBreakdown!$D$4:$I$69,MATCH($A16&amp;$E$5,QueryResponse_SchemeBreakdown!$B$4:$B$69&amp;QueryResponse_SchemeBreakdown!$C$4:$C$69,0),MATCH(F$6,QueryResponse_SchemeBreakdown!$D$3:$I$3,0))</f>
        <v>1.3759999999999999</v>
      </c>
      <c r="G16" s="150">
        <f t="shared" si="3"/>
        <v>2.1169230769230767E-2</v>
      </c>
      <c r="H16" s="122" cm="1">
        <f t="array" ref="H16">INDEX(QueryResponse_SchemeBreakdown!$D$4:$I$69,MATCH($A16&amp;$H$5,QueryResponse_SchemeBreakdown!$B$4:$B$69&amp;QueryResponse_SchemeBreakdown!$C$4:$C$69,0),MATCH(H$6,QueryResponse_SchemeBreakdown!$D$3:$I$3,0))</f>
        <v>44</v>
      </c>
      <c r="I16" s="145" cm="1">
        <f t="array" ref="I16">INDEX(QueryResponse_SchemeBreakdown!$D$4:$I$69,MATCH($A16&amp;$H$5,QueryResponse_SchemeBreakdown!$B$4:$B$69&amp;QueryResponse_SchemeBreakdown!$C$4:$C$69,0),MATCH(I$6,QueryResponse_SchemeBreakdown!$D$3:$I$3,0))</f>
        <v>1.4139999999999999</v>
      </c>
      <c r="J16" s="124">
        <f t="shared" si="7"/>
        <v>3.2136363636363637E-2</v>
      </c>
      <c r="K16" s="148" cm="1">
        <f t="array" ref="K16">INDEX(QueryResponse_SchemeBreakdown!$D$4:$I$69,MATCH($A16&amp;$K$5,QueryResponse_SchemeBreakdown!$B$4:$B$69&amp;QueryResponse_SchemeBreakdown!$C$4:$C$69,0),MATCH(K$6,QueryResponse_SchemeBreakdown!$D$3:$I$3,0))</f>
        <v>28</v>
      </c>
      <c r="L16" s="145" cm="1">
        <f t="array" ref="L16">INDEX(QueryResponse_SchemeBreakdown!$D$4:$I$69,MATCH($A16&amp;$K$5,QueryResponse_SchemeBreakdown!$B$4:$B$69&amp;QueryResponse_SchemeBreakdown!$C$4:$C$69,0),MATCH(L$6,QueryResponse_SchemeBreakdown!$D$3:$I$3,0))</f>
        <v>1.8260000000000001</v>
      </c>
      <c r="M16" s="239">
        <f t="shared" si="0"/>
        <v>6.5214285714285711E-2</v>
      </c>
      <c r="N16" s="148" cm="1">
        <f t="array" ref="N16">INDEX(QueryResponse_SchemeBreakdown!$D$4:$I$69,MATCH($A16&amp;$N$5,QueryResponse_SchemeBreakdown!$B$4:$B$69&amp;QueryResponse_SchemeBreakdown!$C$4:$C$69,0),MATCH(N$6,QueryResponse_SchemeBreakdown!$D$3:$I$3,0))</f>
        <v>160</v>
      </c>
      <c r="O16" s="145" cm="1">
        <f t="array" ref="O16">INDEX(QueryResponse_SchemeBreakdown!$D$4:$I$69,MATCH($A16&amp;$N$5,QueryResponse_SchemeBreakdown!$B$4:$B$69&amp;QueryResponse_SchemeBreakdown!$C$4:$C$69,0),MATCH(O$6,QueryResponse_SchemeBreakdown!$D$3:$I$3,0))</f>
        <v>15.326000000000001</v>
      </c>
      <c r="P16" s="154">
        <f t="shared" si="1"/>
        <v>9.5787499999999998E-2</v>
      </c>
      <c r="Q16" s="122" cm="1">
        <f t="array" ref="Q16">INDEX(QueryResponse_SchemeBreakdown!$D$4:$I$69,MATCH($A16&amp;$Q$5,QueryResponse_SchemeBreakdown!$B$4:$B$69&amp;QueryResponse_SchemeBreakdown!$C$4:$C$69,0),MATCH(Q$6,QueryResponse_SchemeBreakdown!$D$3:$I$3,0))</f>
        <v>29</v>
      </c>
      <c r="R16" s="239" cm="1">
        <f t="array" ref="R16">INDEX(QueryResponse_SchemeBreakdown!$D$4:$I$69,MATCH($A16&amp;$Q$5,QueryResponse_SchemeBreakdown!$B$4:$B$69&amp;QueryResponse_SchemeBreakdown!$C$4:$C$69,0),MATCH(R$6,QueryResponse_SchemeBreakdown!$D$3:$I$3,0))</f>
        <v>3.1E-2</v>
      </c>
      <c r="S16" s="253">
        <f t="shared" si="5"/>
        <v>326</v>
      </c>
      <c r="T16" s="258">
        <f t="shared" si="6"/>
        <v>20.533767939427719</v>
      </c>
      <c r="U16" s="255" t="str">
        <f>_xlfn.XLOOKUP(A16,'Materiality &amp; shallow dive'!B$7:B$17,'Materiality &amp; shallow dive'!K$7:K$17)</f>
        <v>Material (&gt;0.5% of WW totex &amp; &gt;£10m) and above indicative unit cost benchmark - deep dive.</v>
      </c>
    </row>
    <row r="17" spans="1:21" ht="26.25">
      <c r="A17" s="125" t="s">
        <v>115</v>
      </c>
      <c r="B17" s="120">
        <f>INDEX('Materiality &amp; shallow dive'!C$7:C$17,MATCH(A17,'Materiality &amp; shallow dive'!B$7:B$17,0))</f>
        <v>4605.5680000000002</v>
      </c>
      <c r="C17" s="120">
        <f ca="1">INDEX('Materiality &amp; shallow dive'!E$7:E$17,MATCH(A17,'Materiality &amp; shallow dive'!B$7:B$17,0))</f>
        <v>38.256211</v>
      </c>
      <c r="D17" s="126">
        <f t="shared" ca="1" si="2"/>
        <v>8.3065131162974905E-3</v>
      </c>
      <c r="E17" s="151" cm="1">
        <f t="array" ref="E17">INDEX(QueryResponse_SchemeBreakdown!$D$4:$I$69,MATCH($A17&amp;$E$5,QueryResponse_SchemeBreakdown!$B$4:$B$69&amp;QueryResponse_SchemeBreakdown!$C$4:$C$69,0),MATCH($E$6,QueryResponse_SchemeBreakdown!$D$3:$I$3,0))</f>
        <v>401</v>
      </c>
      <c r="F17" s="152" cm="1">
        <f t="array" ref="F17">INDEX(QueryResponse_SchemeBreakdown!$D$4:$I$69,MATCH($A17&amp;$E$5,QueryResponse_SchemeBreakdown!$B$4:$B$69&amp;QueryResponse_SchemeBreakdown!$C$4:$C$69,0),MATCH(F$6,QueryResponse_SchemeBreakdown!$D$3:$I$3,0))</f>
        <v>3.78</v>
      </c>
      <c r="G17" s="153">
        <f t="shared" si="3"/>
        <v>9.4264339152119701E-3</v>
      </c>
      <c r="H17" s="122" cm="1">
        <f t="array" ref="H17">INDEX(QueryResponse_SchemeBreakdown!$D$4:$I$69,MATCH($A17&amp;$H$5,QueryResponse_SchemeBreakdown!$B$4:$B$69&amp;QueryResponse_SchemeBreakdown!$C$4:$C$69,0),MATCH(H$6,QueryResponse_SchemeBreakdown!$D$3:$I$3,0))</f>
        <v>0</v>
      </c>
      <c r="I17" s="145" cm="1">
        <f t="array" ref="I17">INDEX(QueryResponse_SchemeBreakdown!$D$4:$I$69,MATCH($A17&amp;$H$5,QueryResponse_SchemeBreakdown!$B$4:$B$69&amp;QueryResponse_SchemeBreakdown!$C$4:$C$69,0),MATCH(I$6,QueryResponse_SchemeBreakdown!$D$3:$I$3,0))</f>
        <v>0</v>
      </c>
      <c r="J17" s="127" t="str">
        <f t="shared" si="7"/>
        <v>-</v>
      </c>
      <c r="K17" s="151" cm="1">
        <f t="array" ref="K17">INDEX(QueryResponse_SchemeBreakdown!$D$4:$I$69,MATCH($A17&amp;$K$5,QueryResponse_SchemeBreakdown!$B$4:$B$69&amp;QueryResponse_SchemeBreakdown!$C$4:$C$69,0),MATCH(K$6,QueryResponse_SchemeBreakdown!$D$3:$I$3,0))</f>
        <v>181</v>
      </c>
      <c r="L17" s="152" cm="1">
        <f t="array" ref="L17">INDEX(QueryResponse_SchemeBreakdown!$D$4:$I$69,MATCH($A17&amp;$K$5,QueryResponse_SchemeBreakdown!$B$4:$B$69&amp;QueryResponse_SchemeBreakdown!$C$4:$C$69,0),MATCH(L$6,QueryResponse_SchemeBreakdown!$D$3:$I$3,0))</f>
        <v>1.71</v>
      </c>
      <c r="M17" s="239">
        <f t="shared" si="0"/>
        <v>9.4475138121546953E-3</v>
      </c>
      <c r="N17" s="148" cm="1">
        <f t="array" ref="N17">INDEX(QueryResponse_SchemeBreakdown!$D$4:$I$69,MATCH($A17&amp;$N$5,QueryResponse_SchemeBreakdown!$B$4:$B$69&amp;QueryResponse_SchemeBreakdown!$C$4:$C$69,0),MATCH(N$6,QueryResponse_SchemeBreakdown!$D$3:$I$3,0))</f>
        <v>278</v>
      </c>
      <c r="O17" s="145" cm="1">
        <f t="array" ref="O17">INDEX(QueryResponse_SchemeBreakdown!$D$4:$I$69,MATCH($A17&amp;$N$5,QueryResponse_SchemeBreakdown!$B$4:$B$69&amp;QueryResponse_SchemeBreakdown!$C$4:$C$69,0),MATCH(O$6,QueryResponse_SchemeBreakdown!$D$3:$I$3,0))</f>
        <v>32.76</v>
      </c>
      <c r="P17" s="154">
        <f t="shared" si="1"/>
        <v>0.11784172661870503</v>
      </c>
      <c r="Q17" s="238" cm="1">
        <f t="array" ref="Q17">INDEX(QueryResponse_SchemeBreakdown!$D$4:$I$69,MATCH($A17&amp;$Q$5,QueryResponse_SchemeBreakdown!$B$4:$B$69&amp;QueryResponse_SchemeBreakdown!$C$4:$C$69,0),MATCH(Q$6,QueryResponse_SchemeBreakdown!$D$3:$I$3,0))</f>
        <v>0</v>
      </c>
      <c r="R17" s="245" cm="1">
        <f t="array" ref="R17">INDEX(QueryResponse_SchemeBreakdown!$D$4:$I$69,MATCH($A17&amp;$Q$5,QueryResponse_SchemeBreakdown!$B$4:$B$69&amp;QueryResponse_SchemeBreakdown!$C$4:$C$69,0),MATCH(R$6,QueryResponse_SchemeBreakdown!$D$3:$I$3,0))</f>
        <v>0</v>
      </c>
      <c r="S17" s="253">
        <f t="shared" si="5"/>
        <v>860</v>
      </c>
      <c r="T17" s="259">
        <f>(E17*$G$18)+(H17*$J$18)+(K17*$M$18)+(N17*$P$18)+R17</f>
        <v>44.638379434092471</v>
      </c>
      <c r="U17" s="256" t="str">
        <f>_xlfn.XLOOKUP(A17,'Materiality &amp; shallow dive'!B$7:B$17,'Materiality &amp; shallow dive'!K$7:K$17)</f>
        <v>Material (&gt;0.5% of WW totex &amp; &gt;£10m) and above indicative unit cost benchmark - deep dive.</v>
      </c>
    </row>
    <row r="18" spans="1:21" s="118" customFormat="1" ht="13.15">
      <c r="A18" s="128"/>
      <c r="B18" s="129">
        <f>SUM(B7:B17)</f>
        <v>58682.968000000001</v>
      </c>
      <c r="C18" s="144">
        <f ca="1">SUM(C7:C17)</f>
        <v>378.11777290640225</v>
      </c>
      <c r="D18" s="130"/>
      <c r="E18" s="211">
        <f>SUM(E7:E17)</f>
        <v>2647</v>
      </c>
      <c r="F18" s="313">
        <f>SUM(F7:F17)</f>
        <v>50.396999999999998</v>
      </c>
      <c r="G18" s="313">
        <f>MEDIAN(G7,G8,G9,G11,G16,G17,G13,G14)</f>
        <v>1.547548309178744E-2</v>
      </c>
      <c r="H18" s="314">
        <f>SUM(H7:H17)</f>
        <v>532</v>
      </c>
      <c r="I18" s="313">
        <f>SUM(I7:I17)</f>
        <v>38.343000000000004</v>
      </c>
      <c r="J18" s="313">
        <f>MEDIAN(J10,J12,J15,J16,J11,J13)</f>
        <v>5.3292307692307694E-2</v>
      </c>
      <c r="K18" s="314">
        <f>SUM(K7:K17)</f>
        <v>210</v>
      </c>
      <c r="L18" s="313">
        <f>SUM(L7:L17)</f>
        <v>3.8810000000000002</v>
      </c>
      <c r="M18" s="313">
        <f>MEDIAN(M16,M17,M8)</f>
        <v>6.5214285714285711E-2</v>
      </c>
      <c r="N18" s="315">
        <f>SUM(N7:N17)</f>
        <v>1931</v>
      </c>
      <c r="O18" s="313">
        <f>SUM(O7:O17)</f>
        <v>285.26</v>
      </c>
      <c r="P18" s="316">
        <f>MEDIAN(P7,P8,P9,P10,P11,P12,P15,P16,P17,P13,P14)</f>
        <v>9.5787499999999998E-2</v>
      </c>
      <c r="Q18" s="211">
        <f>SUM(Q7:Q17)</f>
        <v>29</v>
      </c>
      <c r="R18" s="317">
        <f>SUM(R7:R17)</f>
        <v>0.22600000000000001</v>
      </c>
      <c r="S18" s="317">
        <f>SUM(S7:S17)</f>
        <v>5349</v>
      </c>
      <c r="T18" s="318">
        <f>SUM(T7:T17)</f>
        <v>268.20177393626909</v>
      </c>
    </row>
    <row r="19" spans="1:21" s="27" customFormat="1">
      <c r="G19" s="250"/>
      <c r="H19" s="249"/>
      <c r="J19" s="251"/>
      <c r="K19" s="146"/>
      <c r="N19" s="147"/>
      <c r="O19" s="251"/>
      <c r="Q19" s="263"/>
      <c r="T19"/>
    </row>
    <row r="20" spans="1:21">
      <c r="H20" s="248"/>
      <c r="L20" s="60"/>
      <c r="U20" s="260"/>
    </row>
    <row r="21" spans="1:21">
      <c r="F21" s="252"/>
      <c r="J21" s="252"/>
      <c r="K21" s="252"/>
      <c r="O21" s="252"/>
      <c r="P21" s="252"/>
      <c r="U21" s="260"/>
    </row>
    <row r="22" spans="1:21">
      <c r="O22" s="252"/>
    </row>
    <row r="23" spans="1:21"/>
    <row r="24" spans="1:21"/>
    <row r="25" spans="1:21"/>
    <row r="26" spans="1:21"/>
    <row r="27" spans="1:21"/>
    <row r="28" spans="1:21"/>
    <row r="29" spans="1:21"/>
    <row r="30" spans="1:21"/>
    <row r="31" spans="1:21"/>
    <row r="32" spans="1:21"/>
    <row r="40"/>
    <row r="41"/>
  </sheetData>
  <mergeCells count="7">
    <mergeCell ref="E4:R4"/>
    <mergeCell ref="C5:D5"/>
    <mergeCell ref="E5:G5"/>
    <mergeCell ref="H5:J5"/>
    <mergeCell ref="K5:M5"/>
    <mergeCell ref="N5:P5"/>
    <mergeCell ref="Q5:R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5879-82C9-4714-B0A4-2AF8F9E39CC1}">
  <sheetPr>
    <tabColor theme="0" tint="-0.14999847407452621"/>
  </sheetPr>
  <dimension ref="A1:E39"/>
  <sheetViews>
    <sheetView showGridLines="0" zoomScale="80" zoomScaleNormal="80" workbookViewId="0"/>
  </sheetViews>
  <sheetFormatPr defaultRowHeight="12.75"/>
  <cols>
    <col min="1" max="1" width="48" bestFit="1" customWidth="1"/>
    <col min="2" max="2" width="86" customWidth="1"/>
    <col min="3" max="3" width="11.7109375" bestFit="1" customWidth="1"/>
    <col min="4" max="4" width="9.28515625" customWidth="1"/>
    <col min="5" max="5" width="28.140625" customWidth="1"/>
  </cols>
  <sheetData>
    <row r="1" spans="1:5" ht="30.75">
      <c r="A1" s="1" t="e">
        <f ca="1" xml:space="preserve"> RIGHT(CELL("filename", $A$1), LEN(CELL("filename", $A$1)) - SEARCH("]", CELL("filename", $A$1)))</f>
        <v>#VALUE!</v>
      </c>
    </row>
    <row r="3" spans="1:5" ht="13.15">
      <c r="A3" s="59" t="s">
        <v>148</v>
      </c>
      <c r="B3" s="106" t="s">
        <v>82</v>
      </c>
    </row>
    <row r="4" spans="1:5" ht="13.15">
      <c r="A4" s="59" t="s">
        <v>304</v>
      </c>
      <c r="B4" s="107" t="s">
        <v>305</v>
      </c>
    </row>
    <row r="5" spans="1:5" ht="13.15">
      <c r="A5" s="59" t="s">
        <v>306</v>
      </c>
      <c r="B5" s="107" t="s">
        <v>307</v>
      </c>
    </row>
    <row r="6" spans="1:5" ht="13.15">
      <c r="A6" s="59" t="s">
        <v>308</v>
      </c>
      <c r="B6" s="107"/>
    </row>
    <row r="7" spans="1:5">
      <c r="A7" s="362" t="s">
        <v>309</v>
      </c>
      <c r="B7" s="364">
        <f ca="1">'Materiality &amp; shallow dive'!E7</f>
        <v>48.026999999999994</v>
      </c>
    </row>
    <row r="8" spans="1:5">
      <c r="A8" s="363"/>
      <c r="B8" s="364"/>
    </row>
    <row r="9" spans="1:5" ht="13.15">
      <c r="A9" s="59" t="s">
        <v>310</v>
      </c>
      <c r="B9" s="108">
        <f ca="1">B7</f>
        <v>48.026999999999994</v>
      </c>
    </row>
    <row r="10" spans="1:5" ht="13.15">
      <c r="A10" s="59" t="s">
        <v>311</v>
      </c>
      <c r="B10" s="109">
        <f>SUM(D14:D34)</f>
        <v>0.5</v>
      </c>
    </row>
    <row r="11" spans="1:5" ht="13.15">
      <c r="A11" s="59" t="s">
        <v>312</v>
      </c>
      <c r="B11" s="268">
        <f ca="1">(1-B10)*B7</f>
        <v>24.013499999999997</v>
      </c>
    </row>
    <row r="12" spans="1:5">
      <c r="A12" s="37"/>
      <c r="B12" s="37"/>
    </row>
    <row r="13" spans="1:5" ht="39.4">
      <c r="A13" s="111" t="s">
        <v>313</v>
      </c>
      <c r="B13" s="111" t="s">
        <v>314</v>
      </c>
      <c r="C13" s="111" t="s">
        <v>315</v>
      </c>
      <c r="D13" s="111" t="s">
        <v>316</v>
      </c>
      <c r="E13" s="111" t="s">
        <v>317</v>
      </c>
    </row>
    <row r="14" spans="1:5">
      <c r="A14" s="358" t="s">
        <v>318</v>
      </c>
      <c r="B14" s="359" t="s">
        <v>319</v>
      </c>
      <c r="C14" s="360" t="s">
        <v>320</v>
      </c>
      <c r="D14" s="361">
        <v>0.5</v>
      </c>
      <c r="E14" s="359"/>
    </row>
    <row r="15" spans="1:5">
      <c r="A15" s="358"/>
      <c r="B15" s="359"/>
      <c r="C15" s="360"/>
      <c r="D15" s="361"/>
      <c r="E15" s="359"/>
    </row>
    <row r="16" spans="1:5">
      <c r="A16" s="358"/>
      <c r="B16" s="359"/>
      <c r="C16" s="360"/>
      <c r="D16" s="361"/>
      <c r="E16" s="359"/>
    </row>
    <row r="17" spans="1:5">
      <c r="A17" s="358"/>
      <c r="B17" s="359"/>
      <c r="C17" s="360"/>
      <c r="D17" s="361"/>
      <c r="E17" s="359"/>
    </row>
    <row r="18" spans="1:5">
      <c r="A18" s="358"/>
      <c r="B18" s="359"/>
      <c r="C18" s="360"/>
      <c r="D18" s="361"/>
      <c r="E18" s="359"/>
    </row>
    <row r="19" spans="1:5">
      <c r="A19" s="358"/>
      <c r="B19" s="359"/>
      <c r="C19" s="360"/>
      <c r="D19" s="361"/>
      <c r="E19" s="359"/>
    </row>
    <row r="20" spans="1:5" ht="183.75" customHeight="1">
      <c r="A20" s="358"/>
      <c r="B20" s="359"/>
      <c r="C20" s="360"/>
      <c r="D20" s="361"/>
      <c r="E20" s="359"/>
    </row>
    <row r="21" spans="1:5">
      <c r="A21" s="358" t="s">
        <v>321</v>
      </c>
      <c r="B21" s="359" t="s">
        <v>322</v>
      </c>
      <c r="C21" s="360" t="s">
        <v>323</v>
      </c>
      <c r="D21" s="361">
        <v>0</v>
      </c>
      <c r="E21" s="359"/>
    </row>
    <row r="22" spans="1:5">
      <c r="A22" s="358"/>
      <c r="B22" s="359"/>
      <c r="C22" s="360"/>
      <c r="D22" s="361"/>
      <c r="E22" s="359"/>
    </row>
    <row r="23" spans="1:5">
      <c r="A23" s="358"/>
      <c r="B23" s="359"/>
      <c r="C23" s="360"/>
      <c r="D23" s="361"/>
      <c r="E23" s="359"/>
    </row>
    <row r="24" spans="1:5">
      <c r="A24" s="358"/>
      <c r="B24" s="359"/>
      <c r="C24" s="360"/>
      <c r="D24" s="361"/>
      <c r="E24" s="359"/>
    </row>
    <row r="25" spans="1:5">
      <c r="A25" s="358"/>
      <c r="B25" s="359"/>
      <c r="C25" s="360"/>
      <c r="D25" s="361"/>
      <c r="E25" s="359"/>
    </row>
    <row r="26" spans="1:5">
      <c r="A26" s="358"/>
      <c r="B26" s="359"/>
      <c r="C26" s="360"/>
      <c r="D26" s="361"/>
      <c r="E26" s="359"/>
    </row>
    <row r="27" spans="1:5">
      <c r="A27" s="358"/>
      <c r="B27" s="359"/>
      <c r="C27" s="360"/>
      <c r="D27" s="361"/>
      <c r="E27" s="359"/>
    </row>
    <row r="28" spans="1:5">
      <c r="A28" s="358"/>
      <c r="B28" s="359"/>
      <c r="C28" s="360"/>
      <c r="D28" s="361"/>
      <c r="E28" s="359"/>
    </row>
    <row r="29" spans="1:5">
      <c r="A29" s="358" t="s">
        <v>324</v>
      </c>
      <c r="B29" s="359" t="s">
        <v>325</v>
      </c>
      <c r="C29" s="360" t="s">
        <v>323</v>
      </c>
      <c r="D29" s="361">
        <v>0</v>
      </c>
      <c r="E29" s="359"/>
    </row>
    <row r="30" spans="1:5">
      <c r="A30" s="358"/>
      <c r="B30" s="359"/>
      <c r="C30" s="360"/>
      <c r="D30" s="361"/>
      <c r="E30" s="359"/>
    </row>
    <row r="31" spans="1:5">
      <c r="A31" s="358"/>
      <c r="B31" s="359"/>
      <c r="C31" s="360"/>
      <c r="D31" s="361"/>
      <c r="E31" s="359"/>
    </row>
    <row r="32" spans="1:5">
      <c r="A32" s="358"/>
      <c r="B32" s="359"/>
      <c r="C32" s="360"/>
      <c r="D32" s="361"/>
      <c r="E32" s="359"/>
    </row>
    <row r="33" spans="1:5">
      <c r="A33" s="358"/>
      <c r="B33" s="359"/>
      <c r="C33" s="360"/>
      <c r="D33" s="361"/>
      <c r="E33" s="359"/>
    </row>
    <row r="34" spans="1:5" ht="138" customHeight="1">
      <c r="A34" s="358"/>
      <c r="B34" s="359"/>
      <c r="C34" s="360"/>
      <c r="D34" s="361"/>
      <c r="E34" s="359"/>
    </row>
    <row r="35" spans="1:5" ht="76.5" customHeight="1">
      <c r="A35" s="220" t="s">
        <v>326</v>
      </c>
      <c r="B35" s="234" t="s">
        <v>327</v>
      </c>
      <c r="C35" s="221"/>
      <c r="D35" s="222" t="s">
        <v>328</v>
      </c>
      <c r="E35" s="223"/>
    </row>
    <row r="36" spans="1:5" ht="13.15">
      <c r="A36" s="44"/>
      <c r="B36" s="44"/>
    </row>
    <row r="37" spans="1:5" ht="13.15">
      <c r="A37" s="47"/>
      <c r="B37" s="47"/>
    </row>
    <row r="38" spans="1:5" ht="13.15">
      <c r="A38" s="15"/>
      <c r="B38" s="15"/>
    </row>
    <row r="39" spans="1:5" ht="13.15">
      <c r="A39" s="43" t="s">
        <v>329</v>
      </c>
      <c r="B39" s="49"/>
      <c r="C39" s="49"/>
      <c r="D39" s="49"/>
      <c r="E39" s="49"/>
    </row>
  </sheetData>
  <mergeCells count="17">
    <mergeCell ref="A7:A8"/>
    <mergeCell ref="B7:B8"/>
    <mergeCell ref="A14:A20"/>
    <mergeCell ref="B14:B20"/>
    <mergeCell ref="C14:C20"/>
    <mergeCell ref="E14:E20"/>
    <mergeCell ref="A21:A28"/>
    <mergeCell ref="B21:B28"/>
    <mergeCell ref="C21:C28"/>
    <mergeCell ref="D21:D28"/>
    <mergeCell ref="E21:E28"/>
    <mergeCell ref="D14:D20"/>
    <mergeCell ref="A29:A34"/>
    <mergeCell ref="B29:B34"/>
    <mergeCell ref="C29:C34"/>
    <mergeCell ref="D29:D34"/>
    <mergeCell ref="E29:E3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63ED109-8AE2-4E2A-A3B0-875171164BDE}">
          <x14:formula1>
            <xm:f>'DROPDOWN LISTS'!$B$26:$B$31</xm:f>
          </x14:formula1>
          <xm:sqref>C14:C35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50128-85CB-4F35-969E-78A34FEFCC25}">
  <sheetPr>
    <tabColor theme="0" tint="-0.14999847407452621"/>
  </sheetPr>
  <dimension ref="A1:K39"/>
  <sheetViews>
    <sheetView showGridLines="0" zoomScale="80" zoomScaleNormal="80" workbookViewId="0"/>
  </sheetViews>
  <sheetFormatPr defaultRowHeight="12.75"/>
  <cols>
    <col min="1" max="1" width="48" bestFit="1" customWidth="1"/>
    <col min="2" max="2" width="69.42578125" bestFit="1" customWidth="1"/>
    <col min="3" max="3" width="11.7109375" bestFit="1" customWidth="1"/>
    <col min="4" max="4" width="9.28515625" customWidth="1"/>
    <col min="5" max="5" width="28.140625" customWidth="1"/>
    <col min="7" max="7" width="38.5703125" customWidth="1"/>
    <col min="8" max="8" width="95.5703125" customWidth="1"/>
    <col min="9" max="9" width="15.42578125" customWidth="1"/>
    <col min="10" max="10" width="12.28515625" customWidth="1"/>
    <col min="11" max="11" width="39.5703125" customWidth="1"/>
  </cols>
  <sheetData>
    <row r="1" spans="1:11" ht="30.75">
      <c r="A1" s="1" t="e">
        <f ca="1" xml:space="preserve"> RIGHT(CELL("filename", $A$1), LEN(CELL("filename", $A$1)) - SEARCH("]", CELL("filename", $A$1)))</f>
        <v>#VALUE!</v>
      </c>
    </row>
    <row r="2" spans="1:11" ht="13.15">
      <c r="G2" s="261" t="s">
        <v>330</v>
      </c>
    </row>
    <row r="3" spans="1:11" ht="13.15">
      <c r="A3" s="59" t="s">
        <v>148</v>
      </c>
      <c r="B3" s="106" t="s">
        <v>106</v>
      </c>
      <c r="G3" s="59" t="s">
        <v>148</v>
      </c>
      <c r="H3" s="106" t="s">
        <v>106</v>
      </c>
      <c r="I3" s="47"/>
      <c r="J3" s="104"/>
      <c r="K3" s="104"/>
    </row>
    <row r="4" spans="1:11" ht="13.15">
      <c r="A4" s="59" t="s">
        <v>304</v>
      </c>
      <c r="B4" s="107" t="s">
        <v>305</v>
      </c>
      <c r="G4" s="59" t="s">
        <v>304</v>
      </c>
      <c r="H4" s="107" t="s">
        <v>305</v>
      </c>
      <c r="I4" s="47"/>
      <c r="J4" s="105"/>
      <c r="K4" s="104"/>
    </row>
    <row r="5" spans="1:11" ht="13.15">
      <c r="A5" s="59" t="s">
        <v>306</v>
      </c>
      <c r="B5" s="107" t="s">
        <v>307</v>
      </c>
      <c r="G5" s="59" t="s">
        <v>306</v>
      </c>
      <c r="H5" s="107" t="s">
        <v>307</v>
      </c>
      <c r="I5" s="47"/>
      <c r="J5" s="105"/>
      <c r="K5" s="104"/>
    </row>
    <row r="6" spans="1:11" ht="13.15">
      <c r="A6" s="59" t="s">
        <v>308</v>
      </c>
      <c r="B6" s="107"/>
      <c r="G6" s="59" t="s">
        <v>308</v>
      </c>
      <c r="H6" s="107"/>
      <c r="I6" s="47"/>
      <c r="J6" s="105"/>
      <c r="K6" s="104"/>
    </row>
    <row r="7" spans="1:11" ht="13.15">
      <c r="A7" s="362" t="s">
        <v>309</v>
      </c>
      <c r="B7" s="364">
        <f ca="1">'Materiality &amp; shallow dive'!E8</f>
        <v>21.192</v>
      </c>
      <c r="G7" s="362" t="s">
        <v>309</v>
      </c>
      <c r="H7" s="365">
        <v>21.19</v>
      </c>
      <c r="I7" s="367"/>
      <c r="J7" s="105"/>
      <c r="K7" s="344"/>
    </row>
    <row r="8" spans="1:11" ht="13.15">
      <c r="A8" s="363"/>
      <c r="B8" s="364"/>
      <c r="G8" s="363"/>
      <c r="H8" s="366"/>
      <c r="I8" s="367"/>
      <c r="J8" s="105"/>
      <c r="K8" s="344"/>
    </row>
    <row r="9" spans="1:11" ht="26.25">
      <c r="A9" s="59" t="s">
        <v>310</v>
      </c>
      <c r="B9" s="108">
        <f ca="1">B7</f>
        <v>21.192</v>
      </c>
      <c r="G9" s="59" t="s">
        <v>310</v>
      </c>
      <c r="H9" s="108">
        <v>21.19</v>
      </c>
      <c r="I9" s="47"/>
      <c r="J9" s="105"/>
      <c r="K9" s="104"/>
    </row>
    <row r="10" spans="1:11" ht="13.15">
      <c r="A10" s="59" t="s">
        <v>311</v>
      </c>
      <c r="B10" s="109">
        <f>D29</f>
        <v>0.2</v>
      </c>
      <c r="G10" s="59" t="s">
        <v>311</v>
      </c>
      <c r="H10" s="109">
        <v>0.2</v>
      </c>
      <c r="I10" s="47"/>
      <c r="J10" s="105"/>
      <c r="K10" s="104"/>
    </row>
    <row r="11" spans="1:11" ht="13.15">
      <c r="A11" s="59" t="s">
        <v>312</v>
      </c>
      <c r="B11" s="268">
        <f ca="1">(1-B10)*B7</f>
        <v>16.953600000000002</v>
      </c>
      <c r="G11" s="59" t="s">
        <v>312</v>
      </c>
      <c r="H11" s="110">
        <v>16.95</v>
      </c>
      <c r="I11" s="37"/>
      <c r="J11" s="37"/>
      <c r="K11" s="37"/>
    </row>
    <row r="12" spans="1:11">
      <c r="A12" s="37"/>
      <c r="B12" s="37"/>
      <c r="G12" s="37"/>
      <c r="H12" s="37"/>
      <c r="I12" s="37"/>
      <c r="J12" s="37"/>
      <c r="K12" s="37"/>
    </row>
    <row r="13" spans="1:11" ht="39.4">
      <c r="A13" s="111" t="s">
        <v>313</v>
      </c>
      <c r="B13" s="111" t="s">
        <v>314</v>
      </c>
      <c r="C13" s="111" t="s">
        <v>315</v>
      </c>
      <c r="D13" s="111" t="s">
        <v>316</v>
      </c>
      <c r="E13" s="111" t="s">
        <v>317</v>
      </c>
      <c r="G13" s="111" t="s">
        <v>313</v>
      </c>
      <c r="H13" s="111" t="s">
        <v>314</v>
      </c>
      <c r="I13" s="111" t="s">
        <v>315</v>
      </c>
      <c r="J13" s="111" t="s">
        <v>316</v>
      </c>
      <c r="K13" s="111" t="s">
        <v>317</v>
      </c>
    </row>
    <row r="14" spans="1:11" ht="12.75" customHeight="1">
      <c r="A14" s="358" t="s">
        <v>318</v>
      </c>
      <c r="B14" s="359" t="s">
        <v>331</v>
      </c>
      <c r="C14" s="360" t="s">
        <v>323</v>
      </c>
      <c r="D14" s="361">
        <v>0</v>
      </c>
      <c r="E14" s="359"/>
      <c r="G14" s="358" t="s">
        <v>318</v>
      </c>
      <c r="H14" s="359" t="s">
        <v>332</v>
      </c>
      <c r="I14" s="360" t="s">
        <v>323</v>
      </c>
      <c r="J14" s="361">
        <v>0</v>
      </c>
      <c r="K14" s="359" t="s">
        <v>333</v>
      </c>
    </row>
    <row r="15" spans="1:11" ht="12.75" customHeight="1">
      <c r="A15" s="358"/>
      <c r="B15" s="359"/>
      <c r="C15" s="360"/>
      <c r="D15" s="361"/>
      <c r="E15" s="359"/>
      <c r="G15" s="358"/>
      <c r="H15" s="359"/>
      <c r="I15" s="360"/>
      <c r="J15" s="361"/>
      <c r="K15" s="359"/>
    </row>
    <row r="16" spans="1:11" ht="12.75" customHeight="1">
      <c r="A16" s="358"/>
      <c r="B16" s="359"/>
      <c r="C16" s="360"/>
      <c r="D16" s="361"/>
      <c r="E16" s="359"/>
      <c r="G16" s="358"/>
      <c r="H16" s="359"/>
      <c r="I16" s="360"/>
      <c r="J16" s="361"/>
      <c r="K16" s="359"/>
    </row>
    <row r="17" spans="1:11" ht="12.75" customHeight="1">
      <c r="A17" s="358"/>
      <c r="B17" s="359"/>
      <c r="C17" s="360"/>
      <c r="D17" s="361"/>
      <c r="E17" s="359"/>
      <c r="G17" s="358"/>
      <c r="H17" s="359"/>
      <c r="I17" s="360"/>
      <c r="J17" s="361"/>
      <c r="K17" s="359"/>
    </row>
    <row r="18" spans="1:11" ht="12.75" customHeight="1">
      <c r="A18" s="358"/>
      <c r="B18" s="359"/>
      <c r="C18" s="360"/>
      <c r="D18" s="361"/>
      <c r="E18" s="359"/>
      <c r="G18" s="358"/>
      <c r="H18" s="359"/>
      <c r="I18" s="360"/>
      <c r="J18" s="361"/>
      <c r="K18" s="359"/>
    </row>
    <row r="19" spans="1:11" ht="33" customHeight="1">
      <c r="A19" s="358"/>
      <c r="B19" s="359"/>
      <c r="C19" s="360"/>
      <c r="D19" s="361"/>
      <c r="E19" s="359"/>
      <c r="G19" s="358"/>
      <c r="H19" s="359"/>
      <c r="I19" s="360"/>
      <c r="J19" s="361"/>
      <c r="K19" s="359"/>
    </row>
    <row r="20" spans="1:11" ht="21.75" customHeight="1">
      <c r="A20" s="358"/>
      <c r="B20" s="359"/>
      <c r="C20" s="360"/>
      <c r="D20" s="361"/>
      <c r="E20" s="359"/>
      <c r="G20" s="358"/>
      <c r="H20" s="359"/>
      <c r="I20" s="360"/>
      <c r="J20" s="361"/>
      <c r="K20" s="359"/>
    </row>
    <row r="21" spans="1:11" ht="12.75" customHeight="1">
      <c r="A21" s="358" t="s">
        <v>321</v>
      </c>
      <c r="B21" s="359" t="s">
        <v>334</v>
      </c>
      <c r="C21" s="360" t="s">
        <v>323</v>
      </c>
      <c r="D21" s="361">
        <v>0</v>
      </c>
      <c r="E21" s="359"/>
      <c r="G21" s="358" t="s">
        <v>321</v>
      </c>
      <c r="H21" s="359" t="s">
        <v>335</v>
      </c>
      <c r="I21" s="360" t="s">
        <v>323</v>
      </c>
      <c r="J21" s="361">
        <v>0</v>
      </c>
      <c r="K21" s="359" t="s">
        <v>336</v>
      </c>
    </row>
    <row r="22" spans="1:11" ht="12.75" customHeight="1">
      <c r="A22" s="358"/>
      <c r="B22" s="359"/>
      <c r="C22" s="360"/>
      <c r="D22" s="361"/>
      <c r="E22" s="359"/>
      <c r="G22" s="358"/>
      <c r="H22" s="359"/>
      <c r="I22" s="360"/>
      <c r="J22" s="361"/>
      <c r="K22" s="359"/>
    </row>
    <row r="23" spans="1:11" ht="12.75" customHeight="1">
      <c r="A23" s="358"/>
      <c r="B23" s="359"/>
      <c r="C23" s="360"/>
      <c r="D23" s="361"/>
      <c r="E23" s="359"/>
      <c r="G23" s="358"/>
      <c r="H23" s="359"/>
      <c r="I23" s="360"/>
      <c r="J23" s="361"/>
      <c r="K23" s="359"/>
    </row>
    <row r="24" spans="1:11" ht="12.75" customHeight="1">
      <c r="A24" s="358"/>
      <c r="B24" s="359"/>
      <c r="C24" s="360"/>
      <c r="D24" s="361"/>
      <c r="E24" s="359"/>
      <c r="G24" s="358"/>
      <c r="H24" s="359"/>
      <c r="I24" s="360"/>
      <c r="J24" s="361"/>
      <c r="K24" s="359"/>
    </row>
    <row r="25" spans="1:11" ht="13.35" customHeight="1">
      <c r="A25" s="358"/>
      <c r="B25" s="359"/>
      <c r="C25" s="360"/>
      <c r="D25" s="361"/>
      <c r="E25" s="359"/>
      <c r="G25" s="358"/>
      <c r="H25" s="359"/>
      <c r="I25" s="360"/>
      <c r="J25" s="361"/>
      <c r="K25" s="359"/>
    </row>
    <row r="26" spans="1:11" ht="12.75" customHeight="1">
      <c r="A26" s="358"/>
      <c r="B26" s="359"/>
      <c r="C26" s="360"/>
      <c r="D26" s="361"/>
      <c r="E26" s="359"/>
      <c r="G26" s="358"/>
      <c r="H26" s="359"/>
      <c r="I26" s="360"/>
      <c r="J26" s="361"/>
      <c r="K26" s="359"/>
    </row>
    <row r="27" spans="1:11" ht="12.75" customHeight="1">
      <c r="A27" s="358"/>
      <c r="B27" s="359"/>
      <c r="C27" s="360"/>
      <c r="D27" s="361"/>
      <c r="E27" s="359"/>
      <c r="G27" s="358"/>
      <c r="H27" s="359"/>
      <c r="I27" s="360"/>
      <c r="J27" s="361"/>
      <c r="K27" s="359"/>
    </row>
    <row r="28" spans="1:11" ht="33" customHeight="1">
      <c r="A28" s="358"/>
      <c r="B28" s="359"/>
      <c r="C28" s="360"/>
      <c r="D28" s="361"/>
      <c r="E28" s="359"/>
      <c r="G28" s="358"/>
      <c r="H28" s="359"/>
      <c r="I28" s="360"/>
      <c r="J28" s="361"/>
      <c r="K28" s="359"/>
    </row>
    <row r="29" spans="1:11" ht="24" customHeight="1">
      <c r="A29" s="358" t="s">
        <v>324</v>
      </c>
      <c r="B29" s="359" t="s">
        <v>337</v>
      </c>
      <c r="C29" s="360" t="s">
        <v>338</v>
      </c>
      <c r="D29" s="361">
        <v>0.2</v>
      </c>
      <c r="E29" s="359" t="s">
        <v>339</v>
      </c>
      <c r="G29" s="358" t="s">
        <v>324</v>
      </c>
      <c r="H29" s="359" t="s">
        <v>340</v>
      </c>
      <c r="I29" s="360" t="s">
        <v>338</v>
      </c>
      <c r="J29" s="361">
        <v>0.2</v>
      </c>
      <c r="K29" s="359" t="s">
        <v>341</v>
      </c>
    </row>
    <row r="30" spans="1:11" ht="57" customHeight="1">
      <c r="A30" s="358"/>
      <c r="B30" s="359"/>
      <c r="C30" s="360"/>
      <c r="D30" s="361"/>
      <c r="E30" s="359"/>
      <c r="G30" s="358"/>
      <c r="H30" s="359"/>
      <c r="I30" s="360"/>
      <c r="J30" s="361"/>
      <c r="K30" s="359"/>
    </row>
    <row r="31" spans="1:11" ht="39" customHeight="1">
      <c r="A31" s="358"/>
      <c r="B31" s="359"/>
      <c r="C31" s="360"/>
      <c r="D31" s="361"/>
      <c r="E31" s="359"/>
      <c r="G31" s="358"/>
      <c r="H31" s="359"/>
      <c r="I31" s="360"/>
      <c r="J31" s="361"/>
      <c r="K31" s="359"/>
    </row>
    <row r="32" spans="1:11" ht="36" customHeight="1">
      <c r="A32" s="358"/>
      <c r="B32" s="359"/>
      <c r="C32" s="360"/>
      <c r="D32" s="361"/>
      <c r="E32" s="359"/>
      <c r="G32" s="358"/>
      <c r="H32" s="359"/>
      <c r="I32" s="360"/>
      <c r="J32" s="361"/>
      <c r="K32" s="359"/>
    </row>
    <row r="33" spans="1:11" ht="24.6" customHeight="1">
      <c r="A33" s="358"/>
      <c r="B33" s="359"/>
      <c r="C33" s="360"/>
      <c r="D33" s="361"/>
      <c r="E33" s="359"/>
      <c r="G33" s="358"/>
      <c r="H33" s="359"/>
      <c r="I33" s="360"/>
      <c r="J33" s="361"/>
      <c r="K33" s="359"/>
    </row>
    <row r="34" spans="1:11" ht="120" customHeight="1">
      <c r="A34" s="358"/>
      <c r="B34" s="359"/>
      <c r="C34" s="360"/>
      <c r="D34" s="361"/>
      <c r="E34" s="359"/>
      <c r="G34" s="358"/>
      <c r="H34" s="359"/>
      <c r="I34" s="360"/>
      <c r="J34" s="361"/>
      <c r="K34" s="359"/>
    </row>
    <row r="35" spans="1:11" ht="150" customHeight="1">
      <c r="A35" s="220" t="s">
        <v>326</v>
      </c>
      <c r="B35" s="234" t="s">
        <v>342</v>
      </c>
      <c r="C35" s="221" t="s">
        <v>328</v>
      </c>
      <c r="D35" s="222" t="s">
        <v>328</v>
      </c>
      <c r="E35" s="223"/>
      <c r="G35" s="220" t="s">
        <v>326</v>
      </c>
      <c r="H35" s="223" t="s">
        <v>343</v>
      </c>
      <c r="I35" s="221" t="s">
        <v>338</v>
      </c>
      <c r="J35" s="222" t="s">
        <v>328</v>
      </c>
      <c r="K35" s="223" t="s">
        <v>344</v>
      </c>
    </row>
    <row r="36" spans="1:11" ht="13.15">
      <c r="A36" s="44"/>
      <c r="B36" s="44"/>
      <c r="G36" s="44"/>
      <c r="H36" s="44"/>
      <c r="I36" s="44"/>
      <c r="J36" s="44"/>
      <c r="K36" s="44"/>
    </row>
    <row r="37" spans="1:11" ht="13.15">
      <c r="A37" s="47"/>
      <c r="B37" s="47"/>
      <c r="G37" s="47"/>
      <c r="H37" s="47"/>
      <c r="I37" s="48"/>
      <c r="J37" s="47"/>
      <c r="K37" s="47"/>
    </row>
    <row r="38" spans="1:11" ht="13.15">
      <c r="A38" s="15"/>
      <c r="B38" s="15"/>
      <c r="G38" s="15"/>
      <c r="H38" s="15"/>
      <c r="I38" s="46"/>
      <c r="J38" s="46"/>
      <c r="K38" s="46"/>
    </row>
    <row r="39" spans="1:11" ht="13.15">
      <c r="A39" s="43" t="s">
        <v>329</v>
      </c>
      <c r="B39" s="49"/>
      <c r="C39" s="49"/>
      <c r="D39" s="49"/>
      <c r="E39" s="49"/>
      <c r="G39" s="43" t="s">
        <v>329</v>
      </c>
      <c r="H39" s="49"/>
      <c r="I39" s="50"/>
      <c r="J39" s="50"/>
      <c r="K39" s="50"/>
    </row>
  </sheetData>
  <mergeCells count="36">
    <mergeCell ref="A29:A34"/>
    <mergeCell ref="B29:B34"/>
    <mergeCell ref="C14:C20"/>
    <mergeCell ref="D14:D20"/>
    <mergeCell ref="E14:E20"/>
    <mergeCell ref="C21:C28"/>
    <mergeCell ref="D21:D28"/>
    <mergeCell ref="E21:E28"/>
    <mergeCell ref="C29:C34"/>
    <mergeCell ref="D29:D34"/>
    <mergeCell ref="E29:E34"/>
    <mergeCell ref="A7:A8"/>
    <mergeCell ref="B7:B8"/>
    <mergeCell ref="A14:A20"/>
    <mergeCell ref="B14:B20"/>
    <mergeCell ref="A21:A28"/>
    <mergeCell ref="B21:B28"/>
    <mergeCell ref="G29:G34"/>
    <mergeCell ref="H29:H34"/>
    <mergeCell ref="I29:I34"/>
    <mergeCell ref="J29:J34"/>
    <mergeCell ref="K29:K34"/>
    <mergeCell ref="H21:H28"/>
    <mergeCell ref="K14:K20"/>
    <mergeCell ref="G21:G28"/>
    <mergeCell ref="I21:I28"/>
    <mergeCell ref="J21:J28"/>
    <mergeCell ref="K21:K28"/>
    <mergeCell ref="G7:G8"/>
    <mergeCell ref="H7:H8"/>
    <mergeCell ref="I7:I8"/>
    <mergeCell ref="K7:K8"/>
    <mergeCell ref="G14:G20"/>
    <mergeCell ref="H14:H20"/>
    <mergeCell ref="I14:I20"/>
    <mergeCell ref="J14:J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5172038-F541-4CCF-9BA6-64D618125DD8}">
          <x14:formula1>
            <xm:f>'DROPDOWN LISTS'!$B$26:$B$31</xm:f>
          </x14:formula1>
          <xm:sqref>I14:I35 C14:C34</xm:sqref>
        </x14:dataValidation>
        <x14:dataValidation type="list" allowBlank="1" showInputMessage="1" showErrorMessage="1" xr:uid="{15A0D16F-5E20-46CB-A0D3-A5D70D1A44B6}">
          <x14:formula1>
            <xm:f>'DROPDOWN LISTS'!$B$26:$B$32</xm:f>
          </x14:formula1>
          <xm:sqref>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EB592-3F84-4075-A7FB-A044C727546E}">
  <sheetPr>
    <tabColor theme="0" tint="-0.14999847407452621"/>
  </sheetPr>
  <dimension ref="A3:E5"/>
  <sheetViews>
    <sheetView workbookViewId="0"/>
  </sheetViews>
  <sheetFormatPr defaultRowHeight="12.75"/>
  <cols>
    <col min="2" max="2" width="11.5703125" customWidth="1"/>
    <col min="3" max="3" width="14" customWidth="1"/>
    <col min="4" max="4" width="21.85546875" customWidth="1"/>
    <col min="5" max="5" width="52.140625" customWidth="1"/>
  </cols>
  <sheetData>
    <row r="3" spans="1:5" ht="28.5">
      <c r="A3" s="335" t="s">
        <v>55</v>
      </c>
      <c r="B3" s="335" t="s">
        <v>56</v>
      </c>
      <c r="C3" s="335" t="s">
        <v>57</v>
      </c>
      <c r="D3" s="335" t="s">
        <v>58</v>
      </c>
      <c r="E3" s="335" t="s">
        <v>59</v>
      </c>
    </row>
    <row r="4" spans="1:5" ht="76.5">
      <c r="A4" s="337">
        <v>1</v>
      </c>
      <c r="B4" s="338">
        <v>45700</v>
      </c>
      <c r="C4" s="337" t="s">
        <v>51</v>
      </c>
      <c r="D4" s="339" t="s">
        <v>60</v>
      </c>
      <c r="E4" s="339" t="s">
        <v>61</v>
      </c>
    </row>
    <row r="5" spans="1:5" ht="51">
      <c r="A5" s="340">
        <v>2</v>
      </c>
      <c r="B5" s="341">
        <v>45735</v>
      </c>
      <c r="C5" s="340" t="s">
        <v>51</v>
      </c>
      <c r="D5" s="340" t="s">
        <v>62</v>
      </c>
      <c r="E5" s="342" t="s">
        <v>63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8883D-9575-45D4-96E6-AABEB82F992D}">
  <sheetPr>
    <tabColor theme="0" tint="-0.14999847407452621"/>
  </sheetPr>
  <dimension ref="A1:N38"/>
  <sheetViews>
    <sheetView showGridLines="0" zoomScale="80" zoomScaleNormal="80" workbookViewId="0"/>
  </sheetViews>
  <sheetFormatPr defaultRowHeight="12.75"/>
  <cols>
    <col min="1" max="1" width="39.85546875" customWidth="1"/>
    <col min="2" max="2" width="98.85546875" customWidth="1"/>
    <col min="3" max="3" width="14.28515625" customWidth="1"/>
    <col min="4" max="4" width="13" customWidth="1"/>
    <col min="5" max="5" width="41.140625" customWidth="1"/>
    <col min="10" max="10" width="30.140625" customWidth="1"/>
    <col min="11" max="11" width="60.140625" customWidth="1"/>
  </cols>
  <sheetData>
    <row r="1" spans="1:14" ht="30.75">
      <c r="A1" s="1" t="e">
        <f ca="1" xml:space="preserve"> RIGHT(CELL("filename", $A$1), LEN(CELL("filename", $A$1)) - SEARCH("]", CELL("filename", $A$1)))</f>
        <v>#VALUE!</v>
      </c>
    </row>
    <row r="2" spans="1:14" ht="13.15">
      <c r="J2" s="261" t="s">
        <v>330</v>
      </c>
    </row>
    <row r="3" spans="1:14" ht="13.15">
      <c r="A3" s="59" t="s">
        <v>148</v>
      </c>
      <c r="B3" s="106" t="s">
        <v>108</v>
      </c>
      <c r="C3" s="47"/>
      <c r="D3" s="104"/>
      <c r="E3" s="104"/>
      <c r="J3" s="59" t="s">
        <v>148</v>
      </c>
      <c r="K3" s="106" t="s">
        <v>108</v>
      </c>
      <c r="L3" s="47"/>
      <c r="M3" s="104"/>
      <c r="N3" s="104"/>
    </row>
    <row r="4" spans="1:14" ht="13.15">
      <c r="A4" s="59" t="s">
        <v>304</v>
      </c>
      <c r="B4" s="107" t="s">
        <v>305</v>
      </c>
      <c r="C4" s="47"/>
      <c r="D4" s="105"/>
      <c r="E4" s="104"/>
      <c r="J4" s="59" t="s">
        <v>304</v>
      </c>
      <c r="K4" s="107" t="s">
        <v>305</v>
      </c>
      <c r="L4" s="47"/>
      <c r="M4" s="105"/>
      <c r="N4" s="104"/>
    </row>
    <row r="5" spans="1:14" ht="13.15">
      <c r="A5" s="59" t="s">
        <v>306</v>
      </c>
      <c r="B5" s="107" t="s">
        <v>307</v>
      </c>
      <c r="C5" s="47"/>
      <c r="D5" s="105"/>
      <c r="E5" s="104"/>
      <c r="J5" s="59" t="s">
        <v>306</v>
      </c>
      <c r="K5" s="107" t="s">
        <v>307</v>
      </c>
      <c r="L5" s="47"/>
      <c r="M5" s="105"/>
      <c r="N5" s="104"/>
    </row>
    <row r="6" spans="1:14" ht="13.15">
      <c r="A6" s="59" t="s">
        <v>308</v>
      </c>
      <c r="B6" s="107"/>
      <c r="C6" s="47"/>
      <c r="D6" s="105"/>
      <c r="E6" s="104"/>
      <c r="J6" s="59" t="s">
        <v>308</v>
      </c>
      <c r="K6" s="107"/>
      <c r="L6" s="47"/>
      <c r="M6" s="105"/>
      <c r="N6" s="104"/>
    </row>
    <row r="7" spans="1:14" ht="13.15">
      <c r="A7" s="362" t="s">
        <v>309</v>
      </c>
      <c r="B7" s="364">
        <f ca="1">'Materiality &amp; shallow dive'!E10</f>
        <v>39.082000000000008</v>
      </c>
      <c r="C7" s="367"/>
      <c r="D7" s="105"/>
      <c r="E7" s="344"/>
      <c r="J7" s="362" t="s">
        <v>345</v>
      </c>
      <c r="K7" s="365">
        <v>125.31</v>
      </c>
      <c r="L7" s="367"/>
      <c r="M7" s="105"/>
      <c r="N7" s="344"/>
    </row>
    <row r="8" spans="1:14" ht="13.15">
      <c r="A8" s="363"/>
      <c r="B8" s="364"/>
      <c r="C8" s="367"/>
      <c r="D8" s="105"/>
      <c r="E8" s="344"/>
      <c r="J8" s="363"/>
      <c r="K8" s="366"/>
      <c r="L8" s="367"/>
      <c r="M8" s="105"/>
      <c r="N8" s="344"/>
    </row>
    <row r="9" spans="1:14" ht="26.25">
      <c r="A9" s="28" t="s">
        <v>346</v>
      </c>
      <c r="B9" s="108">
        <f ca="1">B7</f>
        <v>39.082000000000008</v>
      </c>
      <c r="C9" s="47"/>
      <c r="D9" s="105"/>
      <c r="E9" s="104"/>
      <c r="J9" s="28" t="s">
        <v>346</v>
      </c>
      <c r="K9" s="108">
        <v>125.31</v>
      </c>
      <c r="L9" s="47"/>
      <c r="M9" s="105"/>
      <c r="N9" s="104"/>
    </row>
    <row r="10" spans="1:14" ht="13.15">
      <c r="A10" s="112" t="s">
        <v>311</v>
      </c>
      <c r="B10" s="109">
        <f>SUM(D14:D34)</f>
        <v>0.2</v>
      </c>
      <c r="C10" s="47"/>
      <c r="D10" s="105"/>
      <c r="E10" s="104"/>
      <c r="J10" s="112" t="s">
        <v>311</v>
      </c>
      <c r="K10" s="109">
        <v>0.75</v>
      </c>
      <c r="L10" s="47"/>
      <c r="M10" s="105"/>
      <c r="N10" s="104"/>
    </row>
    <row r="11" spans="1:14" ht="13.15">
      <c r="A11" s="112" t="s">
        <v>312</v>
      </c>
      <c r="B11" s="268">
        <f ca="1">(1-B10)*B7</f>
        <v>31.265600000000006</v>
      </c>
      <c r="C11" s="37"/>
      <c r="D11" s="37"/>
      <c r="E11" s="37"/>
      <c r="J11" s="112" t="s">
        <v>312</v>
      </c>
      <c r="K11" s="110">
        <v>31.33</v>
      </c>
      <c r="L11" s="37"/>
      <c r="M11" s="37"/>
      <c r="N11" s="37"/>
    </row>
    <row r="12" spans="1:14">
      <c r="A12" s="37"/>
      <c r="B12" s="37"/>
      <c r="C12" s="37"/>
      <c r="D12" s="37"/>
      <c r="E12" s="37"/>
      <c r="J12" s="37"/>
      <c r="K12" s="37"/>
      <c r="L12" s="37"/>
      <c r="M12" s="37"/>
      <c r="N12" s="37"/>
    </row>
    <row r="13" spans="1:14" ht="39.4">
      <c r="A13" s="111" t="s">
        <v>313</v>
      </c>
      <c r="B13" s="111" t="s">
        <v>314</v>
      </c>
      <c r="C13" s="111" t="s">
        <v>315</v>
      </c>
      <c r="D13" s="111" t="s">
        <v>316</v>
      </c>
      <c r="E13" s="111" t="s">
        <v>68</v>
      </c>
      <c r="J13" s="111" t="s">
        <v>313</v>
      </c>
      <c r="K13" s="111" t="s">
        <v>314</v>
      </c>
      <c r="L13" s="111" t="s">
        <v>315</v>
      </c>
      <c r="M13" s="111" t="s">
        <v>316</v>
      </c>
      <c r="N13" s="111" t="s">
        <v>68</v>
      </c>
    </row>
    <row r="14" spans="1:14" ht="13.35" customHeight="1">
      <c r="A14" s="369" t="s">
        <v>318</v>
      </c>
      <c r="B14" s="371" t="s">
        <v>347</v>
      </c>
      <c r="C14" s="372" t="s">
        <v>323</v>
      </c>
      <c r="D14" s="373">
        <v>0</v>
      </c>
      <c r="E14" s="374" t="s">
        <v>348</v>
      </c>
      <c r="J14" s="369" t="s">
        <v>318</v>
      </c>
      <c r="K14" s="371" t="s">
        <v>349</v>
      </c>
      <c r="L14" s="372" t="s">
        <v>320</v>
      </c>
      <c r="M14" s="373">
        <v>0.75</v>
      </c>
      <c r="N14" s="371" t="s">
        <v>350</v>
      </c>
    </row>
    <row r="15" spans="1:14" ht="13.35" customHeight="1">
      <c r="A15" s="369"/>
      <c r="B15" s="359"/>
      <c r="C15" s="360"/>
      <c r="D15" s="361"/>
      <c r="E15" s="375"/>
      <c r="J15" s="369"/>
      <c r="K15" s="359"/>
      <c r="L15" s="360"/>
      <c r="M15" s="361"/>
      <c r="N15" s="359"/>
    </row>
    <row r="16" spans="1:14" ht="13.35" customHeight="1">
      <c r="A16" s="369"/>
      <c r="B16" s="359"/>
      <c r="C16" s="360"/>
      <c r="D16" s="361"/>
      <c r="E16" s="375"/>
      <c r="J16" s="369"/>
      <c r="K16" s="359"/>
      <c r="L16" s="360"/>
      <c r="M16" s="361"/>
      <c r="N16" s="359"/>
    </row>
    <row r="17" spans="1:14" ht="13.35" customHeight="1">
      <c r="A17" s="369"/>
      <c r="B17" s="359"/>
      <c r="C17" s="360"/>
      <c r="D17" s="361"/>
      <c r="E17" s="375"/>
      <c r="J17" s="369"/>
      <c r="K17" s="359"/>
      <c r="L17" s="360"/>
      <c r="M17" s="361"/>
      <c r="N17" s="359"/>
    </row>
    <row r="18" spans="1:14" ht="13.35" customHeight="1">
      <c r="A18" s="369"/>
      <c r="B18" s="359"/>
      <c r="C18" s="360"/>
      <c r="D18" s="361"/>
      <c r="E18" s="375"/>
      <c r="J18" s="369"/>
      <c r="K18" s="359"/>
      <c r="L18" s="360"/>
      <c r="M18" s="361"/>
      <c r="N18" s="359"/>
    </row>
    <row r="19" spans="1:14" ht="13.35" customHeight="1">
      <c r="A19" s="369"/>
      <c r="B19" s="359"/>
      <c r="C19" s="360"/>
      <c r="D19" s="361"/>
      <c r="E19" s="375"/>
      <c r="J19" s="369"/>
      <c r="K19" s="359"/>
      <c r="L19" s="360"/>
      <c r="M19" s="361"/>
      <c r="N19" s="359"/>
    </row>
    <row r="20" spans="1:14" ht="85.5" customHeight="1">
      <c r="A20" s="370"/>
      <c r="B20" s="359"/>
      <c r="C20" s="360"/>
      <c r="D20" s="361"/>
      <c r="E20" s="375"/>
      <c r="J20" s="370"/>
      <c r="K20" s="359"/>
      <c r="L20" s="360"/>
      <c r="M20" s="361"/>
      <c r="N20" s="359"/>
    </row>
    <row r="21" spans="1:14" ht="13.35" customHeight="1">
      <c r="A21" s="368" t="s">
        <v>321</v>
      </c>
      <c r="B21" s="359" t="s">
        <v>351</v>
      </c>
      <c r="C21" s="360" t="s">
        <v>323</v>
      </c>
      <c r="D21" s="361">
        <v>0</v>
      </c>
      <c r="E21" s="375"/>
      <c r="J21" s="368" t="s">
        <v>321</v>
      </c>
      <c r="K21" s="359" t="s">
        <v>352</v>
      </c>
      <c r="L21" s="360" t="s">
        <v>323</v>
      </c>
      <c r="M21" s="361">
        <v>0</v>
      </c>
      <c r="N21" s="359"/>
    </row>
    <row r="22" spans="1:14" ht="13.35" customHeight="1">
      <c r="A22" s="369"/>
      <c r="B22" s="359"/>
      <c r="C22" s="360"/>
      <c r="D22" s="361"/>
      <c r="E22" s="375"/>
      <c r="J22" s="369"/>
      <c r="K22" s="359"/>
      <c r="L22" s="360"/>
      <c r="M22" s="361"/>
      <c r="N22" s="359"/>
    </row>
    <row r="23" spans="1:14" ht="13.35" customHeight="1">
      <c r="A23" s="369"/>
      <c r="B23" s="359"/>
      <c r="C23" s="360"/>
      <c r="D23" s="361"/>
      <c r="E23" s="375"/>
      <c r="J23" s="369"/>
      <c r="K23" s="359"/>
      <c r="L23" s="360"/>
      <c r="M23" s="361"/>
      <c r="N23" s="359"/>
    </row>
    <row r="24" spans="1:14" ht="13.35" customHeight="1">
      <c r="A24" s="369"/>
      <c r="B24" s="359"/>
      <c r="C24" s="360"/>
      <c r="D24" s="361"/>
      <c r="E24" s="375"/>
      <c r="J24" s="369"/>
      <c r="K24" s="359"/>
      <c r="L24" s="360"/>
      <c r="M24" s="361"/>
      <c r="N24" s="359"/>
    </row>
    <row r="25" spans="1:14" ht="13.35" customHeight="1">
      <c r="A25" s="369"/>
      <c r="B25" s="359"/>
      <c r="C25" s="360"/>
      <c r="D25" s="361"/>
      <c r="E25" s="375"/>
      <c r="J25" s="369"/>
      <c r="K25" s="359"/>
      <c r="L25" s="360"/>
      <c r="M25" s="361"/>
      <c r="N25" s="359"/>
    </row>
    <row r="26" spans="1:14" ht="13.35" customHeight="1">
      <c r="A26" s="369"/>
      <c r="B26" s="359"/>
      <c r="C26" s="360"/>
      <c r="D26" s="361"/>
      <c r="E26" s="375"/>
      <c r="J26" s="369"/>
      <c r="K26" s="359"/>
      <c r="L26" s="360"/>
      <c r="M26" s="361"/>
      <c r="N26" s="359"/>
    </row>
    <row r="27" spans="1:14" ht="13.35" customHeight="1">
      <c r="A27" s="369"/>
      <c r="B27" s="359"/>
      <c r="C27" s="360"/>
      <c r="D27" s="361"/>
      <c r="E27" s="375"/>
      <c r="J27" s="369"/>
      <c r="K27" s="359"/>
      <c r="L27" s="360"/>
      <c r="M27" s="361"/>
      <c r="N27" s="359"/>
    </row>
    <row r="28" spans="1:14" ht="13.35" customHeight="1">
      <c r="A28" s="370"/>
      <c r="B28" s="359"/>
      <c r="C28" s="360"/>
      <c r="D28" s="361"/>
      <c r="E28" s="375"/>
      <c r="J28" s="370"/>
      <c r="K28" s="359"/>
      <c r="L28" s="360"/>
      <c r="M28" s="361"/>
      <c r="N28" s="359"/>
    </row>
    <row r="29" spans="1:14" ht="24" customHeight="1">
      <c r="A29" s="368" t="s">
        <v>324</v>
      </c>
      <c r="B29" s="359" t="s">
        <v>353</v>
      </c>
      <c r="C29" s="360" t="s">
        <v>338</v>
      </c>
      <c r="D29" s="361">
        <v>0.2</v>
      </c>
      <c r="E29" s="375"/>
      <c r="J29" s="368" t="s">
        <v>324</v>
      </c>
      <c r="K29" s="359" t="s">
        <v>354</v>
      </c>
      <c r="L29" s="360"/>
      <c r="M29" s="361" t="s">
        <v>355</v>
      </c>
      <c r="N29" s="359" t="s">
        <v>356</v>
      </c>
    </row>
    <row r="30" spans="1:14" ht="24" customHeight="1">
      <c r="A30" s="369"/>
      <c r="B30" s="359"/>
      <c r="C30" s="360"/>
      <c r="D30" s="361"/>
      <c r="E30" s="375"/>
      <c r="J30" s="369"/>
      <c r="K30" s="359"/>
      <c r="L30" s="360"/>
      <c r="M30" s="361"/>
      <c r="N30" s="359"/>
    </row>
    <row r="31" spans="1:14" ht="30" customHeight="1">
      <c r="A31" s="369"/>
      <c r="B31" s="359"/>
      <c r="C31" s="360"/>
      <c r="D31" s="361"/>
      <c r="E31" s="375"/>
      <c r="J31" s="369"/>
      <c r="K31" s="359"/>
      <c r="L31" s="360"/>
      <c r="M31" s="361"/>
      <c r="N31" s="359"/>
    </row>
    <row r="32" spans="1:14" ht="30" customHeight="1">
      <c r="A32" s="369"/>
      <c r="B32" s="359"/>
      <c r="C32" s="360"/>
      <c r="D32" s="361"/>
      <c r="E32" s="375"/>
      <c r="F32" s="29"/>
      <c r="J32" s="369"/>
      <c r="K32" s="359"/>
      <c r="L32" s="360"/>
      <c r="M32" s="361"/>
      <c r="N32" s="359"/>
    </row>
    <row r="33" spans="1:14" ht="30" customHeight="1">
      <c r="A33" s="369"/>
      <c r="B33" s="359"/>
      <c r="C33" s="360"/>
      <c r="D33" s="361"/>
      <c r="E33" s="375"/>
      <c r="J33" s="369"/>
      <c r="K33" s="359"/>
      <c r="L33" s="360"/>
      <c r="M33" s="361"/>
      <c r="N33" s="359"/>
    </row>
    <row r="34" spans="1:14" ht="52.5" customHeight="1">
      <c r="A34" s="370"/>
      <c r="B34" s="359"/>
      <c r="C34" s="360"/>
      <c r="D34" s="361"/>
      <c r="E34" s="375"/>
      <c r="J34" s="370"/>
      <c r="K34" s="359"/>
      <c r="L34" s="360"/>
      <c r="M34" s="361"/>
      <c r="N34" s="359"/>
    </row>
    <row r="35" spans="1:14" ht="135" customHeight="1">
      <c r="A35" s="224" t="s">
        <v>326</v>
      </c>
      <c r="B35" s="223" t="s">
        <v>357</v>
      </c>
      <c r="C35" s="221"/>
      <c r="D35" s="222" t="s">
        <v>328</v>
      </c>
      <c r="E35" s="372"/>
      <c r="J35" s="224" t="s">
        <v>326</v>
      </c>
      <c r="K35" s="223" t="s">
        <v>358</v>
      </c>
      <c r="L35" s="221" t="s">
        <v>338</v>
      </c>
      <c r="M35" s="222" t="s">
        <v>328</v>
      </c>
      <c r="N35" s="223" t="s">
        <v>356</v>
      </c>
    </row>
    <row r="36" spans="1:14" ht="13.15">
      <c r="A36" s="47"/>
      <c r="B36" s="47"/>
      <c r="C36" s="48"/>
      <c r="D36" s="47"/>
      <c r="E36" s="47"/>
      <c r="J36" s="47"/>
      <c r="K36" s="47"/>
      <c r="L36" s="48"/>
      <c r="M36" s="47"/>
      <c r="N36" s="47"/>
    </row>
    <row r="37" spans="1:14" ht="13.15">
      <c r="A37" s="15"/>
      <c r="B37" s="15"/>
      <c r="C37" s="46"/>
      <c r="D37" s="46"/>
      <c r="E37" s="46"/>
      <c r="J37" s="15"/>
      <c r="K37" s="15"/>
      <c r="L37" s="46"/>
      <c r="M37" s="46"/>
      <c r="N37" s="46"/>
    </row>
    <row r="38" spans="1:14" ht="13.15">
      <c r="A38" s="43" t="s">
        <v>329</v>
      </c>
      <c r="B38" s="49"/>
      <c r="C38" s="50"/>
      <c r="D38" s="50"/>
      <c r="E38" s="50"/>
      <c r="J38" s="43" t="s">
        <v>329</v>
      </c>
      <c r="K38" s="49"/>
      <c r="L38" s="50"/>
      <c r="M38" s="50"/>
      <c r="N38" s="50"/>
    </row>
  </sheetData>
  <mergeCells count="36">
    <mergeCell ref="A7:A8"/>
    <mergeCell ref="B7:B8"/>
    <mergeCell ref="C7:C8"/>
    <mergeCell ref="E7:E8"/>
    <mergeCell ref="A14:A20"/>
    <mergeCell ref="B14:B20"/>
    <mergeCell ref="C14:C20"/>
    <mergeCell ref="D14:D20"/>
    <mergeCell ref="E14:E35"/>
    <mergeCell ref="C29:C34"/>
    <mergeCell ref="D29:D34"/>
    <mergeCell ref="A21:A28"/>
    <mergeCell ref="B21:B28"/>
    <mergeCell ref="C21:C28"/>
    <mergeCell ref="D21:D28"/>
    <mergeCell ref="A29:A34"/>
    <mergeCell ref="J21:J28"/>
    <mergeCell ref="K21:K28"/>
    <mergeCell ref="L21:L28"/>
    <mergeCell ref="M21:M28"/>
    <mergeCell ref="N21:N28"/>
    <mergeCell ref="J7:J8"/>
    <mergeCell ref="K7:K8"/>
    <mergeCell ref="L7:L8"/>
    <mergeCell ref="N7:N8"/>
    <mergeCell ref="J14:J20"/>
    <mergeCell ref="K14:K20"/>
    <mergeCell ref="L14:L20"/>
    <mergeCell ref="M14:M20"/>
    <mergeCell ref="N14:N20"/>
    <mergeCell ref="K29:K34"/>
    <mergeCell ref="L29:L34"/>
    <mergeCell ref="M29:M34"/>
    <mergeCell ref="N29:N34"/>
    <mergeCell ref="B29:B34"/>
    <mergeCell ref="J29:J3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F7FDDBEE-B0DD-4F7A-9D3F-DCAC67F4382B}">
          <x14:formula1>
            <xm:f>'DROPDOWN LISTS'!$B$26:$B$31</xm:f>
          </x14:formula1>
          <xm:sqref>C35 C14:C28 L35 L14:L28</xm:sqref>
        </x14:dataValidation>
        <x14:dataValidation type="list" allowBlank="1" showInputMessage="1" showErrorMessage="1" xr:uid="{A999FFF8-21FE-4952-8D57-BB67A432F298}">
          <x14:formula1>
            <xm:f>'DROPDOWN LISTS'!$B$26:$B$32</xm:f>
          </x14:formula1>
          <xm:sqref>C29:C34 L29:L34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173F0-BBF9-493F-A71E-085B853C44DA}">
  <sheetPr>
    <tabColor theme="0" tint="-0.14999847407452621"/>
  </sheetPr>
  <dimension ref="A1:K39"/>
  <sheetViews>
    <sheetView showGridLines="0" zoomScale="80" zoomScaleNormal="80" workbookViewId="0"/>
  </sheetViews>
  <sheetFormatPr defaultRowHeight="12.75"/>
  <cols>
    <col min="1" max="1" width="40.7109375" customWidth="1"/>
    <col min="2" max="2" width="96.7109375" customWidth="1"/>
    <col min="3" max="3" width="14.85546875" customWidth="1"/>
    <col min="4" max="4" width="12.5703125" customWidth="1"/>
    <col min="5" max="5" width="40" customWidth="1"/>
    <col min="7" max="7" width="36.140625" bestFit="1" customWidth="1"/>
    <col min="8" max="8" width="84.85546875" customWidth="1"/>
    <col min="9" max="9" width="12.85546875" customWidth="1"/>
    <col min="10" max="10" width="14.5703125" customWidth="1"/>
    <col min="11" max="11" width="23.85546875" customWidth="1"/>
  </cols>
  <sheetData>
    <row r="1" spans="1:11" ht="30.75">
      <c r="A1" s="1" t="e">
        <f ca="1" xml:space="preserve"> RIGHT(CELL("filename", $A$1), LEN(CELL("filename", $A$1)) - SEARCH("]", CELL("filename", $A$1)))</f>
        <v>#VALUE!</v>
      </c>
    </row>
    <row r="2" spans="1:11" ht="13.15">
      <c r="G2" s="261" t="s">
        <v>330</v>
      </c>
    </row>
    <row r="3" spans="1:11" ht="13.15">
      <c r="A3" s="59" t="s">
        <v>148</v>
      </c>
      <c r="B3" s="106" t="s">
        <v>111</v>
      </c>
      <c r="G3" s="59" t="s">
        <v>148</v>
      </c>
      <c r="H3" s="106" t="s">
        <v>111</v>
      </c>
    </row>
    <row r="4" spans="1:11" ht="13.15">
      <c r="A4" s="59" t="s">
        <v>304</v>
      </c>
      <c r="B4" s="107" t="s">
        <v>305</v>
      </c>
      <c r="C4" s="47"/>
      <c r="D4" s="105"/>
      <c r="E4" s="104"/>
      <c r="F4" s="57"/>
      <c r="G4" s="59" t="s">
        <v>304</v>
      </c>
      <c r="H4" s="107" t="s">
        <v>305</v>
      </c>
      <c r="I4" s="47"/>
      <c r="J4" s="105"/>
      <c r="K4" s="104"/>
    </row>
    <row r="5" spans="1:11" ht="13.15">
      <c r="A5" s="59" t="s">
        <v>306</v>
      </c>
      <c r="B5" s="107" t="s">
        <v>307</v>
      </c>
      <c r="C5" s="47"/>
      <c r="D5" s="105"/>
      <c r="E5" s="104"/>
      <c r="G5" s="59" t="s">
        <v>306</v>
      </c>
      <c r="H5" s="107" t="s">
        <v>307</v>
      </c>
      <c r="I5" s="47"/>
      <c r="J5" s="105"/>
      <c r="K5" s="104"/>
    </row>
    <row r="6" spans="1:11" ht="13.15">
      <c r="A6" s="59" t="s">
        <v>308</v>
      </c>
      <c r="B6" s="107"/>
      <c r="C6" s="47"/>
      <c r="D6" s="105"/>
      <c r="E6" s="104"/>
      <c r="F6" s="57"/>
      <c r="G6" s="59" t="s">
        <v>308</v>
      </c>
      <c r="H6" s="107"/>
      <c r="I6" s="47"/>
      <c r="J6" s="105"/>
      <c r="K6" s="104"/>
    </row>
    <row r="7" spans="1:11" ht="13.15">
      <c r="A7" s="362" t="s">
        <v>309</v>
      </c>
      <c r="B7" s="364">
        <f ca="1">'Materiality &amp; shallow dive'!E13</f>
        <v>92.847000000000008</v>
      </c>
      <c r="C7" s="367"/>
      <c r="D7" s="105"/>
      <c r="E7" s="344"/>
      <c r="G7" s="362" t="s">
        <v>309</v>
      </c>
      <c r="H7" s="365">
        <v>38.9</v>
      </c>
      <c r="I7" s="367"/>
      <c r="J7" s="105"/>
      <c r="K7" s="344"/>
    </row>
    <row r="8" spans="1:11" ht="8.1" customHeight="1">
      <c r="A8" s="363"/>
      <c r="B8" s="364"/>
      <c r="C8" s="367"/>
      <c r="D8" s="105"/>
      <c r="E8" s="344"/>
      <c r="G8" s="363"/>
      <c r="H8" s="366"/>
      <c r="I8" s="367"/>
      <c r="J8" s="105"/>
      <c r="K8" s="344"/>
    </row>
    <row r="9" spans="1:11" ht="26.25">
      <c r="A9" s="59" t="s">
        <v>310</v>
      </c>
      <c r="B9" s="108">
        <f ca="1">B7</f>
        <v>92.847000000000008</v>
      </c>
      <c r="C9" s="47"/>
      <c r="D9" s="105"/>
      <c r="E9" s="104"/>
      <c r="G9" s="59" t="s">
        <v>310</v>
      </c>
      <c r="H9" s="108">
        <v>38.9</v>
      </c>
      <c r="I9" s="47"/>
      <c r="J9" s="105"/>
      <c r="K9" s="104"/>
    </row>
    <row r="10" spans="1:11" ht="13.15">
      <c r="A10" s="28" t="s">
        <v>311</v>
      </c>
      <c r="B10" s="113">
        <f>SUM(D14:D34)</f>
        <v>0.3</v>
      </c>
      <c r="C10" s="47"/>
      <c r="D10" s="105"/>
      <c r="E10" s="104"/>
      <c r="G10" s="28" t="s">
        <v>311</v>
      </c>
      <c r="H10" s="113">
        <v>0.3</v>
      </c>
      <c r="I10" s="47"/>
      <c r="J10" s="105"/>
      <c r="K10" s="104"/>
    </row>
    <row r="11" spans="1:11" ht="13.15">
      <c r="A11" s="30" t="s">
        <v>312</v>
      </c>
      <c r="B11" s="268">
        <f ca="1">(1-B10)*B7</f>
        <v>64.992900000000006</v>
      </c>
      <c r="C11" s="37"/>
      <c r="D11" s="37"/>
      <c r="E11" s="37"/>
      <c r="G11" s="30" t="s">
        <v>312</v>
      </c>
      <c r="H11" s="110">
        <v>27.23</v>
      </c>
      <c r="I11" s="37"/>
      <c r="J11" s="37"/>
      <c r="K11" s="37"/>
    </row>
    <row r="12" spans="1:11">
      <c r="A12" s="37"/>
      <c r="B12" s="37"/>
      <c r="C12" s="37"/>
      <c r="D12" s="37"/>
      <c r="E12" s="37"/>
      <c r="G12" s="37"/>
      <c r="H12" s="37"/>
      <c r="I12" s="37"/>
      <c r="J12" s="37"/>
      <c r="K12" s="37"/>
    </row>
    <row r="13" spans="1:11" ht="26.25">
      <c r="A13" s="111" t="s">
        <v>313</v>
      </c>
      <c r="B13" s="111" t="s">
        <v>314</v>
      </c>
      <c r="C13" s="111" t="s">
        <v>315</v>
      </c>
      <c r="D13" s="111" t="s">
        <v>316</v>
      </c>
      <c r="E13" s="111" t="s">
        <v>317</v>
      </c>
      <c r="G13" s="111" t="s">
        <v>313</v>
      </c>
      <c r="H13" s="111" t="s">
        <v>314</v>
      </c>
      <c r="I13" s="111" t="s">
        <v>315</v>
      </c>
      <c r="J13" s="111" t="s">
        <v>316</v>
      </c>
      <c r="K13" s="111" t="s">
        <v>317</v>
      </c>
    </row>
    <row r="14" spans="1:11" ht="13.35" customHeight="1">
      <c r="A14" s="377" t="s">
        <v>318</v>
      </c>
      <c r="B14" s="376" t="s">
        <v>359</v>
      </c>
      <c r="C14" s="360" t="s">
        <v>323</v>
      </c>
      <c r="D14" s="361">
        <v>0</v>
      </c>
      <c r="E14" s="371" t="s">
        <v>360</v>
      </c>
      <c r="G14" s="377" t="s">
        <v>318</v>
      </c>
      <c r="H14" s="376" t="s">
        <v>361</v>
      </c>
      <c r="I14" s="360" t="s">
        <v>323</v>
      </c>
      <c r="J14" s="361">
        <v>0</v>
      </c>
      <c r="K14" s="371" t="s">
        <v>362</v>
      </c>
    </row>
    <row r="15" spans="1:11" ht="12.75" customHeight="1">
      <c r="A15" s="358"/>
      <c r="B15" s="376"/>
      <c r="C15" s="360"/>
      <c r="D15" s="361"/>
      <c r="E15" s="359"/>
      <c r="G15" s="358"/>
      <c r="H15" s="376"/>
      <c r="I15" s="360"/>
      <c r="J15" s="361"/>
      <c r="K15" s="359"/>
    </row>
    <row r="16" spans="1:11" ht="12.75" customHeight="1">
      <c r="A16" s="358"/>
      <c r="B16" s="376"/>
      <c r="C16" s="360"/>
      <c r="D16" s="361"/>
      <c r="E16" s="359"/>
      <c r="G16" s="358"/>
      <c r="H16" s="376"/>
      <c r="I16" s="360"/>
      <c r="J16" s="361"/>
      <c r="K16" s="359"/>
    </row>
    <row r="17" spans="1:11" ht="12.75" customHeight="1">
      <c r="A17" s="358"/>
      <c r="B17" s="376"/>
      <c r="C17" s="360"/>
      <c r="D17" s="361"/>
      <c r="E17" s="359"/>
      <c r="G17" s="358"/>
      <c r="H17" s="376"/>
      <c r="I17" s="360"/>
      <c r="J17" s="361"/>
      <c r="K17" s="359"/>
    </row>
    <row r="18" spans="1:11" ht="13.35" customHeight="1">
      <c r="A18" s="358"/>
      <c r="B18" s="376"/>
      <c r="C18" s="360"/>
      <c r="D18" s="361"/>
      <c r="E18" s="359"/>
      <c r="G18" s="358"/>
      <c r="H18" s="376"/>
      <c r="I18" s="360"/>
      <c r="J18" s="361"/>
      <c r="K18" s="359"/>
    </row>
    <row r="19" spans="1:11" ht="13.35" customHeight="1">
      <c r="A19" s="358"/>
      <c r="B19" s="376"/>
      <c r="C19" s="360"/>
      <c r="D19" s="361"/>
      <c r="E19" s="359"/>
      <c r="G19" s="358"/>
      <c r="H19" s="376"/>
      <c r="I19" s="360"/>
      <c r="J19" s="361"/>
      <c r="K19" s="359"/>
    </row>
    <row r="20" spans="1:11" ht="147.75" customHeight="1">
      <c r="A20" s="358"/>
      <c r="B20" s="376"/>
      <c r="C20" s="360"/>
      <c r="D20" s="361"/>
      <c r="E20" s="359"/>
      <c r="G20" s="358"/>
      <c r="H20" s="376"/>
      <c r="I20" s="360"/>
      <c r="J20" s="361"/>
      <c r="K20" s="359"/>
    </row>
    <row r="21" spans="1:11" ht="13.35" customHeight="1">
      <c r="A21" s="358" t="s">
        <v>321</v>
      </c>
      <c r="B21" s="376" t="s">
        <v>363</v>
      </c>
      <c r="C21" s="360" t="s">
        <v>323</v>
      </c>
      <c r="D21" s="361">
        <v>0</v>
      </c>
      <c r="E21" s="359"/>
      <c r="G21" s="358" t="s">
        <v>321</v>
      </c>
      <c r="H21" s="376" t="s">
        <v>364</v>
      </c>
      <c r="I21" s="360" t="s">
        <v>323</v>
      </c>
      <c r="J21" s="361">
        <v>0</v>
      </c>
      <c r="K21" s="359" t="s">
        <v>365</v>
      </c>
    </row>
    <row r="22" spans="1:11" ht="13.35" customHeight="1">
      <c r="A22" s="358"/>
      <c r="B22" s="376"/>
      <c r="C22" s="360"/>
      <c r="D22" s="361"/>
      <c r="E22" s="359"/>
      <c r="G22" s="358"/>
      <c r="H22" s="376"/>
      <c r="I22" s="360"/>
      <c r="J22" s="361"/>
      <c r="K22" s="359"/>
    </row>
    <row r="23" spans="1:11" ht="13.35" customHeight="1">
      <c r="A23" s="358"/>
      <c r="B23" s="376"/>
      <c r="C23" s="360"/>
      <c r="D23" s="361"/>
      <c r="E23" s="359"/>
      <c r="G23" s="358"/>
      <c r="H23" s="376"/>
      <c r="I23" s="360"/>
      <c r="J23" s="361"/>
      <c r="K23" s="359"/>
    </row>
    <row r="24" spans="1:11" ht="13.35" customHeight="1">
      <c r="A24" s="358"/>
      <c r="B24" s="376"/>
      <c r="C24" s="360"/>
      <c r="D24" s="361"/>
      <c r="E24" s="359"/>
      <c r="G24" s="358"/>
      <c r="H24" s="376"/>
      <c r="I24" s="360"/>
      <c r="J24" s="361"/>
      <c r="K24" s="359"/>
    </row>
    <row r="25" spans="1:11" ht="13.35" customHeight="1">
      <c r="A25" s="358"/>
      <c r="B25" s="376"/>
      <c r="C25" s="360"/>
      <c r="D25" s="361"/>
      <c r="E25" s="359"/>
      <c r="G25" s="358"/>
      <c r="H25" s="376"/>
      <c r="I25" s="360"/>
      <c r="J25" s="361"/>
      <c r="K25" s="359"/>
    </row>
    <row r="26" spans="1:11" ht="13.35" customHeight="1">
      <c r="A26" s="358"/>
      <c r="B26" s="376"/>
      <c r="C26" s="360"/>
      <c r="D26" s="361"/>
      <c r="E26" s="359"/>
      <c r="G26" s="358"/>
      <c r="H26" s="376"/>
      <c r="I26" s="360"/>
      <c r="J26" s="361"/>
      <c r="K26" s="359"/>
    </row>
    <row r="27" spans="1:11" ht="13.35" customHeight="1">
      <c r="A27" s="358"/>
      <c r="B27" s="376"/>
      <c r="C27" s="360"/>
      <c r="D27" s="361"/>
      <c r="E27" s="359"/>
      <c r="G27" s="358"/>
      <c r="H27" s="376"/>
      <c r="I27" s="360"/>
      <c r="J27" s="361"/>
      <c r="K27" s="359"/>
    </row>
    <row r="28" spans="1:11" ht="41.25" customHeight="1">
      <c r="A28" s="358"/>
      <c r="B28" s="376"/>
      <c r="C28" s="360"/>
      <c r="D28" s="361"/>
      <c r="E28" s="359"/>
      <c r="G28" s="358"/>
      <c r="H28" s="376"/>
      <c r="I28" s="360"/>
      <c r="J28" s="361"/>
      <c r="K28" s="359"/>
    </row>
    <row r="29" spans="1:11" ht="42" customHeight="1">
      <c r="A29" s="358" t="s">
        <v>324</v>
      </c>
      <c r="B29" s="376" t="s">
        <v>366</v>
      </c>
      <c r="C29" s="360" t="s">
        <v>367</v>
      </c>
      <c r="D29" s="361">
        <v>0.3</v>
      </c>
      <c r="E29" s="359"/>
      <c r="G29" s="358" t="s">
        <v>324</v>
      </c>
      <c r="H29" s="376" t="s">
        <v>368</v>
      </c>
      <c r="I29" s="360" t="s">
        <v>367</v>
      </c>
      <c r="J29" s="361">
        <v>0.3</v>
      </c>
      <c r="K29" s="359" t="s">
        <v>369</v>
      </c>
    </row>
    <row r="30" spans="1:11" ht="42" customHeight="1">
      <c r="A30" s="358"/>
      <c r="B30" s="376"/>
      <c r="C30" s="360"/>
      <c r="D30" s="361"/>
      <c r="E30" s="359"/>
      <c r="G30" s="358"/>
      <c r="H30" s="376"/>
      <c r="I30" s="360"/>
      <c r="J30" s="361"/>
      <c r="K30" s="359"/>
    </row>
    <row r="31" spans="1:11" ht="42" customHeight="1">
      <c r="A31" s="358"/>
      <c r="B31" s="376"/>
      <c r="C31" s="360"/>
      <c r="D31" s="361"/>
      <c r="E31" s="359"/>
      <c r="G31" s="358"/>
      <c r="H31" s="376"/>
      <c r="I31" s="360"/>
      <c r="J31" s="361"/>
      <c r="K31" s="359"/>
    </row>
    <row r="32" spans="1:11" ht="42" customHeight="1">
      <c r="A32" s="358"/>
      <c r="B32" s="376"/>
      <c r="C32" s="360"/>
      <c r="D32" s="361"/>
      <c r="E32" s="359"/>
      <c r="F32" s="29"/>
      <c r="G32" s="358"/>
      <c r="H32" s="376"/>
      <c r="I32" s="360"/>
      <c r="J32" s="361"/>
      <c r="K32" s="359"/>
    </row>
    <row r="33" spans="1:11" ht="42" customHeight="1">
      <c r="A33" s="358"/>
      <c r="B33" s="376"/>
      <c r="C33" s="360"/>
      <c r="D33" s="361"/>
      <c r="E33" s="359"/>
      <c r="G33" s="358"/>
      <c r="H33" s="376"/>
      <c r="I33" s="360"/>
      <c r="J33" s="361"/>
      <c r="K33" s="359"/>
    </row>
    <row r="34" spans="1:11" ht="150.75" customHeight="1">
      <c r="A34" s="358"/>
      <c r="B34" s="376"/>
      <c r="C34" s="360"/>
      <c r="D34" s="361"/>
      <c r="E34" s="359"/>
      <c r="G34" s="358"/>
      <c r="H34" s="376"/>
      <c r="I34" s="360"/>
      <c r="J34" s="361"/>
      <c r="K34" s="359"/>
    </row>
    <row r="35" spans="1:11" ht="111" customHeight="1">
      <c r="A35" s="220" t="s">
        <v>326</v>
      </c>
      <c r="B35" s="223" t="s">
        <v>370</v>
      </c>
      <c r="C35" s="221"/>
      <c r="D35" s="222" t="s">
        <v>328</v>
      </c>
      <c r="E35" s="223"/>
      <c r="G35" s="220" t="s">
        <v>326</v>
      </c>
      <c r="H35" s="223" t="s">
        <v>371</v>
      </c>
      <c r="I35" s="221" t="s">
        <v>338</v>
      </c>
      <c r="J35" s="222" t="s">
        <v>328</v>
      </c>
      <c r="K35" s="223" t="s">
        <v>372</v>
      </c>
    </row>
    <row r="36" spans="1:11" ht="13.15">
      <c r="A36" s="44"/>
      <c r="B36" s="44"/>
      <c r="C36" s="44"/>
      <c r="D36" s="44"/>
      <c r="E36" s="44"/>
      <c r="G36" s="44"/>
      <c r="H36" s="44"/>
      <c r="I36" s="44"/>
      <c r="J36" s="44"/>
      <c r="K36" s="44"/>
    </row>
    <row r="37" spans="1:11" ht="13.15">
      <c r="A37" s="47"/>
      <c r="B37" s="47"/>
      <c r="C37" s="48"/>
      <c r="D37" s="47"/>
      <c r="E37" s="47"/>
      <c r="G37" s="47"/>
      <c r="H37" s="47"/>
      <c r="I37" s="48"/>
      <c r="J37" s="47"/>
      <c r="K37" s="47"/>
    </row>
    <row r="38" spans="1:11" ht="13.15">
      <c r="A38" s="15"/>
      <c r="B38" s="15"/>
      <c r="C38" s="46"/>
      <c r="D38" s="46"/>
      <c r="E38" s="46"/>
      <c r="G38" s="15"/>
      <c r="H38" s="15"/>
      <c r="I38" s="46"/>
      <c r="J38" s="46"/>
      <c r="K38" s="46"/>
    </row>
    <row r="39" spans="1:11" ht="13.15">
      <c r="A39" s="43" t="s">
        <v>329</v>
      </c>
      <c r="B39" s="49"/>
      <c r="C39" s="50"/>
      <c r="D39" s="50"/>
      <c r="E39" s="50"/>
      <c r="G39" s="43" t="s">
        <v>329</v>
      </c>
      <c r="H39" s="49"/>
      <c r="I39" s="50"/>
      <c r="J39" s="50"/>
      <c r="K39" s="50"/>
    </row>
  </sheetData>
  <mergeCells count="38">
    <mergeCell ref="G29:G34"/>
    <mergeCell ref="H29:H34"/>
    <mergeCell ref="I29:I34"/>
    <mergeCell ref="J29:J34"/>
    <mergeCell ref="K29:K34"/>
    <mergeCell ref="G21:G28"/>
    <mergeCell ref="H21:H28"/>
    <mergeCell ref="I21:I28"/>
    <mergeCell ref="J21:J28"/>
    <mergeCell ref="K21:K28"/>
    <mergeCell ref="G7:G8"/>
    <mergeCell ref="H7:H8"/>
    <mergeCell ref="I7:I8"/>
    <mergeCell ref="K7:K8"/>
    <mergeCell ref="G14:G20"/>
    <mergeCell ref="H14:H20"/>
    <mergeCell ref="I14:I20"/>
    <mergeCell ref="J14:J20"/>
    <mergeCell ref="K14:K20"/>
    <mergeCell ref="A7:A8"/>
    <mergeCell ref="B7:B8"/>
    <mergeCell ref="C7:C8"/>
    <mergeCell ref="E7:E8"/>
    <mergeCell ref="A14:A20"/>
    <mergeCell ref="B14:B20"/>
    <mergeCell ref="C14:C20"/>
    <mergeCell ref="D14:D20"/>
    <mergeCell ref="E14:E20"/>
    <mergeCell ref="A21:A28"/>
    <mergeCell ref="C21:C28"/>
    <mergeCell ref="D21:D28"/>
    <mergeCell ref="E21:E28"/>
    <mergeCell ref="A29:A34"/>
    <mergeCell ref="B29:B34"/>
    <mergeCell ref="C29:C34"/>
    <mergeCell ref="D29:D34"/>
    <mergeCell ref="E29:E34"/>
    <mergeCell ref="B21:B2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14D3D08-3FA5-4A4C-9638-111238627931}">
          <x14:formula1>
            <xm:f>'DROPDOWN LISTS'!$B$26:$B$32</xm:f>
          </x14:formula1>
          <xm:sqref>C14:C35 I14:I35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F05F-B524-44BF-B2CC-058E07E1D72B}">
  <sheetPr>
    <tabColor theme="0" tint="-0.14999847407452621"/>
  </sheetPr>
  <dimension ref="A1:E39"/>
  <sheetViews>
    <sheetView showGridLines="0" zoomScale="80" zoomScaleNormal="80" workbookViewId="0"/>
  </sheetViews>
  <sheetFormatPr defaultRowHeight="12.75"/>
  <cols>
    <col min="1" max="1" width="48" bestFit="1" customWidth="1"/>
    <col min="2" max="2" width="91.85546875" customWidth="1"/>
    <col min="3" max="3" width="11.7109375" bestFit="1" customWidth="1"/>
    <col min="4" max="4" width="9.28515625" customWidth="1"/>
    <col min="5" max="5" width="28.140625" customWidth="1"/>
  </cols>
  <sheetData>
    <row r="1" spans="1:5" ht="30.75">
      <c r="A1" s="1" t="e">
        <f ca="1" xml:space="preserve"> RIGHT(CELL("filename", $A$1), LEN(CELL("filename", $A$1)) - SEARCH("]", CELL("filename", $A$1)))</f>
        <v>#VALUE!</v>
      </c>
    </row>
    <row r="3" spans="1:5" ht="13.15">
      <c r="A3" s="59" t="s">
        <v>148</v>
      </c>
      <c r="B3" s="106" t="s">
        <v>112</v>
      </c>
    </row>
    <row r="4" spans="1:5" ht="13.15">
      <c r="A4" s="59" t="s">
        <v>304</v>
      </c>
      <c r="B4" s="107" t="s">
        <v>305</v>
      </c>
    </row>
    <row r="5" spans="1:5" ht="13.15">
      <c r="A5" s="59" t="s">
        <v>306</v>
      </c>
      <c r="B5" s="107" t="s">
        <v>307</v>
      </c>
    </row>
    <row r="6" spans="1:5" ht="13.15">
      <c r="A6" s="59" t="s">
        <v>308</v>
      </c>
      <c r="B6" s="107"/>
    </row>
    <row r="7" spans="1:5">
      <c r="A7" s="362" t="s">
        <v>309</v>
      </c>
      <c r="B7" s="364">
        <f ca="1">'Materiality &amp; shallow dive'!E14</f>
        <v>11.788000000000002</v>
      </c>
    </row>
    <row r="8" spans="1:5">
      <c r="A8" s="363"/>
      <c r="B8" s="364"/>
    </row>
    <row r="9" spans="1:5" ht="13.15">
      <c r="A9" s="59" t="s">
        <v>310</v>
      </c>
      <c r="B9" s="108">
        <f ca="1">B7</f>
        <v>11.788000000000002</v>
      </c>
    </row>
    <row r="10" spans="1:5" ht="13.15">
      <c r="A10" s="59" t="s">
        <v>311</v>
      </c>
      <c r="B10" s="109">
        <f>SUM(D14:D34)</f>
        <v>0.2</v>
      </c>
    </row>
    <row r="11" spans="1:5" ht="13.15">
      <c r="A11" s="59" t="s">
        <v>312</v>
      </c>
      <c r="B11" s="268">
        <f ca="1">(1-B10)*B7</f>
        <v>9.4304000000000023</v>
      </c>
    </row>
    <row r="12" spans="1:5">
      <c r="A12" s="37"/>
      <c r="B12" s="37"/>
    </row>
    <row r="13" spans="1:5" ht="39.4">
      <c r="A13" s="111" t="s">
        <v>313</v>
      </c>
      <c r="B13" s="111" t="s">
        <v>314</v>
      </c>
      <c r="C13" s="111" t="s">
        <v>315</v>
      </c>
      <c r="D13" s="111" t="s">
        <v>316</v>
      </c>
      <c r="E13" s="111" t="s">
        <v>317</v>
      </c>
    </row>
    <row r="14" spans="1:5">
      <c r="A14" s="358" t="s">
        <v>318</v>
      </c>
      <c r="B14" s="359" t="s">
        <v>373</v>
      </c>
      <c r="C14" s="360" t="s">
        <v>323</v>
      </c>
      <c r="D14" s="361">
        <v>0</v>
      </c>
      <c r="E14" s="359"/>
    </row>
    <row r="15" spans="1:5">
      <c r="A15" s="358"/>
      <c r="B15" s="359"/>
      <c r="C15" s="360"/>
      <c r="D15" s="361"/>
      <c r="E15" s="359"/>
    </row>
    <row r="16" spans="1:5">
      <c r="A16" s="358"/>
      <c r="B16" s="359"/>
      <c r="C16" s="360"/>
      <c r="D16" s="361"/>
      <c r="E16" s="359"/>
    </row>
    <row r="17" spans="1:5">
      <c r="A17" s="358"/>
      <c r="B17" s="359"/>
      <c r="C17" s="360"/>
      <c r="D17" s="361"/>
      <c r="E17" s="359"/>
    </row>
    <row r="18" spans="1:5">
      <c r="A18" s="358"/>
      <c r="B18" s="359"/>
      <c r="C18" s="360"/>
      <c r="D18" s="361"/>
      <c r="E18" s="359"/>
    </row>
    <row r="19" spans="1:5">
      <c r="A19" s="358"/>
      <c r="B19" s="359"/>
      <c r="C19" s="360"/>
      <c r="D19" s="361"/>
      <c r="E19" s="359"/>
    </row>
    <row r="20" spans="1:5" ht="59.25" customHeight="1">
      <c r="A20" s="358"/>
      <c r="B20" s="359"/>
      <c r="C20" s="360"/>
      <c r="D20" s="361"/>
      <c r="E20" s="359"/>
    </row>
    <row r="21" spans="1:5">
      <c r="A21" s="358" t="s">
        <v>321</v>
      </c>
      <c r="B21" s="359" t="s">
        <v>374</v>
      </c>
      <c r="C21" s="360" t="s">
        <v>323</v>
      </c>
      <c r="D21" s="361">
        <v>0</v>
      </c>
      <c r="E21" s="359"/>
    </row>
    <row r="22" spans="1:5">
      <c r="A22" s="358"/>
      <c r="B22" s="359"/>
      <c r="C22" s="360"/>
      <c r="D22" s="361"/>
      <c r="E22" s="359"/>
    </row>
    <row r="23" spans="1:5">
      <c r="A23" s="358"/>
      <c r="B23" s="359"/>
      <c r="C23" s="360"/>
      <c r="D23" s="361"/>
      <c r="E23" s="359"/>
    </row>
    <row r="24" spans="1:5">
      <c r="A24" s="358"/>
      <c r="B24" s="359"/>
      <c r="C24" s="360"/>
      <c r="D24" s="361"/>
      <c r="E24" s="359"/>
    </row>
    <row r="25" spans="1:5">
      <c r="A25" s="358"/>
      <c r="B25" s="359"/>
      <c r="C25" s="360"/>
      <c r="D25" s="361"/>
      <c r="E25" s="359"/>
    </row>
    <row r="26" spans="1:5">
      <c r="A26" s="358"/>
      <c r="B26" s="359"/>
      <c r="C26" s="360"/>
      <c r="D26" s="361"/>
      <c r="E26" s="359"/>
    </row>
    <row r="27" spans="1:5">
      <c r="A27" s="358"/>
      <c r="B27" s="359"/>
      <c r="C27" s="360"/>
      <c r="D27" s="361"/>
      <c r="E27" s="359"/>
    </row>
    <row r="28" spans="1:5">
      <c r="A28" s="358"/>
      <c r="B28" s="359"/>
      <c r="C28" s="360"/>
      <c r="D28" s="361"/>
      <c r="E28" s="359"/>
    </row>
    <row r="29" spans="1:5">
      <c r="A29" s="358" t="s">
        <v>324</v>
      </c>
      <c r="B29" s="359" t="s">
        <v>375</v>
      </c>
      <c r="C29" s="360" t="s">
        <v>338</v>
      </c>
      <c r="D29" s="361">
        <v>0.2</v>
      </c>
      <c r="E29" s="359"/>
    </row>
    <row r="30" spans="1:5">
      <c r="A30" s="358"/>
      <c r="B30" s="359"/>
      <c r="C30" s="360"/>
      <c r="D30" s="361"/>
      <c r="E30" s="359"/>
    </row>
    <row r="31" spans="1:5">
      <c r="A31" s="358"/>
      <c r="B31" s="359"/>
      <c r="C31" s="360"/>
      <c r="D31" s="361"/>
      <c r="E31" s="359"/>
    </row>
    <row r="32" spans="1:5">
      <c r="A32" s="358"/>
      <c r="B32" s="359"/>
      <c r="C32" s="360"/>
      <c r="D32" s="361"/>
      <c r="E32" s="359"/>
    </row>
    <row r="33" spans="1:5">
      <c r="A33" s="358"/>
      <c r="B33" s="359"/>
      <c r="C33" s="360"/>
      <c r="D33" s="361"/>
      <c r="E33" s="359"/>
    </row>
    <row r="34" spans="1:5" ht="85.5" customHeight="1">
      <c r="A34" s="358"/>
      <c r="B34" s="359"/>
      <c r="C34" s="360"/>
      <c r="D34" s="361"/>
      <c r="E34" s="359"/>
    </row>
    <row r="35" spans="1:5" ht="73.5" customHeight="1">
      <c r="A35" s="220" t="s">
        <v>326</v>
      </c>
      <c r="B35" s="234" t="s">
        <v>357</v>
      </c>
      <c r="C35" s="221"/>
      <c r="D35" s="222" t="s">
        <v>328</v>
      </c>
      <c r="E35" s="223"/>
    </row>
    <row r="36" spans="1:5" ht="13.15">
      <c r="A36" s="44"/>
      <c r="B36" s="44"/>
    </row>
    <row r="37" spans="1:5" ht="13.15">
      <c r="A37" s="47"/>
      <c r="B37" s="47"/>
    </row>
    <row r="38" spans="1:5" ht="13.15">
      <c r="A38" s="15"/>
      <c r="B38" s="15"/>
    </row>
    <row r="39" spans="1:5" ht="13.15">
      <c r="A39" s="43" t="s">
        <v>329</v>
      </c>
      <c r="B39" s="49"/>
      <c r="C39" s="49"/>
      <c r="D39" s="49"/>
      <c r="E39" s="49"/>
    </row>
  </sheetData>
  <mergeCells count="17">
    <mergeCell ref="A29:A34"/>
    <mergeCell ref="B29:B34"/>
    <mergeCell ref="C29:C34"/>
    <mergeCell ref="D29:D34"/>
    <mergeCell ref="E29:E34"/>
    <mergeCell ref="E14:E20"/>
    <mergeCell ref="A21:A28"/>
    <mergeCell ref="B21:B28"/>
    <mergeCell ref="C21:C28"/>
    <mergeCell ref="D21:D28"/>
    <mergeCell ref="E21:E28"/>
    <mergeCell ref="D14:D20"/>
    <mergeCell ref="A7:A8"/>
    <mergeCell ref="B7:B8"/>
    <mergeCell ref="A14:A20"/>
    <mergeCell ref="B14:B20"/>
    <mergeCell ref="C14:C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58217B0-BF4E-476F-A918-F32568C9A1F5}">
          <x14:formula1>
            <xm:f>'DROPDOWN LISTS'!$B$26:$B$31</xm:f>
          </x14:formula1>
          <xm:sqref>C14:C35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2FEBD-077A-4FDC-9389-76B609DF7192}">
  <sheetPr>
    <tabColor theme="0" tint="-0.14999847407452621"/>
  </sheetPr>
  <dimension ref="A1:K39"/>
  <sheetViews>
    <sheetView showGridLines="0" zoomScale="80" zoomScaleNormal="80" workbookViewId="0"/>
  </sheetViews>
  <sheetFormatPr defaultRowHeight="12.75"/>
  <cols>
    <col min="1" max="1" width="41.42578125" customWidth="1"/>
    <col min="2" max="2" width="95.42578125" customWidth="1"/>
    <col min="3" max="4" width="14.28515625" customWidth="1"/>
    <col min="5" max="5" width="38.85546875" customWidth="1"/>
    <col min="7" max="7" width="49.7109375" bestFit="1" customWidth="1"/>
    <col min="8" max="8" width="95" customWidth="1"/>
    <col min="9" max="9" width="16.85546875" bestFit="1" customWidth="1"/>
    <col min="10" max="10" width="12.42578125" bestFit="1" customWidth="1"/>
    <col min="11" max="11" width="53.5703125" customWidth="1"/>
  </cols>
  <sheetData>
    <row r="1" spans="1:11" ht="30.75">
      <c r="A1" s="1" t="e">
        <f ca="1" xml:space="preserve"> RIGHT(CELL("filename", $A$1), LEN(CELL("filename", $A$1)) - SEARCH("]", CELL("filename", $A$1)))</f>
        <v>#VALUE!</v>
      </c>
    </row>
    <row r="2" spans="1:11" ht="13.15">
      <c r="G2" s="261" t="s">
        <v>330</v>
      </c>
    </row>
    <row r="3" spans="1:11" ht="13.15">
      <c r="A3" s="11" t="s">
        <v>148</v>
      </c>
      <c r="B3" s="45" t="s">
        <v>113</v>
      </c>
      <c r="G3" s="11" t="s">
        <v>148</v>
      </c>
      <c r="H3" s="45" t="s">
        <v>113</v>
      </c>
    </row>
    <row r="4" spans="1:11" ht="13.15">
      <c r="A4" s="11" t="s">
        <v>304</v>
      </c>
      <c r="B4" s="100" t="s">
        <v>305</v>
      </c>
      <c r="F4" s="57"/>
      <c r="G4" s="11" t="s">
        <v>304</v>
      </c>
      <c r="H4" s="100" t="s">
        <v>305</v>
      </c>
    </row>
    <row r="5" spans="1:11" ht="13.15">
      <c r="A5" s="11" t="s">
        <v>306</v>
      </c>
      <c r="B5" s="107" t="s">
        <v>307</v>
      </c>
      <c r="G5" s="11" t="s">
        <v>306</v>
      </c>
      <c r="H5" s="107" t="s">
        <v>307</v>
      </c>
    </row>
    <row r="6" spans="1:11" ht="13.15">
      <c r="A6" s="11" t="s">
        <v>308</v>
      </c>
      <c r="B6" s="100"/>
      <c r="F6" s="57"/>
      <c r="G6" s="11" t="s">
        <v>308</v>
      </c>
      <c r="H6" s="100"/>
    </row>
    <row r="7" spans="1:11" ht="12.75" customHeight="1">
      <c r="A7" s="378" t="s">
        <v>309</v>
      </c>
      <c r="B7" s="380">
        <f ca="1">'Materiality &amp; shallow dive'!E15</f>
        <v>69.930999999999997</v>
      </c>
      <c r="G7" s="378" t="s">
        <v>309</v>
      </c>
      <c r="H7" s="380">
        <v>39.11</v>
      </c>
    </row>
    <row r="8" spans="1:11" ht="12.75" customHeight="1">
      <c r="A8" s="379"/>
      <c r="B8" s="381"/>
      <c r="G8" s="379"/>
      <c r="H8" s="381"/>
    </row>
    <row r="9" spans="1:11" ht="26.25">
      <c r="A9" s="11" t="s">
        <v>310</v>
      </c>
      <c r="B9" s="101">
        <f ca="1">B7</f>
        <v>69.930999999999997</v>
      </c>
      <c r="G9" s="11" t="s">
        <v>310</v>
      </c>
      <c r="H9" s="101">
        <v>39.11</v>
      </c>
    </row>
    <row r="10" spans="1:11" ht="13.15">
      <c r="A10" s="11" t="s">
        <v>311</v>
      </c>
      <c r="B10" s="102">
        <f>SUM(D14:D34)</f>
        <v>0.2</v>
      </c>
      <c r="G10" s="11" t="s">
        <v>311</v>
      </c>
      <c r="H10" s="102">
        <v>0.3</v>
      </c>
    </row>
    <row r="11" spans="1:11" ht="13.15">
      <c r="A11" s="11" t="s">
        <v>312</v>
      </c>
      <c r="B11" s="115">
        <f ca="1">(1-B10)*B7</f>
        <v>55.944800000000001</v>
      </c>
      <c r="C11" s="37"/>
      <c r="D11" s="37"/>
      <c r="E11" s="37"/>
      <c r="G11" s="11" t="s">
        <v>312</v>
      </c>
      <c r="H11" s="103">
        <v>27.38</v>
      </c>
      <c r="I11" s="37"/>
      <c r="J11" s="37"/>
      <c r="K11" s="37"/>
    </row>
    <row r="12" spans="1:11">
      <c r="A12" s="37"/>
      <c r="B12" s="37"/>
      <c r="C12" s="37"/>
      <c r="D12" s="37"/>
      <c r="E12" s="37"/>
      <c r="G12" s="37"/>
      <c r="H12" s="37"/>
      <c r="I12" s="37"/>
      <c r="J12" s="37"/>
      <c r="K12" s="37"/>
    </row>
    <row r="13" spans="1:11" ht="13.15">
      <c r="A13" s="111" t="s">
        <v>313</v>
      </c>
      <c r="B13" s="111" t="s">
        <v>314</v>
      </c>
      <c r="C13" s="111" t="s">
        <v>315</v>
      </c>
      <c r="D13" s="111" t="s">
        <v>316</v>
      </c>
      <c r="E13" s="111" t="s">
        <v>68</v>
      </c>
      <c r="G13" s="111" t="s">
        <v>313</v>
      </c>
      <c r="H13" s="111" t="s">
        <v>314</v>
      </c>
      <c r="I13" s="111" t="s">
        <v>315</v>
      </c>
      <c r="J13" s="111" t="s">
        <v>316</v>
      </c>
      <c r="K13" s="111" t="s">
        <v>68</v>
      </c>
    </row>
    <row r="14" spans="1:11" ht="24" customHeight="1">
      <c r="A14" s="358" t="s">
        <v>318</v>
      </c>
      <c r="B14" s="382" t="s">
        <v>376</v>
      </c>
      <c r="C14" s="384" t="s">
        <v>323</v>
      </c>
      <c r="D14" s="386">
        <v>0</v>
      </c>
      <c r="E14" s="382" t="s">
        <v>377</v>
      </c>
      <c r="G14" s="358" t="s">
        <v>318</v>
      </c>
      <c r="H14" s="382" t="s">
        <v>378</v>
      </c>
      <c r="I14" s="384" t="s">
        <v>323</v>
      </c>
      <c r="J14" s="386">
        <v>0</v>
      </c>
      <c r="K14" s="382" t="s">
        <v>379</v>
      </c>
    </row>
    <row r="15" spans="1:11" ht="24" customHeight="1">
      <c r="A15" s="358"/>
      <c r="B15" s="382"/>
      <c r="C15" s="385"/>
      <c r="D15" s="387"/>
      <c r="E15" s="382"/>
      <c r="G15" s="358"/>
      <c r="H15" s="382"/>
      <c r="I15" s="385"/>
      <c r="J15" s="387"/>
      <c r="K15" s="382"/>
    </row>
    <row r="16" spans="1:11" ht="24" customHeight="1">
      <c r="A16" s="358"/>
      <c r="B16" s="382"/>
      <c r="C16" s="385"/>
      <c r="D16" s="387"/>
      <c r="E16" s="382"/>
      <c r="G16" s="358"/>
      <c r="H16" s="382"/>
      <c r="I16" s="385"/>
      <c r="J16" s="387"/>
      <c r="K16" s="382"/>
    </row>
    <row r="17" spans="1:11" ht="24" customHeight="1">
      <c r="A17" s="358"/>
      <c r="B17" s="382"/>
      <c r="C17" s="385"/>
      <c r="D17" s="387"/>
      <c r="E17" s="382"/>
      <c r="G17" s="358"/>
      <c r="H17" s="382"/>
      <c r="I17" s="385"/>
      <c r="J17" s="387"/>
      <c r="K17" s="382"/>
    </row>
    <row r="18" spans="1:11" ht="24" customHeight="1">
      <c r="A18" s="358"/>
      <c r="B18" s="382"/>
      <c r="C18" s="385"/>
      <c r="D18" s="387"/>
      <c r="E18" s="382"/>
      <c r="G18" s="358"/>
      <c r="H18" s="382"/>
      <c r="I18" s="385"/>
      <c r="J18" s="387"/>
      <c r="K18" s="382"/>
    </row>
    <row r="19" spans="1:11" ht="24" customHeight="1">
      <c r="A19" s="358"/>
      <c r="B19" s="382"/>
      <c r="C19" s="385"/>
      <c r="D19" s="387"/>
      <c r="E19" s="382"/>
      <c r="G19" s="358"/>
      <c r="H19" s="382"/>
      <c r="I19" s="385"/>
      <c r="J19" s="387"/>
      <c r="K19" s="382"/>
    </row>
    <row r="20" spans="1:11" ht="87.75" customHeight="1">
      <c r="A20" s="358"/>
      <c r="B20" s="383"/>
      <c r="C20" s="385"/>
      <c r="D20" s="387"/>
      <c r="E20" s="382"/>
      <c r="G20" s="358"/>
      <c r="H20" s="383"/>
      <c r="I20" s="385"/>
      <c r="J20" s="387"/>
      <c r="K20" s="382"/>
    </row>
    <row r="21" spans="1:11" ht="14.1" customHeight="1">
      <c r="A21" s="388" t="s">
        <v>321</v>
      </c>
      <c r="B21" s="359" t="s">
        <v>380</v>
      </c>
      <c r="C21" s="360" t="s">
        <v>323</v>
      </c>
      <c r="D21" s="361">
        <v>0</v>
      </c>
      <c r="E21" s="389"/>
      <c r="G21" s="388" t="s">
        <v>321</v>
      </c>
      <c r="H21" s="359" t="s">
        <v>381</v>
      </c>
      <c r="I21" s="360" t="s">
        <v>323</v>
      </c>
      <c r="J21" s="361">
        <v>0</v>
      </c>
      <c r="K21" s="389" t="s">
        <v>382</v>
      </c>
    </row>
    <row r="22" spans="1:11" ht="14.1" customHeight="1">
      <c r="A22" s="388"/>
      <c r="B22" s="359"/>
      <c r="C22" s="360"/>
      <c r="D22" s="361"/>
      <c r="E22" s="389"/>
      <c r="G22" s="388"/>
      <c r="H22" s="359"/>
      <c r="I22" s="360"/>
      <c r="J22" s="361"/>
      <c r="K22" s="389"/>
    </row>
    <row r="23" spans="1:11" ht="14.1" customHeight="1">
      <c r="A23" s="388"/>
      <c r="B23" s="359"/>
      <c r="C23" s="360"/>
      <c r="D23" s="361"/>
      <c r="E23" s="389"/>
      <c r="G23" s="388"/>
      <c r="H23" s="359"/>
      <c r="I23" s="360"/>
      <c r="J23" s="361"/>
      <c r="K23" s="389"/>
    </row>
    <row r="24" spans="1:11" ht="14.1" customHeight="1">
      <c r="A24" s="388"/>
      <c r="B24" s="359"/>
      <c r="C24" s="360"/>
      <c r="D24" s="361"/>
      <c r="E24" s="389"/>
      <c r="G24" s="388"/>
      <c r="H24" s="359"/>
      <c r="I24" s="360"/>
      <c r="J24" s="361"/>
      <c r="K24" s="389"/>
    </row>
    <row r="25" spans="1:11" ht="14.1" customHeight="1">
      <c r="A25" s="388"/>
      <c r="B25" s="359"/>
      <c r="C25" s="360"/>
      <c r="D25" s="361"/>
      <c r="E25" s="389"/>
      <c r="G25" s="388"/>
      <c r="H25" s="359"/>
      <c r="I25" s="360"/>
      <c r="J25" s="361"/>
      <c r="K25" s="389"/>
    </row>
    <row r="26" spans="1:11" ht="14.1" customHeight="1">
      <c r="A26" s="388"/>
      <c r="B26" s="359"/>
      <c r="C26" s="360"/>
      <c r="D26" s="361"/>
      <c r="E26" s="389"/>
      <c r="G26" s="388"/>
      <c r="H26" s="359"/>
      <c r="I26" s="360"/>
      <c r="J26" s="361"/>
      <c r="K26" s="389"/>
    </row>
    <row r="27" spans="1:11" ht="14.1" customHeight="1">
      <c r="A27" s="388"/>
      <c r="B27" s="359"/>
      <c r="C27" s="360"/>
      <c r="D27" s="361"/>
      <c r="E27" s="389"/>
      <c r="G27" s="388"/>
      <c r="H27" s="359"/>
      <c r="I27" s="360"/>
      <c r="J27" s="361"/>
      <c r="K27" s="389"/>
    </row>
    <row r="28" spans="1:11" ht="47.1" customHeight="1">
      <c r="A28" s="388"/>
      <c r="B28" s="359"/>
      <c r="C28" s="360"/>
      <c r="D28" s="361"/>
      <c r="E28" s="389"/>
      <c r="G28" s="388"/>
      <c r="H28" s="359"/>
      <c r="I28" s="360"/>
      <c r="J28" s="361"/>
      <c r="K28" s="389"/>
    </row>
    <row r="29" spans="1:11" ht="61.5" customHeight="1">
      <c r="A29" s="358" t="s">
        <v>324</v>
      </c>
      <c r="B29" s="390" t="s">
        <v>383</v>
      </c>
      <c r="C29" s="385" t="s">
        <v>338</v>
      </c>
      <c r="D29" s="387">
        <v>0.2</v>
      </c>
      <c r="E29" s="383"/>
      <c r="G29" s="358" t="s">
        <v>324</v>
      </c>
      <c r="H29" s="390" t="s">
        <v>384</v>
      </c>
      <c r="I29" s="385" t="s">
        <v>367</v>
      </c>
      <c r="J29" s="387">
        <v>0.3</v>
      </c>
      <c r="K29" s="383" t="s">
        <v>385</v>
      </c>
    </row>
    <row r="30" spans="1:11" ht="61.5" customHeight="1">
      <c r="A30" s="358"/>
      <c r="B30" s="390"/>
      <c r="C30" s="385"/>
      <c r="D30" s="387"/>
      <c r="E30" s="390"/>
      <c r="G30" s="358"/>
      <c r="H30" s="390"/>
      <c r="I30" s="385"/>
      <c r="J30" s="387"/>
      <c r="K30" s="390"/>
    </row>
    <row r="31" spans="1:11" ht="61.5" customHeight="1">
      <c r="A31" s="358"/>
      <c r="B31" s="390"/>
      <c r="C31" s="385"/>
      <c r="D31" s="387"/>
      <c r="E31" s="390"/>
      <c r="G31" s="358"/>
      <c r="H31" s="390"/>
      <c r="I31" s="385"/>
      <c r="J31" s="387"/>
      <c r="K31" s="390"/>
    </row>
    <row r="32" spans="1:11" ht="61.5" customHeight="1">
      <c r="A32" s="358"/>
      <c r="B32" s="390"/>
      <c r="C32" s="385"/>
      <c r="D32" s="387"/>
      <c r="E32" s="390"/>
      <c r="F32" s="29"/>
      <c r="G32" s="358"/>
      <c r="H32" s="390"/>
      <c r="I32" s="385"/>
      <c r="J32" s="387"/>
      <c r="K32" s="390"/>
    </row>
    <row r="33" spans="1:11" ht="61.5" customHeight="1">
      <c r="A33" s="358"/>
      <c r="B33" s="390"/>
      <c r="C33" s="385"/>
      <c r="D33" s="387"/>
      <c r="E33" s="390"/>
      <c r="G33" s="358"/>
      <c r="H33" s="390"/>
      <c r="I33" s="385"/>
      <c r="J33" s="387"/>
      <c r="K33" s="390"/>
    </row>
    <row r="34" spans="1:11" ht="61.5" customHeight="1">
      <c r="A34" s="358"/>
      <c r="B34" s="391"/>
      <c r="C34" s="392"/>
      <c r="D34" s="393"/>
      <c r="E34" s="391"/>
      <c r="G34" s="358"/>
      <c r="H34" s="391"/>
      <c r="I34" s="392"/>
      <c r="J34" s="393"/>
      <c r="K34" s="391"/>
    </row>
    <row r="35" spans="1:11" ht="111" customHeight="1">
      <c r="A35" s="220" t="s">
        <v>326</v>
      </c>
      <c r="B35" s="228" t="s">
        <v>357</v>
      </c>
      <c r="C35" s="226"/>
      <c r="D35" s="227" t="s">
        <v>328</v>
      </c>
      <c r="E35" s="228"/>
      <c r="G35" s="220" t="s">
        <v>326</v>
      </c>
      <c r="H35" s="228" t="s">
        <v>386</v>
      </c>
      <c r="I35" s="226" t="s">
        <v>338</v>
      </c>
      <c r="J35" s="227" t="s">
        <v>328</v>
      </c>
      <c r="K35" s="228" t="s">
        <v>387</v>
      </c>
    </row>
    <row r="36" spans="1:11" ht="13.15">
      <c r="A36" s="44"/>
      <c r="B36" s="44"/>
      <c r="C36" s="44"/>
      <c r="D36" s="44"/>
      <c r="E36" s="44"/>
      <c r="G36" s="44"/>
      <c r="H36" s="44"/>
      <c r="I36" s="44"/>
      <c r="J36" s="44"/>
      <c r="K36" s="44"/>
    </row>
    <row r="37" spans="1:11" ht="13.15">
      <c r="A37" s="47"/>
      <c r="B37" s="47"/>
      <c r="C37" s="48"/>
      <c r="D37" s="47"/>
      <c r="E37" s="47"/>
      <c r="G37" s="47"/>
      <c r="H37" s="47"/>
      <c r="I37" s="48"/>
      <c r="J37" s="47"/>
      <c r="K37" s="47"/>
    </row>
    <row r="38" spans="1:11" ht="13.15">
      <c r="A38" s="15"/>
      <c r="B38" s="15"/>
      <c r="C38" s="46"/>
      <c r="D38" s="46"/>
      <c r="E38" s="46"/>
      <c r="G38" s="15"/>
      <c r="H38" s="15"/>
      <c r="I38" s="46"/>
      <c r="J38" s="46"/>
      <c r="K38" s="46"/>
    </row>
    <row r="39" spans="1:11" ht="13.15">
      <c r="A39" s="43" t="s">
        <v>329</v>
      </c>
      <c r="B39" s="49"/>
      <c r="C39" s="50"/>
      <c r="D39" s="50"/>
      <c r="E39" s="50"/>
      <c r="G39" s="43" t="s">
        <v>329</v>
      </c>
      <c r="H39" s="49"/>
      <c r="I39" s="50"/>
      <c r="J39" s="50"/>
      <c r="K39" s="50"/>
    </row>
  </sheetData>
  <mergeCells count="34">
    <mergeCell ref="G29:G34"/>
    <mergeCell ref="H29:H34"/>
    <mergeCell ref="I29:I34"/>
    <mergeCell ref="J29:J34"/>
    <mergeCell ref="K29:K34"/>
    <mergeCell ref="J14:J20"/>
    <mergeCell ref="K14:K20"/>
    <mergeCell ref="G21:G28"/>
    <mergeCell ref="H21:H28"/>
    <mergeCell ref="I21:I28"/>
    <mergeCell ref="J21:J28"/>
    <mergeCell ref="K21:K28"/>
    <mergeCell ref="G7:G8"/>
    <mergeCell ref="H7:H8"/>
    <mergeCell ref="G14:G20"/>
    <mergeCell ref="H14:H20"/>
    <mergeCell ref="I14:I20"/>
    <mergeCell ref="A29:A34"/>
    <mergeCell ref="B29:B34"/>
    <mergeCell ref="C29:C34"/>
    <mergeCell ref="D29:D34"/>
    <mergeCell ref="E29:E34"/>
    <mergeCell ref="D14:D20"/>
    <mergeCell ref="E14:E20"/>
    <mergeCell ref="A21:A28"/>
    <mergeCell ref="C21:C28"/>
    <mergeCell ref="D21:D28"/>
    <mergeCell ref="E21:E28"/>
    <mergeCell ref="B21:B28"/>
    <mergeCell ref="A7:A8"/>
    <mergeCell ref="B7:B8"/>
    <mergeCell ref="A14:A20"/>
    <mergeCell ref="B14:B20"/>
    <mergeCell ref="C14:C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5525B0E-AF48-4143-AA43-19D1CE296160}">
          <x14:formula1>
            <xm:f>'DROPDOWN LISTS'!$B$26:$B$32</xm:f>
          </x14:formula1>
          <xm:sqref>C14:C35 I14:I35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8FB04-2513-4580-A725-7DCE8CE6198E}">
  <sheetPr>
    <tabColor theme="0" tint="-0.14999847407452621"/>
  </sheetPr>
  <dimension ref="A1:L39"/>
  <sheetViews>
    <sheetView showGridLines="0" zoomScale="80" zoomScaleNormal="80" workbookViewId="0"/>
  </sheetViews>
  <sheetFormatPr defaultRowHeight="12.75"/>
  <cols>
    <col min="1" max="1" width="31.140625" bestFit="1" customWidth="1"/>
    <col min="2" max="2" width="98.28515625" bestFit="1" customWidth="1"/>
    <col min="3" max="3" width="7.85546875" bestFit="1" customWidth="1"/>
    <col min="4" max="4" width="11.28515625" customWidth="1"/>
    <col min="5" max="5" width="16.28515625" bestFit="1" customWidth="1"/>
    <col min="7" max="7" width="41.85546875" customWidth="1"/>
    <col min="8" max="8" width="99" customWidth="1"/>
    <col min="9" max="9" width="14.85546875" customWidth="1"/>
    <col min="10" max="10" width="13.28515625" customWidth="1"/>
    <col min="11" max="11" width="43.7109375" customWidth="1"/>
  </cols>
  <sheetData>
    <row r="1" spans="1:12" ht="30.75">
      <c r="A1" s="1" t="e">
        <f ca="1" xml:space="preserve"> RIGHT(CELL("filename", $A$1), LEN(CELL("filename", $A$1)) - SEARCH("]", CELL("filename", $A$1)))</f>
        <v>#VALUE!</v>
      </c>
    </row>
    <row r="2" spans="1:12" ht="13.15">
      <c r="G2" s="261" t="s">
        <v>330</v>
      </c>
    </row>
    <row r="3" spans="1:12" ht="13.15">
      <c r="A3" s="11" t="s">
        <v>148</v>
      </c>
      <c r="B3" s="45" t="s">
        <v>114</v>
      </c>
      <c r="G3" s="11" t="s">
        <v>148</v>
      </c>
      <c r="H3" s="45" t="s">
        <v>114</v>
      </c>
    </row>
    <row r="4" spans="1:12" ht="13.15">
      <c r="A4" s="11" t="s">
        <v>304</v>
      </c>
      <c r="B4" s="100" t="s">
        <v>305</v>
      </c>
      <c r="G4" s="11" t="s">
        <v>304</v>
      </c>
      <c r="H4" s="100" t="s">
        <v>305</v>
      </c>
      <c r="L4" s="57"/>
    </row>
    <row r="5" spans="1:12" ht="13.15">
      <c r="A5" s="11" t="s">
        <v>306</v>
      </c>
      <c r="B5" s="107" t="s">
        <v>307</v>
      </c>
      <c r="G5" s="11" t="s">
        <v>306</v>
      </c>
      <c r="H5" s="107" t="s">
        <v>307</v>
      </c>
    </row>
    <row r="6" spans="1:12" ht="13.15">
      <c r="A6" s="11" t="s">
        <v>308</v>
      </c>
      <c r="B6" s="100"/>
      <c r="G6" s="11" t="s">
        <v>308</v>
      </c>
      <c r="H6" s="100"/>
      <c r="L6" s="57"/>
    </row>
    <row r="7" spans="1:12" ht="12.75" customHeight="1">
      <c r="A7" s="378" t="s">
        <v>309</v>
      </c>
      <c r="B7" s="406">
        <f ca="1">'Materiality &amp; shallow dive'!E16</f>
        <v>19.975000000000001</v>
      </c>
      <c r="G7" s="378" t="s">
        <v>309</v>
      </c>
      <c r="H7" s="380">
        <v>10.75</v>
      </c>
    </row>
    <row r="8" spans="1:12" ht="14.1" customHeight="1">
      <c r="A8" s="379"/>
      <c r="B8" s="407"/>
      <c r="G8" s="379"/>
      <c r="H8" s="381"/>
    </row>
    <row r="9" spans="1:12" ht="26.25">
      <c r="A9" s="11" t="s">
        <v>310</v>
      </c>
      <c r="B9" s="114">
        <f ca="1">B7</f>
        <v>19.975000000000001</v>
      </c>
      <c r="G9" s="11" t="s">
        <v>310</v>
      </c>
      <c r="H9" s="101">
        <v>10.75</v>
      </c>
    </row>
    <row r="10" spans="1:12" ht="13.15">
      <c r="A10" s="11" t="s">
        <v>311</v>
      </c>
      <c r="B10" s="102">
        <f>SUM(D14:D34)</f>
        <v>0</v>
      </c>
      <c r="G10" s="11" t="s">
        <v>311</v>
      </c>
      <c r="H10" s="102">
        <v>0.2</v>
      </c>
    </row>
    <row r="11" spans="1:12" ht="13.15">
      <c r="A11" s="11" t="s">
        <v>312</v>
      </c>
      <c r="B11" s="115">
        <f ca="1">(1-B10)*B7</f>
        <v>19.975000000000001</v>
      </c>
      <c r="G11" s="11" t="s">
        <v>312</v>
      </c>
      <c r="H11" s="103">
        <v>8.6</v>
      </c>
      <c r="I11" s="37"/>
      <c r="J11" s="37"/>
      <c r="K11" s="37"/>
    </row>
    <row r="12" spans="1:12">
      <c r="A12" s="37"/>
      <c r="B12" s="37"/>
      <c r="G12" s="37"/>
      <c r="H12" s="37"/>
      <c r="I12" s="37"/>
      <c r="J12" s="37"/>
      <c r="K12" s="37"/>
    </row>
    <row r="13" spans="1:12" ht="26.25">
      <c r="A13" s="111" t="s">
        <v>313</v>
      </c>
      <c r="B13" s="111" t="s">
        <v>314</v>
      </c>
      <c r="C13" s="111" t="s">
        <v>315</v>
      </c>
      <c r="D13" s="111" t="s">
        <v>316</v>
      </c>
      <c r="E13" s="111" t="s">
        <v>317</v>
      </c>
      <c r="G13" s="111" t="s">
        <v>313</v>
      </c>
      <c r="H13" s="111" t="s">
        <v>314</v>
      </c>
      <c r="I13" s="111" t="s">
        <v>315</v>
      </c>
      <c r="J13" s="111" t="s">
        <v>316</v>
      </c>
      <c r="K13" s="111" t="s">
        <v>317</v>
      </c>
    </row>
    <row r="14" spans="1:12" ht="12.75" customHeight="1">
      <c r="A14" s="394" t="s">
        <v>318</v>
      </c>
      <c r="B14" s="359" t="s">
        <v>388</v>
      </c>
      <c r="C14" s="374" t="s">
        <v>323</v>
      </c>
      <c r="D14" s="398">
        <v>0</v>
      </c>
      <c r="E14" s="400"/>
      <c r="G14" s="394" t="s">
        <v>318</v>
      </c>
      <c r="H14" s="396" t="s">
        <v>361</v>
      </c>
      <c r="I14" s="374" t="s">
        <v>323</v>
      </c>
      <c r="J14" s="398">
        <v>0</v>
      </c>
      <c r="K14" s="400" t="s">
        <v>389</v>
      </c>
    </row>
    <row r="15" spans="1:12" ht="14.1" customHeight="1">
      <c r="A15" s="395"/>
      <c r="B15" s="359"/>
      <c r="C15" s="375"/>
      <c r="D15" s="399"/>
      <c r="E15" s="401"/>
      <c r="G15" s="395"/>
      <c r="H15" s="397"/>
      <c r="I15" s="375"/>
      <c r="J15" s="399"/>
      <c r="K15" s="401"/>
    </row>
    <row r="16" spans="1:12" ht="14.1" customHeight="1">
      <c r="A16" s="395"/>
      <c r="B16" s="359"/>
      <c r="C16" s="375"/>
      <c r="D16" s="399"/>
      <c r="E16" s="401"/>
      <c r="G16" s="395"/>
      <c r="H16" s="397"/>
      <c r="I16" s="375"/>
      <c r="J16" s="399"/>
      <c r="K16" s="401"/>
    </row>
    <row r="17" spans="1:12" ht="14.1" customHeight="1">
      <c r="A17" s="395"/>
      <c r="B17" s="359"/>
      <c r="C17" s="375"/>
      <c r="D17" s="399"/>
      <c r="E17" s="401"/>
      <c r="G17" s="395"/>
      <c r="H17" s="397"/>
      <c r="I17" s="375"/>
      <c r="J17" s="399"/>
      <c r="K17" s="401"/>
    </row>
    <row r="18" spans="1:12" ht="14.1" customHeight="1">
      <c r="A18" s="395"/>
      <c r="B18" s="359"/>
      <c r="C18" s="375"/>
      <c r="D18" s="399"/>
      <c r="E18" s="401"/>
      <c r="G18" s="395"/>
      <c r="H18" s="397"/>
      <c r="I18" s="375"/>
      <c r="J18" s="399"/>
      <c r="K18" s="401"/>
    </row>
    <row r="19" spans="1:12" ht="17.100000000000001" customHeight="1">
      <c r="A19" s="395"/>
      <c r="B19" s="359"/>
      <c r="C19" s="375"/>
      <c r="D19" s="399"/>
      <c r="E19" s="401"/>
      <c r="G19" s="395"/>
      <c r="H19" s="397"/>
      <c r="I19" s="375"/>
      <c r="J19" s="399"/>
      <c r="K19" s="401"/>
    </row>
    <row r="20" spans="1:12" ht="107.1" customHeight="1">
      <c r="A20" s="377"/>
      <c r="B20" s="359"/>
      <c r="C20" s="372"/>
      <c r="D20" s="373"/>
      <c r="E20" s="402"/>
      <c r="G20" s="377"/>
      <c r="H20" s="371"/>
      <c r="I20" s="372"/>
      <c r="J20" s="373"/>
      <c r="K20" s="402"/>
    </row>
    <row r="21" spans="1:12" ht="14.1" customHeight="1">
      <c r="A21" s="394" t="s">
        <v>321</v>
      </c>
      <c r="B21" s="359" t="s">
        <v>390</v>
      </c>
      <c r="C21" s="374" t="s">
        <v>323</v>
      </c>
      <c r="D21" s="398">
        <v>0</v>
      </c>
      <c r="E21" s="403"/>
      <c r="G21" s="394" t="s">
        <v>321</v>
      </c>
      <c r="H21" s="396" t="s">
        <v>391</v>
      </c>
      <c r="I21" s="374" t="s">
        <v>323</v>
      </c>
      <c r="J21" s="398">
        <v>0</v>
      </c>
      <c r="K21" s="403" t="s">
        <v>392</v>
      </c>
    </row>
    <row r="22" spans="1:12" ht="14.1" customHeight="1">
      <c r="A22" s="395"/>
      <c r="B22" s="359"/>
      <c r="C22" s="375"/>
      <c r="D22" s="399"/>
      <c r="E22" s="401"/>
      <c r="G22" s="395"/>
      <c r="H22" s="397"/>
      <c r="I22" s="375"/>
      <c r="J22" s="399"/>
      <c r="K22" s="401"/>
    </row>
    <row r="23" spans="1:12" ht="14.1" customHeight="1">
      <c r="A23" s="395"/>
      <c r="B23" s="359"/>
      <c r="C23" s="375"/>
      <c r="D23" s="399"/>
      <c r="E23" s="401"/>
      <c r="G23" s="395"/>
      <c r="H23" s="397"/>
      <c r="I23" s="375"/>
      <c r="J23" s="399"/>
      <c r="K23" s="401"/>
    </row>
    <row r="24" spans="1:12" ht="14.1" customHeight="1">
      <c r="A24" s="395"/>
      <c r="B24" s="359"/>
      <c r="C24" s="375"/>
      <c r="D24" s="399"/>
      <c r="E24" s="401"/>
      <c r="G24" s="395"/>
      <c r="H24" s="397"/>
      <c r="I24" s="375"/>
      <c r="J24" s="399"/>
      <c r="K24" s="401"/>
    </row>
    <row r="25" spans="1:12" ht="14.1" customHeight="1">
      <c r="A25" s="395"/>
      <c r="B25" s="359"/>
      <c r="C25" s="375"/>
      <c r="D25" s="399"/>
      <c r="E25" s="401"/>
      <c r="G25" s="395"/>
      <c r="H25" s="397"/>
      <c r="I25" s="375"/>
      <c r="J25" s="399"/>
      <c r="K25" s="401"/>
    </row>
    <row r="26" spans="1:12" ht="14.1" customHeight="1">
      <c r="A26" s="395"/>
      <c r="B26" s="359"/>
      <c r="C26" s="375"/>
      <c r="D26" s="399"/>
      <c r="E26" s="401"/>
      <c r="G26" s="395"/>
      <c r="H26" s="397"/>
      <c r="I26" s="375"/>
      <c r="J26" s="399"/>
      <c r="K26" s="401"/>
    </row>
    <row r="27" spans="1:12" ht="14.1" customHeight="1">
      <c r="A27" s="395"/>
      <c r="B27" s="359"/>
      <c r="C27" s="375"/>
      <c r="D27" s="399"/>
      <c r="E27" s="401"/>
      <c r="G27" s="395"/>
      <c r="H27" s="397"/>
      <c r="I27" s="375"/>
      <c r="J27" s="399"/>
      <c r="K27" s="401"/>
    </row>
    <row r="28" spans="1:12" ht="18" customHeight="1">
      <c r="A28" s="377"/>
      <c r="B28" s="359"/>
      <c r="C28" s="372"/>
      <c r="D28" s="373"/>
      <c r="E28" s="402"/>
      <c r="G28" s="377"/>
      <c r="H28" s="371"/>
      <c r="I28" s="372"/>
      <c r="J28" s="373"/>
      <c r="K28" s="402"/>
    </row>
    <row r="29" spans="1:12" ht="29.1" customHeight="1">
      <c r="A29" s="394" t="s">
        <v>324</v>
      </c>
      <c r="B29" s="359" t="s">
        <v>393</v>
      </c>
      <c r="C29" s="374" t="s">
        <v>323</v>
      </c>
      <c r="D29" s="398">
        <v>0</v>
      </c>
      <c r="E29" s="403"/>
      <c r="G29" s="394" t="s">
        <v>324</v>
      </c>
      <c r="H29" s="396" t="s">
        <v>394</v>
      </c>
      <c r="I29" s="374" t="s">
        <v>338</v>
      </c>
      <c r="J29" s="398">
        <v>0.2</v>
      </c>
      <c r="K29" s="403" t="s">
        <v>395</v>
      </c>
    </row>
    <row r="30" spans="1:12" ht="29.1" customHeight="1">
      <c r="A30" s="395"/>
      <c r="B30" s="359"/>
      <c r="C30" s="375"/>
      <c r="D30" s="399"/>
      <c r="E30" s="401"/>
      <c r="G30" s="395"/>
      <c r="H30" s="397"/>
      <c r="I30" s="375"/>
      <c r="J30" s="399"/>
      <c r="K30" s="401"/>
    </row>
    <row r="31" spans="1:12" ht="29.1" customHeight="1">
      <c r="A31" s="395"/>
      <c r="B31" s="359"/>
      <c r="C31" s="375"/>
      <c r="D31" s="399"/>
      <c r="E31" s="401"/>
      <c r="G31" s="395"/>
      <c r="H31" s="397"/>
      <c r="I31" s="375"/>
      <c r="J31" s="399"/>
      <c r="K31" s="401"/>
    </row>
    <row r="32" spans="1:12" ht="18" customHeight="1">
      <c r="A32" s="395"/>
      <c r="B32" s="359"/>
      <c r="C32" s="375"/>
      <c r="D32" s="399"/>
      <c r="E32" s="401"/>
      <c r="G32" s="395"/>
      <c r="H32" s="397"/>
      <c r="I32" s="375"/>
      <c r="J32" s="399"/>
      <c r="K32" s="401"/>
      <c r="L32" s="29"/>
    </row>
    <row r="33" spans="1:11" ht="15" customHeight="1">
      <c r="A33" s="395"/>
      <c r="B33" s="359"/>
      <c r="C33" s="375"/>
      <c r="D33" s="399"/>
      <c r="E33" s="401"/>
      <c r="G33" s="395"/>
      <c r="H33" s="397"/>
      <c r="I33" s="375"/>
      <c r="J33" s="399"/>
      <c r="K33" s="401"/>
    </row>
    <row r="34" spans="1:11" ht="213" customHeight="1">
      <c r="A34" s="377"/>
      <c r="B34" s="359"/>
      <c r="C34" s="372"/>
      <c r="D34" s="405"/>
      <c r="E34" s="402"/>
      <c r="G34" s="377"/>
      <c r="H34" s="404"/>
      <c r="I34" s="372"/>
      <c r="J34" s="405"/>
      <c r="K34" s="402"/>
    </row>
    <row r="35" spans="1:11" ht="112.5" customHeight="1">
      <c r="A35" s="220" t="s">
        <v>326</v>
      </c>
      <c r="B35" s="234" t="s">
        <v>357</v>
      </c>
      <c r="C35" s="225"/>
      <c r="D35" s="227" t="s">
        <v>328</v>
      </c>
      <c r="E35" s="228"/>
      <c r="G35" s="220" t="s">
        <v>326</v>
      </c>
      <c r="H35" s="228" t="s">
        <v>396</v>
      </c>
      <c r="I35" s="225" t="s">
        <v>338</v>
      </c>
      <c r="J35" s="227" t="s">
        <v>328</v>
      </c>
      <c r="K35" s="228" t="s">
        <v>397</v>
      </c>
    </row>
    <row r="36" spans="1:11" ht="13.15">
      <c r="A36" s="44"/>
      <c r="B36" s="44"/>
      <c r="G36" s="44"/>
      <c r="H36" s="44"/>
      <c r="I36" s="44"/>
      <c r="J36" s="44"/>
      <c r="K36" s="44"/>
    </row>
    <row r="37" spans="1:11" ht="13.15">
      <c r="A37" s="47"/>
      <c r="B37" s="47"/>
      <c r="G37" s="47"/>
      <c r="H37" s="47"/>
      <c r="I37" s="48"/>
      <c r="J37" s="47"/>
      <c r="K37" s="47"/>
    </row>
    <row r="38" spans="1:11" ht="13.15">
      <c r="A38" s="15"/>
      <c r="B38" s="15"/>
      <c r="G38" s="15"/>
      <c r="H38" s="15"/>
      <c r="I38" s="46"/>
      <c r="J38" s="46"/>
      <c r="K38" s="46"/>
    </row>
    <row r="39" spans="1:11" ht="13.15">
      <c r="A39" s="43" t="s">
        <v>329</v>
      </c>
      <c r="B39" s="49"/>
      <c r="C39" s="49"/>
      <c r="D39" s="49"/>
      <c r="E39" s="49"/>
      <c r="G39" s="43" t="s">
        <v>329</v>
      </c>
      <c r="H39" s="49"/>
      <c r="I39" s="50"/>
      <c r="J39" s="50"/>
      <c r="K39" s="50"/>
    </row>
  </sheetData>
  <mergeCells count="34">
    <mergeCell ref="A29:A34"/>
    <mergeCell ref="B29:B34"/>
    <mergeCell ref="C14:C20"/>
    <mergeCell ref="D14:D20"/>
    <mergeCell ref="E14:E20"/>
    <mergeCell ref="C21:C28"/>
    <mergeCell ref="D21:D28"/>
    <mergeCell ref="E21:E28"/>
    <mergeCell ref="C29:C34"/>
    <mergeCell ref="D29:D34"/>
    <mergeCell ref="E29:E34"/>
    <mergeCell ref="A7:A8"/>
    <mergeCell ref="B7:B8"/>
    <mergeCell ref="A14:A20"/>
    <mergeCell ref="B14:B20"/>
    <mergeCell ref="A21:A28"/>
    <mergeCell ref="B21:B28"/>
    <mergeCell ref="G29:G34"/>
    <mergeCell ref="H29:H34"/>
    <mergeCell ref="I29:I34"/>
    <mergeCell ref="J29:J34"/>
    <mergeCell ref="K29:K34"/>
    <mergeCell ref="J14:J20"/>
    <mergeCell ref="K14:K20"/>
    <mergeCell ref="G21:G28"/>
    <mergeCell ref="I21:I28"/>
    <mergeCell ref="J21:J28"/>
    <mergeCell ref="K21:K28"/>
    <mergeCell ref="H21:H28"/>
    <mergeCell ref="G7:G8"/>
    <mergeCell ref="H7:H8"/>
    <mergeCell ref="G14:G20"/>
    <mergeCell ref="H14:H20"/>
    <mergeCell ref="I14:I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77EEC2E9-48A7-471A-95EA-66724D104B27}">
          <x14:formula1>
            <xm:f>'DROPDOWN LISTS'!$B$26:$B$31</xm:f>
          </x14:formula1>
          <xm:sqref>I35 C35</xm:sqref>
        </x14:dataValidation>
        <x14:dataValidation type="list" allowBlank="1" showInputMessage="1" showErrorMessage="1" xr:uid="{C0C5E72A-989F-44F4-89E5-2BCC95DFE174}">
          <x14:formula1>
            <xm:f>'DROPDOWN LISTS'!$B$26:$B$32</xm:f>
          </x14:formula1>
          <xm:sqref>I14:I34 C14:C34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FEFA5-6FC1-48C8-8FA4-64BB4BBACBF4}">
  <sheetPr>
    <tabColor theme="0" tint="-0.14999847407452621"/>
  </sheetPr>
  <dimension ref="A1:L39"/>
  <sheetViews>
    <sheetView showGridLines="0" zoomScale="80" zoomScaleNormal="80" workbookViewId="0"/>
  </sheetViews>
  <sheetFormatPr defaultRowHeight="12.75"/>
  <cols>
    <col min="1" max="1" width="35.42578125" bestFit="1" customWidth="1"/>
    <col min="2" max="2" width="103.42578125" bestFit="1" customWidth="1"/>
    <col min="3" max="3" width="16.85546875" bestFit="1" customWidth="1"/>
    <col min="4" max="4" width="9.28515625" bestFit="1" customWidth="1"/>
    <col min="5" max="5" width="43.140625" bestFit="1" customWidth="1"/>
    <col min="7" max="7" width="41.140625" customWidth="1"/>
    <col min="8" max="8" width="100.28515625" customWidth="1"/>
    <col min="9" max="10" width="14.28515625" customWidth="1"/>
    <col min="11" max="11" width="39.140625" customWidth="1"/>
  </cols>
  <sheetData>
    <row r="1" spans="1:12" ht="30.75">
      <c r="A1" s="1" t="e">
        <f ca="1" xml:space="preserve"> RIGHT(CELL("filename", $A$1), LEN(CELL("filename", $A$1)) - SEARCH("]", CELL("filename", $A$1)))</f>
        <v>#VALUE!</v>
      </c>
    </row>
    <row r="2" spans="1:12" ht="13.15">
      <c r="G2" s="261" t="s">
        <v>330</v>
      </c>
    </row>
    <row r="3" spans="1:12" ht="13.15">
      <c r="A3" s="11" t="s">
        <v>148</v>
      </c>
      <c r="B3" s="45" t="s">
        <v>115</v>
      </c>
      <c r="G3" s="11" t="s">
        <v>148</v>
      </c>
      <c r="H3" s="45" t="s">
        <v>115</v>
      </c>
    </row>
    <row r="4" spans="1:12" ht="13.15">
      <c r="A4" s="11" t="s">
        <v>304</v>
      </c>
      <c r="B4" s="100" t="s">
        <v>305</v>
      </c>
      <c r="G4" s="11" t="s">
        <v>304</v>
      </c>
      <c r="H4" s="100" t="s">
        <v>305</v>
      </c>
      <c r="L4" s="57"/>
    </row>
    <row r="5" spans="1:12" ht="13.15">
      <c r="A5" s="11" t="s">
        <v>306</v>
      </c>
      <c r="B5" s="107" t="s">
        <v>307</v>
      </c>
      <c r="G5" s="11" t="s">
        <v>306</v>
      </c>
      <c r="H5" s="107" t="s">
        <v>307</v>
      </c>
    </row>
    <row r="6" spans="1:12" ht="13.15">
      <c r="A6" s="11" t="s">
        <v>308</v>
      </c>
      <c r="B6" s="100"/>
      <c r="G6" s="11" t="s">
        <v>308</v>
      </c>
      <c r="H6" s="100"/>
      <c r="L6" s="57"/>
    </row>
    <row r="7" spans="1:12" ht="16.350000000000001" customHeight="1">
      <c r="A7" s="378" t="s">
        <v>309</v>
      </c>
      <c r="B7" s="406">
        <f ca="1">'Materiality &amp; shallow dive'!E17</f>
        <v>38.256211</v>
      </c>
      <c r="G7" s="378" t="s">
        <v>309</v>
      </c>
      <c r="H7" s="380">
        <v>19.126999999999999</v>
      </c>
    </row>
    <row r="8" spans="1:12" ht="14.1" customHeight="1">
      <c r="A8" s="379"/>
      <c r="B8" s="407"/>
      <c r="G8" s="379"/>
      <c r="H8" s="381"/>
    </row>
    <row r="9" spans="1:12" ht="26.25">
      <c r="A9" s="11" t="s">
        <v>310</v>
      </c>
      <c r="B9" s="114">
        <f ca="1">B7</f>
        <v>38.256211</v>
      </c>
      <c r="G9" s="11" t="s">
        <v>310</v>
      </c>
      <c r="H9" s="101">
        <v>19.126999999999999</v>
      </c>
    </row>
    <row r="10" spans="1:12" ht="13.15">
      <c r="A10" s="11" t="s">
        <v>311</v>
      </c>
      <c r="B10" s="102">
        <f>SUM(D14:D34)</f>
        <v>0</v>
      </c>
      <c r="G10" s="11" t="s">
        <v>311</v>
      </c>
      <c r="H10" s="102">
        <v>0.3</v>
      </c>
    </row>
    <row r="11" spans="1:12" ht="13.15">
      <c r="A11" s="11" t="s">
        <v>312</v>
      </c>
      <c r="B11" s="115">
        <f ca="1">(1-B10)*B7</f>
        <v>38.256211</v>
      </c>
      <c r="C11" s="46"/>
      <c r="D11" s="46"/>
      <c r="E11" s="46"/>
      <c r="G11" s="11" t="s">
        <v>312</v>
      </c>
      <c r="H11" s="103">
        <v>13.388999999999999</v>
      </c>
      <c r="I11" s="46"/>
      <c r="J11" s="46"/>
      <c r="K11" s="46"/>
    </row>
    <row r="12" spans="1:12">
      <c r="A12" s="37"/>
      <c r="B12" s="46"/>
      <c r="C12" s="46"/>
      <c r="D12" s="46"/>
      <c r="E12" s="46"/>
      <c r="G12" s="37"/>
      <c r="H12" s="46"/>
      <c r="I12" s="46"/>
      <c r="J12" s="46"/>
      <c r="K12" s="46"/>
    </row>
    <row r="13" spans="1:12" ht="39.4">
      <c r="A13" s="215" t="s">
        <v>313</v>
      </c>
      <c r="B13" s="215" t="s">
        <v>314</v>
      </c>
      <c r="C13" s="215" t="s">
        <v>315</v>
      </c>
      <c r="D13" s="215" t="s">
        <v>316</v>
      </c>
      <c r="E13" s="215" t="s">
        <v>68</v>
      </c>
      <c r="G13" s="215" t="s">
        <v>313</v>
      </c>
      <c r="H13" s="215" t="s">
        <v>314</v>
      </c>
      <c r="I13" s="215" t="s">
        <v>315</v>
      </c>
      <c r="J13" s="215" t="s">
        <v>316</v>
      </c>
      <c r="K13" s="215" t="s">
        <v>68</v>
      </c>
    </row>
    <row r="14" spans="1:12" ht="12.75" customHeight="1">
      <c r="A14" s="408" t="s">
        <v>318</v>
      </c>
      <c r="B14" s="359" t="s">
        <v>398</v>
      </c>
      <c r="C14" s="372" t="s">
        <v>323</v>
      </c>
      <c r="D14" s="373">
        <v>0</v>
      </c>
      <c r="E14" s="371"/>
      <c r="G14" s="408" t="s">
        <v>318</v>
      </c>
      <c r="H14" s="371" t="s">
        <v>399</v>
      </c>
      <c r="I14" s="372" t="s">
        <v>323</v>
      </c>
      <c r="J14" s="373">
        <v>0</v>
      </c>
      <c r="K14" s="371" t="s">
        <v>400</v>
      </c>
    </row>
    <row r="15" spans="1:12" ht="14.1" customHeight="1">
      <c r="A15" s="408"/>
      <c r="B15" s="359"/>
      <c r="C15" s="360"/>
      <c r="D15" s="361"/>
      <c r="E15" s="359"/>
      <c r="G15" s="408"/>
      <c r="H15" s="359"/>
      <c r="I15" s="360"/>
      <c r="J15" s="361"/>
      <c r="K15" s="359"/>
    </row>
    <row r="16" spans="1:12" ht="14.1" customHeight="1">
      <c r="A16" s="408"/>
      <c r="B16" s="359"/>
      <c r="C16" s="360"/>
      <c r="D16" s="361"/>
      <c r="E16" s="359"/>
      <c r="G16" s="408"/>
      <c r="H16" s="359"/>
      <c r="I16" s="360"/>
      <c r="J16" s="361"/>
      <c r="K16" s="359"/>
    </row>
    <row r="17" spans="1:12" ht="14.1" customHeight="1">
      <c r="A17" s="408"/>
      <c r="B17" s="359"/>
      <c r="C17" s="360"/>
      <c r="D17" s="361"/>
      <c r="E17" s="359"/>
      <c r="G17" s="408"/>
      <c r="H17" s="359"/>
      <c r="I17" s="360"/>
      <c r="J17" s="361"/>
      <c r="K17" s="359"/>
    </row>
    <row r="18" spans="1:12" ht="27.75" customHeight="1">
      <c r="A18" s="408"/>
      <c r="B18" s="359"/>
      <c r="C18" s="360"/>
      <c r="D18" s="361"/>
      <c r="E18" s="359"/>
      <c r="G18" s="408"/>
      <c r="H18" s="359"/>
      <c r="I18" s="360"/>
      <c r="J18" s="361"/>
      <c r="K18" s="359"/>
    </row>
    <row r="19" spans="1:12" ht="27.75" customHeight="1">
      <c r="A19" s="408"/>
      <c r="B19" s="359"/>
      <c r="C19" s="360"/>
      <c r="D19" s="361"/>
      <c r="E19" s="359"/>
      <c r="G19" s="408"/>
      <c r="H19" s="359"/>
      <c r="I19" s="360"/>
      <c r="J19" s="361"/>
      <c r="K19" s="359"/>
    </row>
    <row r="20" spans="1:12" ht="95.25" customHeight="1">
      <c r="A20" s="409"/>
      <c r="B20" s="359"/>
      <c r="C20" s="360"/>
      <c r="D20" s="361"/>
      <c r="E20" s="359"/>
      <c r="G20" s="409"/>
      <c r="H20" s="359"/>
      <c r="I20" s="360"/>
      <c r="J20" s="361"/>
      <c r="K20" s="359"/>
    </row>
    <row r="21" spans="1:12" ht="14.1" customHeight="1">
      <c r="A21" s="410" t="s">
        <v>321</v>
      </c>
      <c r="B21" s="359" t="s">
        <v>401</v>
      </c>
      <c r="C21" s="360" t="s">
        <v>323</v>
      </c>
      <c r="D21" s="361">
        <v>0</v>
      </c>
      <c r="E21" s="359"/>
      <c r="G21" s="410" t="s">
        <v>321</v>
      </c>
      <c r="H21" s="376" t="s">
        <v>402</v>
      </c>
      <c r="I21" s="360" t="s">
        <v>323</v>
      </c>
      <c r="J21" s="361">
        <v>0</v>
      </c>
      <c r="K21" s="359" t="s">
        <v>403</v>
      </c>
    </row>
    <row r="22" spans="1:12" ht="14.1" customHeight="1">
      <c r="A22" s="408"/>
      <c r="B22" s="359"/>
      <c r="C22" s="360"/>
      <c r="D22" s="361"/>
      <c r="E22" s="359"/>
      <c r="G22" s="408"/>
      <c r="H22" s="376"/>
      <c r="I22" s="360"/>
      <c r="J22" s="361"/>
      <c r="K22" s="359"/>
    </row>
    <row r="23" spans="1:12" ht="14.1" customHeight="1">
      <c r="A23" s="408"/>
      <c r="B23" s="359"/>
      <c r="C23" s="360"/>
      <c r="D23" s="361"/>
      <c r="E23" s="359"/>
      <c r="G23" s="408"/>
      <c r="H23" s="376"/>
      <c r="I23" s="360"/>
      <c r="J23" s="361"/>
      <c r="K23" s="359"/>
    </row>
    <row r="24" spans="1:12" ht="14.1" customHeight="1">
      <c r="A24" s="408"/>
      <c r="B24" s="359"/>
      <c r="C24" s="360"/>
      <c r="D24" s="361"/>
      <c r="E24" s="359"/>
      <c r="G24" s="408"/>
      <c r="H24" s="376"/>
      <c r="I24" s="360"/>
      <c r="J24" s="361"/>
      <c r="K24" s="359"/>
    </row>
    <row r="25" spans="1:12" ht="14.1" customHeight="1">
      <c r="A25" s="408"/>
      <c r="B25" s="359"/>
      <c r="C25" s="360"/>
      <c r="D25" s="361"/>
      <c r="E25" s="359"/>
      <c r="G25" s="408"/>
      <c r="H25" s="376"/>
      <c r="I25" s="360"/>
      <c r="J25" s="361"/>
      <c r="K25" s="359"/>
    </row>
    <row r="26" spans="1:12" ht="14.1" customHeight="1">
      <c r="A26" s="408"/>
      <c r="B26" s="359"/>
      <c r="C26" s="360"/>
      <c r="D26" s="361"/>
      <c r="E26" s="359"/>
      <c r="G26" s="408"/>
      <c r="H26" s="376"/>
      <c r="I26" s="360"/>
      <c r="J26" s="361"/>
      <c r="K26" s="359"/>
    </row>
    <row r="27" spans="1:12" ht="14.1" customHeight="1">
      <c r="A27" s="408"/>
      <c r="B27" s="359"/>
      <c r="C27" s="360"/>
      <c r="D27" s="361"/>
      <c r="E27" s="359"/>
      <c r="G27" s="408"/>
      <c r="H27" s="376"/>
      <c r="I27" s="360"/>
      <c r="J27" s="361"/>
      <c r="K27" s="359"/>
    </row>
    <row r="28" spans="1:12" ht="16.350000000000001" customHeight="1">
      <c r="A28" s="409"/>
      <c r="B28" s="359"/>
      <c r="C28" s="360"/>
      <c r="D28" s="361"/>
      <c r="E28" s="359"/>
      <c r="G28" s="409"/>
      <c r="H28" s="376"/>
      <c r="I28" s="360"/>
      <c r="J28" s="361"/>
      <c r="K28" s="359"/>
    </row>
    <row r="29" spans="1:12" ht="17.45" customHeight="1">
      <c r="A29" s="410" t="s">
        <v>324</v>
      </c>
      <c r="B29" s="359" t="s">
        <v>404</v>
      </c>
      <c r="C29" s="360" t="s">
        <v>323</v>
      </c>
      <c r="D29" s="361">
        <v>0</v>
      </c>
      <c r="E29" s="359"/>
      <c r="G29" s="410" t="s">
        <v>324</v>
      </c>
      <c r="H29" s="376" t="s">
        <v>405</v>
      </c>
      <c r="I29" s="360" t="s">
        <v>367</v>
      </c>
      <c r="J29" s="361">
        <v>0.3</v>
      </c>
      <c r="K29" s="359" t="s">
        <v>406</v>
      </c>
    </row>
    <row r="30" spans="1:12" ht="17.45" customHeight="1">
      <c r="A30" s="408"/>
      <c r="B30" s="359"/>
      <c r="C30" s="360"/>
      <c r="D30" s="361"/>
      <c r="E30" s="359"/>
      <c r="G30" s="408"/>
      <c r="H30" s="376"/>
      <c r="I30" s="360"/>
      <c r="J30" s="361"/>
      <c r="K30" s="359"/>
    </row>
    <row r="31" spans="1:12" ht="17.45" customHeight="1">
      <c r="A31" s="408"/>
      <c r="B31" s="359"/>
      <c r="C31" s="360"/>
      <c r="D31" s="361"/>
      <c r="E31" s="359"/>
      <c r="G31" s="408"/>
      <c r="H31" s="376"/>
      <c r="I31" s="360"/>
      <c r="J31" s="361"/>
      <c r="K31" s="359"/>
    </row>
    <row r="32" spans="1:12" ht="38.25" customHeight="1">
      <c r="A32" s="408"/>
      <c r="B32" s="359"/>
      <c r="C32" s="360"/>
      <c r="D32" s="361"/>
      <c r="E32" s="359"/>
      <c r="G32" s="408"/>
      <c r="H32" s="376"/>
      <c r="I32" s="360"/>
      <c r="J32" s="361"/>
      <c r="K32" s="359"/>
      <c r="L32" s="29"/>
    </row>
    <row r="33" spans="1:11" ht="38.25" customHeight="1">
      <c r="A33" s="408"/>
      <c r="B33" s="359"/>
      <c r="C33" s="360"/>
      <c r="D33" s="361"/>
      <c r="E33" s="359"/>
      <c r="G33" s="408"/>
      <c r="H33" s="376"/>
      <c r="I33" s="360"/>
      <c r="J33" s="361"/>
      <c r="K33" s="359"/>
    </row>
    <row r="34" spans="1:11" ht="135.75" customHeight="1">
      <c r="A34" s="409"/>
      <c r="B34" s="359"/>
      <c r="C34" s="360"/>
      <c r="D34" s="361"/>
      <c r="E34" s="359"/>
      <c r="G34" s="409"/>
      <c r="H34" s="376"/>
      <c r="I34" s="360"/>
      <c r="J34" s="361"/>
      <c r="K34" s="359"/>
    </row>
    <row r="35" spans="1:11" ht="100.5" customHeight="1">
      <c r="A35" s="229" t="s">
        <v>326</v>
      </c>
      <c r="B35" s="234" t="s">
        <v>357</v>
      </c>
      <c r="C35" s="221"/>
      <c r="D35" s="222" t="s">
        <v>328</v>
      </c>
      <c r="E35" s="223"/>
      <c r="G35" s="229" t="s">
        <v>326</v>
      </c>
      <c r="H35" s="99" t="s">
        <v>407</v>
      </c>
      <c r="I35" s="221" t="s">
        <v>338</v>
      </c>
      <c r="J35" s="222" t="s">
        <v>328</v>
      </c>
      <c r="K35" s="223" t="s">
        <v>408</v>
      </c>
    </row>
    <row r="36" spans="1:11" ht="13.15">
      <c r="G36" s="44"/>
      <c r="H36" s="44"/>
      <c r="I36" s="44"/>
      <c r="J36" s="44"/>
      <c r="K36" s="44"/>
    </row>
    <row r="37" spans="1:11" ht="13.15">
      <c r="G37" s="47"/>
      <c r="H37" s="47"/>
      <c r="I37" s="48"/>
      <c r="J37" s="47"/>
      <c r="K37" s="47"/>
    </row>
    <row r="38" spans="1:11" ht="13.15">
      <c r="G38" s="15"/>
      <c r="H38" s="15"/>
      <c r="I38" s="46"/>
      <c r="J38" s="46"/>
      <c r="K38" s="46"/>
    </row>
    <row r="39" spans="1:11" ht="13.15">
      <c r="A39" s="43" t="s">
        <v>329</v>
      </c>
      <c r="B39" s="49"/>
      <c r="C39" s="50"/>
      <c r="D39" s="50"/>
      <c r="E39" s="50"/>
      <c r="G39" s="43" t="s">
        <v>329</v>
      </c>
      <c r="H39" s="49"/>
      <c r="I39" s="50"/>
      <c r="J39" s="50"/>
      <c r="K39" s="50"/>
    </row>
  </sheetData>
  <mergeCells count="34">
    <mergeCell ref="A29:A34"/>
    <mergeCell ref="B29:B34"/>
    <mergeCell ref="C29:C34"/>
    <mergeCell ref="D29:D34"/>
    <mergeCell ref="E29:E34"/>
    <mergeCell ref="D14:D20"/>
    <mergeCell ref="E14:E20"/>
    <mergeCell ref="A21:A28"/>
    <mergeCell ref="B21:B28"/>
    <mergeCell ref="C21:C28"/>
    <mergeCell ref="D21:D28"/>
    <mergeCell ref="E21:E28"/>
    <mergeCell ref="A7:A8"/>
    <mergeCell ref="B7:B8"/>
    <mergeCell ref="A14:A20"/>
    <mergeCell ref="B14:B20"/>
    <mergeCell ref="C14:C20"/>
    <mergeCell ref="G29:G34"/>
    <mergeCell ref="H29:H34"/>
    <mergeCell ref="I29:I34"/>
    <mergeCell ref="J29:J34"/>
    <mergeCell ref="K29:K34"/>
    <mergeCell ref="J14:J20"/>
    <mergeCell ref="K14:K20"/>
    <mergeCell ref="G21:G28"/>
    <mergeCell ref="I21:I28"/>
    <mergeCell ref="J21:J28"/>
    <mergeCell ref="K21:K28"/>
    <mergeCell ref="H21:H28"/>
    <mergeCell ref="G7:G8"/>
    <mergeCell ref="H7:H8"/>
    <mergeCell ref="G14:G20"/>
    <mergeCell ref="H14:H20"/>
    <mergeCell ref="I14:I2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6F23D7-4FAD-4E89-8AED-718BEFDBFB02}">
          <x14:formula1>
            <xm:f>'DROPDOWN LISTS'!$B$26:$B$32</xm:f>
          </x14:formula1>
          <xm:sqref>I14:I35 C14:C35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608CA-58A4-402C-9E43-CFB0EFF076BB}">
  <sheetPr>
    <tabColor rgb="FF98C561"/>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2FE5D-5DC6-4CF4-9E02-431F90EF6ABC}">
  <sheetPr>
    <tabColor rgb="FF98C561"/>
  </sheetPr>
  <dimension ref="A1:J46"/>
  <sheetViews>
    <sheetView showGridLines="0" zoomScale="80" zoomScaleNormal="80" workbookViewId="0"/>
  </sheetViews>
  <sheetFormatPr defaultRowHeight="12.75"/>
  <cols>
    <col min="2" max="2" width="16.5703125" customWidth="1"/>
    <col min="3" max="8" width="17.7109375" customWidth="1"/>
    <col min="9" max="9" width="19.28515625" customWidth="1"/>
    <col min="10" max="10" width="17.7109375" customWidth="1"/>
  </cols>
  <sheetData>
    <row r="1" spans="1:10" s="2" customFormat="1" ht="30.75">
      <c r="A1" s="1" t="e">
        <f ca="1" xml:space="preserve"> RIGHT(CELL("filename", $A$1), LEN(CELL("filename", $A$1)) - SEARCH("]", CELL("filename", $A$1)))</f>
        <v>#VALUE!</v>
      </c>
      <c r="B1" s="1"/>
      <c r="C1" s="1"/>
      <c r="D1" s="1"/>
      <c r="E1" s="1"/>
      <c r="F1" s="1"/>
      <c r="G1" s="1"/>
      <c r="H1" s="1"/>
      <c r="I1" s="1"/>
    </row>
    <row r="3" spans="1:10" ht="18">
      <c r="A3" s="411" t="s">
        <v>409</v>
      </c>
      <c r="B3" s="411"/>
      <c r="C3" s="411"/>
      <c r="D3" s="411"/>
      <c r="E3" s="411"/>
      <c r="F3" s="411"/>
      <c r="G3" s="411"/>
      <c r="H3" s="411"/>
      <c r="I3" s="411"/>
    </row>
    <row r="4" spans="1:10" ht="13.15">
      <c r="A4" s="3"/>
      <c r="B4" s="3"/>
      <c r="C4" s="3"/>
      <c r="D4" s="3"/>
      <c r="E4" s="3"/>
      <c r="F4" s="3"/>
      <c r="G4" s="3"/>
      <c r="H4" s="3"/>
      <c r="I4" s="3"/>
    </row>
    <row r="5" spans="1:10" ht="13.15">
      <c r="A5" s="3"/>
      <c r="B5" s="4" t="s">
        <v>410</v>
      </c>
      <c r="C5" s="412" t="str">
        <f>Table3[[#This Row],[BON code]]</f>
        <v>CWW3_010TOT_PR24</v>
      </c>
      <c r="D5" s="412"/>
      <c r="E5" s="3"/>
      <c r="F5" s="3"/>
      <c r="G5" s="3"/>
      <c r="H5" s="3"/>
      <c r="I5" s="6"/>
    </row>
    <row r="6" spans="1:10" ht="83.1" customHeight="1">
      <c r="A6" s="3"/>
      <c r="B6" s="158" t="s">
        <v>411</v>
      </c>
      <c r="C6" s="413" t="str">
        <f>'Final Input'!C7</f>
        <v>EA/NRW environmental programme wastewater (WINEP/NEP) - MCERTs monitoring at emergency sewage pumping station overflows (WINEP/NEP) wastewater totex - Total</v>
      </c>
      <c r="D6" s="413"/>
      <c r="E6" s="3"/>
      <c r="F6" s="3"/>
      <c r="G6" s="3"/>
      <c r="H6" s="3"/>
      <c r="I6" s="3"/>
    </row>
    <row r="7" spans="1:10" ht="13.15">
      <c r="A7" s="3"/>
      <c r="B7" s="3"/>
      <c r="C7" s="3"/>
      <c r="D7" s="3"/>
      <c r="E7" s="3"/>
      <c r="F7" s="3"/>
      <c r="G7" s="3"/>
      <c r="H7" s="3"/>
      <c r="I7" s="3"/>
    </row>
    <row r="8" spans="1:10" ht="13.15">
      <c r="A8" s="3"/>
      <c r="B8" s="3"/>
      <c r="C8" s="3"/>
      <c r="D8" s="3"/>
      <c r="E8" s="3"/>
      <c r="F8" s="3"/>
      <c r="G8" s="3"/>
      <c r="H8" s="3"/>
      <c r="I8" s="3"/>
    </row>
    <row r="9" spans="1:10" ht="13.15">
      <c r="A9" s="7" t="s">
        <v>412</v>
      </c>
      <c r="B9" s="7"/>
      <c r="C9" s="7"/>
      <c r="D9" s="3"/>
      <c r="E9" s="3"/>
      <c r="F9" s="3"/>
      <c r="G9" s="3"/>
      <c r="H9" s="3"/>
      <c r="I9" s="3"/>
    </row>
    <row r="10" spans="1:10" ht="13.15">
      <c r="A10" s="7"/>
      <c r="B10" s="7"/>
      <c r="C10" s="7"/>
      <c r="D10" s="3"/>
      <c r="E10" s="3"/>
      <c r="F10" s="3"/>
      <c r="G10" s="3"/>
      <c r="H10" s="58"/>
      <c r="I10" s="3"/>
    </row>
    <row r="11" spans="1:10" ht="13.15">
      <c r="A11" s="27"/>
      <c r="B11" s="26"/>
      <c r="C11" s="26"/>
      <c r="D11" s="6"/>
      <c r="E11" s="6"/>
      <c r="F11" s="6"/>
      <c r="G11" s="6"/>
      <c r="H11" s="6"/>
      <c r="I11" s="6"/>
    </row>
    <row r="12" spans="1:10" ht="52.5">
      <c r="A12" s="3"/>
      <c r="B12" s="11" t="s">
        <v>148</v>
      </c>
      <c r="C12" s="35" t="s">
        <v>413</v>
      </c>
      <c r="D12" s="36" t="s">
        <v>414</v>
      </c>
      <c r="E12" s="35" t="s">
        <v>150</v>
      </c>
      <c r="F12" s="12" t="s">
        <v>415</v>
      </c>
      <c r="G12" s="12" t="s">
        <v>302</v>
      </c>
      <c r="H12" s="12" t="s">
        <v>416</v>
      </c>
      <c r="I12" s="11" t="s">
        <v>417</v>
      </c>
    </row>
    <row r="13" spans="1:10" ht="13.15">
      <c r="A13" s="8">
        <v>1</v>
      </c>
      <c r="B13" s="9" t="s">
        <v>82</v>
      </c>
      <c r="C13" s="51">
        <f ca="1">_xlfn.XLOOKUP($B13,'Materiality &amp; shallow dive'!$B$7:$B$17,'Materiality &amp; shallow dive'!$D$7:$D$17)</f>
        <v>48.026999999999994</v>
      </c>
      <c r="D13" s="157"/>
      <c r="E13" s="273">
        <f ca="1">_xlfn.XLOOKUP($B13,'Materiality &amp; shallow dive'!$B$7:$B$17,'Materiality &amp; shallow dive'!$E$7:$E$17)</f>
        <v>48.026999999999994</v>
      </c>
      <c r="F13" s="51" t="str">
        <f>_xlfn.XLOOKUP(B13,'Materiality &amp; shallow dive'!B7:B17,'Materiality &amp; shallow dive'!I7:I17)</f>
        <v/>
      </c>
      <c r="G13" s="40"/>
      <c r="H13" s="54">
        <f ca="1">'Deep dive ANH_NEW'!B11</f>
        <v>24.013499999999997</v>
      </c>
      <c r="I13" s="56">
        <f ca="1">SUM(F13:H13)</f>
        <v>24.013499999999997</v>
      </c>
      <c r="J13" s="235"/>
    </row>
    <row r="14" spans="1:10" ht="13.15">
      <c r="A14" s="10">
        <v>2</v>
      </c>
      <c r="B14" s="9" t="s">
        <v>106</v>
      </c>
      <c r="C14" s="51">
        <f ca="1">_xlfn.XLOOKUP($B14,'Materiality &amp; shallow dive'!$B$7:$B$17,'Materiality &amp; shallow dive'!$D$7:$D$17)</f>
        <v>21.192</v>
      </c>
      <c r="D14" s="157"/>
      <c r="E14" s="273">
        <f ca="1">_xlfn.XLOOKUP($B14,'Materiality &amp; shallow dive'!$B$7:$B$17,'Materiality &amp; shallow dive'!$E$7:$E$17)</f>
        <v>21.192</v>
      </c>
      <c r="F14" s="51" t="str">
        <f>_xlfn.XLOOKUP(B14,'Materiality &amp; shallow dive'!B8:B18,'Materiality &amp; shallow dive'!I8:I18)</f>
        <v/>
      </c>
      <c r="G14" s="40"/>
      <c r="H14" s="54">
        <f ca="1">'Deep dive_WSH'!B11</f>
        <v>16.953600000000002</v>
      </c>
      <c r="I14" s="56">
        <f t="shared" ref="I14:I23" ca="1" si="0">SUM(F14:H14)</f>
        <v>16.953600000000002</v>
      </c>
      <c r="J14" s="235"/>
    </row>
    <row r="15" spans="1:10" ht="13.15">
      <c r="A15" s="10">
        <v>3</v>
      </c>
      <c r="B15" s="9" t="s">
        <v>107</v>
      </c>
      <c r="C15" s="51">
        <f ca="1">_xlfn.XLOOKUP($B15,'Materiality &amp; shallow dive'!$B$7:$B$17,'Materiality &amp; shallow dive'!$D$7:$D$17)</f>
        <v>0.56600000000000006</v>
      </c>
      <c r="D15" s="157"/>
      <c r="E15" s="273">
        <f ca="1">_xlfn.XLOOKUP($B15,'Materiality &amp; shallow dive'!$B$7:$B$17,'Materiality &amp; shallow dive'!$E$7:$E$17)</f>
        <v>0.56600000000000006</v>
      </c>
      <c r="F15" s="51">
        <f ca="1">_xlfn.XLOOKUP(B15,'Materiality &amp; shallow dive'!B9:B19,'Materiality &amp; shallow dive'!I9:I19)</f>
        <v>0.56600000000000006</v>
      </c>
      <c r="G15" s="40"/>
      <c r="H15" s="54"/>
      <c r="I15" s="56">
        <f t="shared" ca="1" si="0"/>
        <v>0.56600000000000006</v>
      </c>
      <c r="J15" s="235"/>
    </row>
    <row r="16" spans="1:10" ht="13.15">
      <c r="A16" s="10">
        <v>4</v>
      </c>
      <c r="B16" s="9" t="s">
        <v>108</v>
      </c>
      <c r="C16" s="51">
        <f ca="1">_xlfn.XLOOKUP($B16,'Materiality &amp; shallow dive'!$B$7:$B$17,'Materiality &amp; shallow dive'!$D$7:$D$17)</f>
        <v>39.082000000000008</v>
      </c>
      <c r="D16" s="157"/>
      <c r="E16" s="273">
        <f ca="1">_xlfn.XLOOKUP($B16,'Materiality &amp; shallow dive'!$B$7:$B$17,'Materiality &amp; shallow dive'!$E$7:$E$17)</f>
        <v>39.082000000000008</v>
      </c>
      <c r="F16" s="51" t="str">
        <f>_xlfn.XLOOKUP(B16,'Materiality &amp; shallow dive'!B10:B20,'Materiality &amp; shallow dive'!I10:I20)</f>
        <v/>
      </c>
      <c r="G16" s="40"/>
      <c r="H16" s="54">
        <f ca="1">'Deep dive_NES'!B11</f>
        <v>31.265600000000006</v>
      </c>
      <c r="I16" s="56">
        <f t="shared" ca="1" si="0"/>
        <v>31.265600000000006</v>
      </c>
      <c r="J16" s="235"/>
    </row>
    <row r="17" spans="1:10" ht="13.15">
      <c r="A17" s="10">
        <v>5</v>
      </c>
      <c r="B17" s="9" t="s">
        <v>109</v>
      </c>
      <c r="C17" s="51">
        <f ca="1">_xlfn.XLOOKUP($B17,'Materiality &amp; shallow dive'!$B$7:$B$17,'Materiality &amp; shallow dive'!$D$7:$D$17)</f>
        <v>26.253561906402226</v>
      </c>
      <c r="D17" s="157"/>
      <c r="E17" s="273">
        <f ca="1">_xlfn.XLOOKUP($B17,'Materiality &amp; shallow dive'!$B$7:$B$17,'Materiality &amp; shallow dive'!$E$7:$E$17)</f>
        <v>26.253561906402226</v>
      </c>
      <c r="F17" s="51">
        <f ca="1">_xlfn.XLOOKUP(B17,'Materiality &amp; shallow dive'!B11:B21,'Materiality &amp; shallow dive'!I11:I21)</f>
        <v>26.253561906402226</v>
      </c>
      <c r="G17" s="40"/>
      <c r="H17" s="54"/>
      <c r="I17" s="56">
        <f t="shared" ca="1" si="0"/>
        <v>26.253561906402226</v>
      </c>
      <c r="J17" s="235"/>
    </row>
    <row r="18" spans="1:10" ht="13.15">
      <c r="A18" s="10">
        <v>6</v>
      </c>
      <c r="B18" s="9" t="s">
        <v>110</v>
      </c>
      <c r="C18" s="51">
        <f ca="1">_xlfn.XLOOKUP($B18,'Materiality &amp; shallow dive'!$B$7:$B$17,'Materiality &amp; shallow dive'!$D$7:$D$17)</f>
        <v>10.199999999999999</v>
      </c>
      <c r="D18" s="157"/>
      <c r="E18" s="273">
        <f ca="1">_xlfn.XLOOKUP($B18,'Materiality &amp; shallow dive'!$B$7:$B$17,'Materiality &amp; shallow dive'!$E$7:$E$17)</f>
        <v>10.199999999999999</v>
      </c>
      <c r="F18" s="51">
        <f ca="1">_xlfn.XLOOKUP(B18,'Materiality &amp; shallow dive'!B12:B22,'Materiality &amp; shallow dive'!I12:I22)</f>
        <v>10.097999999999999</v>
      </c>
      <c r="G18" s="40"/>
      <c r="H18" s="54"/>
      <c r="I18" s="56">
        <f t="shared" ca="1" si="0"/>
        <v>10.097999999999999</v>
      </c>
      <c r="J18" s="235"/>
    </row>
    <row r="19" spans="1:10" ht="13.15">
      <c r="A19" s="10">
        <v>7</v>
      </c>
      <c r="B19" s="9" t="s">
        <v>111</v>
      </c>
      <c r="C19" s="51">
        <f ca="1">_xlfn.XLOOKUP($B19,'Materiality &amp; shallow dive'!$B$7:$B$17,'Materiality &amp; shallow dive'!$D$7:$D$17)</f>
        <v>92.847000000000008</v>
      </c>
      <c r="D19" s="157"/>
      <c r="E19" s="273">
        <f ca="1">_xlfn.XLOOKUP($B19,'Materiality &amp; shallow dive'!$B$7:$B$17,'Materiality &amp; shallow dive'!$E$7:$E$17)</f>
        <v>92.847000000000008</v>
      </c>
      <c r="F19" s="51" t="str">
        <f>_xlfn.XLOOKUP(B19,'Materiality &amp; shallow dive'!B13:B23,'Materiality &amp; shallow dive'!I13:I23)</f>
        <v/>
      </c>
      <c r="G19" s="40"/>
      <c r="H19" s="54">
        <f ca="1">'Deep dive_SRN'!B11</f>
        <v>64.992900000000006</v>
      </c>
      <c r="I19" s="56">
        <f t="shared" ca="1" si="0"/>
        <v>64.992900000000006</v>
      </c>
      <c r="J19" s="235"/>
    </row>
    <row r="20" spans="1:10" ht="13.15">
      <c r="A20" s="10">
        <v>8</v>
      </c>
      <c r="B20" s="9" t="s">
        <v>112</v>
      </c>
      <c r="C20" s="51">
        <f ca="1">_xlfn.XLOOKUP($B20,'Materiality &amp; shallow dive'!$B$7:$B$17,'Materiality &amp; shallow dive'!$D$7:$D$17)</f>
        <v>11.788000000000002</v>
      </c>
      <c r="D20" s="157"/>
      <c r="E20" s="273">
        <f ca="1">_xlfn.XLOOKUP($B20,'Materiality &amp; shallow dive'!$B$7:$B$17,'Materiality &amp; shallow dive'!$E$7:$E$17)</f>
        <v>11.788000000000002</v>
      </c>
      <c r="F20" s="51" t="str">
        <f>_xlfn.XLOOKUP(B20,'Materiality &amp; shallow dive'!B14:B24,'Materiality &amp; shallow dive'!I14:I24)</f>
        <v/>
      </c>
      <c r="G20" s="40"/>
      <c r="H20" s="262">
        <f ca="1">'Deep dive TMS_NEW'!B11</f>
        <v>9.4304000000000023</v>
      </c>
      <c r="I20" s="56">
        <f t="shared" ca="1" si="0"/>
        <v>9.4304000000000023</v>
      </c>
      <c r="J20" s="235"/>
    </row>
    <row r="21" spans="1:10" ht="13.15">
      <c r="A21" s="10">
        <v>9</v>
      </c>
      <c r="B21" s="9" t="s">
        <v>113</v>
      </c>
      <c r="C21" s="51">
        <f ca="1">_xlfn.XLOOKUP($B21,'Materiality &amp; shallow dive'!$B$7:$B$17,'Materiality &amp; shallow dive'!$D$7:$D$17)</f>
        <v>69.930999999999997</v>
      </c>
      <c r="D21" s="157"/>
      <c r="E21" s="273">
        <f ca="1">_xlfn.XLOOKUP($B21,'Materiality &amp; shallow dive'!$B$7:$B$17,'Materiality &amp; shallow dive'!$E$7:$E$17)</f>
        <v>69.930999999999997</v>
      </c>
      <c r="F21" s="51" t="str">
        <f>_xlfn.XLOOKUP(B21,'Materiality &amp; shallow dive'!B15:B25,'Materiality &amp; shallow dive'!I15:I25)</f>
        <v/>
      </c>
      <c r="G21" s="40"/>
      <c r="H21" s="54">
        <f ca="1">'Deep dive_NWT'!B11</f>
        <v>55.944800000000001</v>
      </c>
      <c r="I21" s="56">
        <f t="shared" ca="1" si="0"/>
        <v>55.944800000000001</v>
      </c>
      <c r="J21" s="235"/>
    </row>
    <row r="22" spans="1:10" ht="13.15">
      <c r="A22" s="10">
        <v>10</v>
      </c>
      <c r="B22" s="9" t="s">
        <v>114</v>
      </c>
      <c r="C22" s="51">
        <f ca="1">_xlfn.XLOOKUP($B22,'Materiality &amp; shallow dive'!$B$7:$B$17,'Materiality &amp; shallow dive'!$D$7:$D$17)</f>
        <v>19.975000000000001</v>
      </c>
      <c r="D22" s="157"/>
      <c r="E22" s="273">
        <f ca="1">_xlfn.XLOOKUP($B22,'Materiality &amp; shallow dive'!$B$7:$B$17,'Materiality &amp; shallow dive'!$E$7:$E$17)</f>
        <v>19.975000000000001</v>
      </c>
      <c r="F22" s="51" t="str">
        <f>_xlfn.XLOOKUP(B22,'Materiality &amp; shallow dive'!B16:B26,'Materiality &amp; shallow dive'!I16:I26)</f>
        <v/>
      </c>
      <c r="G22" s="40"/>
      <c r="H22" s="54">
        <f ca="1">'Deep dive_WSX'!B11</f>
        <v>19.975000000000001</v>
      </c>
      <c r="I22" s="56">
        <f t="shared" ca="1" si="0"/>
        <v>19.975000000000001</v>
      </c>
      <c r="J22" s="235"/>
    </row>
    <row r="23" spans="1:10" ht="13.15">
      <c r="A23" s="10">
        <v>11</v>
      </c>
      <c r="B23" s="38" t="s">
        <v>115</v>
      </c>
      <c r="C23" s="51">
        <f ca="1">_xlfn.XLOOKUP($B23,'Materiality &amp; shallow dive'!$B$7:$B$17,'Materiality &amp; shallow dive'!$D$7:$D$17)</f>
        <v>38.256211</v>
      </c>
      <c r="D23" s="157"/>
      <c r="E23" s="273">
        <f ca="1">_xlfn.XLOOKUP($B23,'Materiality &amp; shallow dive'!$B$7:$B$17,'Materiality &amp; shallow dive'!$E$7:$E$17)</f>
        <v>38.256211</v>
      </c>
      <c r="F23" s="51" t="str">
        <f>_xlfn.XLOOKUP(B23,'Materiality &amp; shallow dive'!B17:B27,'Materiality &amp; shallow dive'!I17:I27)</f>
        <v/>
      </c>
      <c r="G23" s="40"/>
      <c r="H23" s="55">
        <f ca="1">'Deep dive_YKY'!B11</f>
        <v>38.256211</v>
      </c>
      <c r="I23" s="56">
        <f t="shared" ca="1" si="0"/>
        <v>38.256211</v>
      </c>
      <c r="J23" s="235"/>
    </row>
    <row r="24" spans="1:10" ht="13.15">
      <c r="A24" s="3"/>
      <c r="B24" s="39" t="s">
        <v>154</v>
      </c>
      <c r="C24" s="52">
        <f ca="1">SUM(C13:C23)</f>
        <v>378.11777290640225</v>
      </c>
      <c r="D24" s="41">
        <f t="shared" ref="D24" si="1">SUM(D13:D23)</f>
        <v>0</v>
      </c>
      <c r="E24" s="156">
        <f ca="1">SUM(E13:E23)</f>
        <v>378.11777290640225</v>
      </c>
      <c r="F24" s="52">
        <f ca="1">SUM(F13:F23)</f>
        <v>36.917561906402227</v>
      </c>
      <c r="G24" s="41">
        <f>SUM(G13:G23)</f>
        <v>0</v>
      </c>
      <c r="H24" s="52">
        <f ca="1">SUM(H13:H23)</f>
        <v>260.83201099999997</v>
      </c>
      <c r="I24" s="52">
        <f ca="1">SUM(I13:I23)</f>
        <v>297.74957290640225</v>
      </c>
    </row>
    <row r="25" spans="1:10" ht="13.15">
      <c r="A25" s="3"/>
      <c r="B25" s="3"/>
      <c r="C25" s="42"/>
      <c r="D25" s="42"/>
      <c r="E25" s="42"/>
      <c r="F25" s="53"/>
      <c r="G25" s="42"/>
      <c r="H25" s="42"/>
      <c r="I25" s="42"/>
    </row>
    <row r="26" spans="1:10" ht="13.15">
      <c r="A26" s="3"/>
      <c r="B26" s="3"/>
      <c r="C26" s="3"/>
      <c r="D26" s="3"/>
      <c r="E26" s="3"/>
      <c r="F26" s="3"/>
      <c r="G26" s="3"/>
      <c r="H26" s="3"/>
      <c r="I26" s="3"/>
    </row>
    <row r="27" spans="1:10" ht="13.15">
      <c r="A27" s="3"/>
      <c r="B27" s="3"/>
      <c r="C27" s="3"/>
      <c r="D27" s="3"/>
      <c r="E27" s="3"/>
      <c r="F27" s="3"/>
      <c r="G27" s="3"/>
      <c r="H27" s="3"/>
      <c r="I27" s="3"/>
    </row>
    <row r="28" spans="1:10" ht="13.15">
      <c r="A28" s="3"/>
      <c r="B28" s="3"/>
      <c r="C28" s="3"/>
      <c r="D28" s="3"/>
      <c r="E28" s="3"/>
      <c r="F28" s="3"/>
      <c r="G28" s="3"/>
      <c r="H28" s="3"/>
      <c r="I28" s="3"/>
    </row>
    <row r="29" spans="1:10" ht="13.15">
      <c r="A29" s="3"/>
      <c r="B29" s="3"/>
      <c r="C29" s="3"/>
      <c r="D29" s="3"/>
      <c r="E29" s="3"/>
      <c r="F29" s="3"/>
      <c r="G29" s="3"/>
      <c r="H29" s="3"/>
      <c r="I29" s="3"/>
    </row>
    <row r="30" spans="1:10" ht="13.15">
      <c r="A30" s="3"/>
      <c r="B30" s="7"/>
      <c r="C30" s="33"/>
      <c r="D30" s="33"/>
      <c r="E30" s="33"/>
      <c r="F30" s="33"/>
      <c r="G30" s="33"/>
      <c r="H30" s="33"/>
      <c r="I30" s="33"/>
    </row>
    <row r="33" spans="1:9">
      <c r="A33" s="27"/>
    </row>
    <row r="34" spans="1:9" ht="13.15">
      <c r="A34" s="3"/>
      <c r="B34" s="34"/>
      <c r="C34" s="34"/>
      <c r="D34" s="34"/>
      <c r="E34" s="34"/>
      <c r="F34" s="34"/>
      <c r="G34" s="34"/>
      <c r="H34" s="34"/>
      <c r="I34" s="34"/>
    </row>
    <row r="35" spans="1:9" ht="13.15">
      <c r="A35" s="3"/>
      <c r="B35" s="3"/>
      <c r="C35" s="3"/>
      <c r="D35" s="3"/>
      <c r="E35" s="3"/>
      <c r="F35" s="3"/>
      <c r="G35" s="3"/>
      <c r="H35" s="3"/>
      <c r="I35" s="3"/>
    </row>
    <row r="36" spans="1:9" ht="13.15">
      <c r="A36" s="3"/>
      <c r="B36" s="3"/>
      <c r="C36" s="3"/>
      <c r="D36" s="3"/>
      <c r="E36" s="3"/>
      <c r="F36" s="3"/>
      <c r="G36" s="3"/>
      <c r="H36" s="3"/>
      <c r="I36" s="3"/>
    </row>
    <row r="37" spans="1:9" ht="13.15">
      <c r="A37" s="3"/>
      <c r="B37" s="3"/>
      <c r="C37" s="3"/>
      <c r="D37" s="3"/>
      <c r="E37" s="3"/>
      <c r="F37" s="3"/>
      <c r="G37" s="3"/>
      <c r="H37" s="3"/>
      <c r="I37" s="3"/>
    </row>
    <row r="38" spans="1:9" ht="13.15">
      <c r="A38" s="3"/>
      <c r="B38" s="3"/>
      <c r="C38" s="3"/>
      <c r="D38" s="3"/>
      <c r="E38" s="3"/>
      <c r="F38" s="3"/>
      <c r="G38" s="3"/>
      <c r="H38" s="3"/>
      <c r="I38" s="3"/>
    </row>
    <row r="39" spans="1:9" ht="13.15">
      <c r="A39" s="3"/>
      <c r="B39" s="3"/>
      <c r="C39" s="3"/>
      <c r="D39" s="3"/>
      <c r="E39" s="3"/>
      <c r="F39" s="3"/>
      <c r="G39" s="3"/>
      <c r="H39" s="3"/>
      <c r="I39" s="3"/>
    </row>
    <row r="40" spans="1:9" ht="13.15">
      <c r="A40" s="3"/>
      <c r="B40" s="3"/>
      <c r="C40" s="3"/>
      <c r="D40" s="3"/>
      <c r="E40" s="3"/>
      <c r="F40" s="3"/>
      <c r="G40" s="3"/>
      <c r="H40" s="3"/>
      <c r="I40" s="3"/>
    </row>
    <row r="41" spans="1:9" ht="13.15">
      <c r="A41" s="3"/>
      <c r="B41" s="3"/>
      <c r="C41" s="3"/>
      <c r="D41" s="3"/>
      <c r="E41" s="3"/>
      <c r="F41" s="3"/>
      <c r="G41" s="3"/>
      <c r="H41" s="3"/>
      <c r="I41" s="3"/>
    </row>
    <row r="42" spans="1:9" ht="13.15">
      <c r="A42" s="3"/>
      <c r="B42" s="3"/>
      <c r="C42" s="3"/>
      <c r="D42" s="3"/>
      <c r="E42" s="3"/>
      <c r="F42" s="3"/>
      <c r="G42" s="3"/>
      <c r="H42" s="3"/>
      <c r="I42" s="3"/>
    </row>
    <row r="43" spans="1:9" ht="13.15">
      <c r="A43" s="3"/>
      <c r="B43" s="3"/>
      <c r="C43" s="3"/>
      <c r="D43" s="3"/>
      <c r="E43" s="3"/>
      <c r="F43" s="3"/>
      <c r="G43" s="3"/>
      <c r="H43" s="3"/>
      <c r="I43" s="3"/>
    </row>
    <row r="44" spans="1:9" ht="13.15">
      <c r="A44" s="3"/>
      <c r="B44" s="3"/>
      <c r="C44" s="3"/>
      <c r="D44" s="3"/>
      <c r="E44" s="3"/>
      <c r="F44" s="3"/>
      <c r="G44" s="3"/>
      <c r="H44" s="3"/>
      <c r="I44" s="3"/>
    </row>
    <row r="45" spans="1:9" ht="13.15">
      <c r="A45" s="3"/>
      <c r="B45" s="3"/>
      <c r="C45" s="3"/>
      <c r="D45" s="3"/>
      <c r="E45" s="3"/>
      <c r="F45" s="3"/>
      <c r="G45" s="3"/>
      <c r="H45" s="3"/>
      <c r="I45" s="3"/>
    </row>
    <row r="46" spans="1:9" ht="13.15">
      <c r="A46" s="3"/>
      <c r="B46" s="7"/>
      <c r="C46" s="33"/>
      <c r="D46" s="33"/>
      <c r="E46" s="33"/>
      <c r="F46" s="33"/>
      <c r="G46" s="33"/>
      <c r="H46" s="33"/>
      <c r="I46" s="33"/>
    </row>
  </sheetData>
  <mergeCells count="3">
    <mergeCell ref="A3:I3"/>
    <mergeCell ref="C5:D5"/>
    <mergeCell ref="C6: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9F0D3-03E7-47E1-80DC-B9FCBB254925}">
  <sheetPr>
    <tabColor rgb="FF98C561"/>
  </sheetPr>
  <dimension ref="A1:AF52"/>
  <sheetViews>
    <sheetView showGridLines="0" zoomScale="80" zoomScaleNormal="80" workbookViewId="0"/>
  </sheetViews>
  <sheetFormatPr defaultRowHeight="12.75"/>
  <cols>
    <col min="3" max="3" width="10.42578125" bestFit="1" customWidth="1"/>
    <col min="4" max="4" width="16.7109375" customWidth="1"/>
    <col min="5" max="5" width="15.5703125" customWidth="1"/>
    <col min="6" max="6" width="17.140625" customWidth="1"/>
    <col min="7" max="7" width="14.7109375" customWidth="1"/>
    <col min="8" max="11" width="9.28515625" bestFit="1" customWidth="1"/>
    <col min="12" max="12" width="10.5703125" customWidth="1"/>
    <col min="13" max="13" width="10.28515625" customWidth="1"/>
    <col min="14" max="14" width="4.7109375" customWidth="1"/>
    <col min="16" max="16" width="10.5703125" customWidth="1"/>
    <col min="17" max="25" width="10.140625" customWidth="1"/>
    <col min="27" max="27" width="11.140625" customWidth="1"/>
  </cols>
  <sheetData>
    <row r="1" spans="1:32" s="2" customFormat="1" ht="30.75">
      <c r="A1" s="1" t="e">
        <f ca="1" xml:space="preserve"> RIGHT(CELL("filename", $A$1), LEN(CELL("filename", $A$1)) - SEARCH("]", CELL("filename", $A$1)))</f>
        <v>#VALUE!</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3" spans="1:32" ht="18">
      <c r="A3" s="411" t="s">
        <v>418</v>
      </c>
      <c r="B3" s="411"/>
      <c r="C3" s="411"/>
      <c r="D3" s="411"/>
      <c r="E3" s="411"/>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row>
    <row r="5" spans="1:32" ht="13.15">
      <c r="B5" s="31" t="s">
        <v>419</v>
      </c>
      <c r="O5" s="31" t="s">
        <v>420</v>
      </c>
      <c r="Q5" s="27"/>
    </row>
    <row r="6" spans="1:32" ht="65.650000000000006">
      <c r="B6" s="11" t="s">
        <v>148</v>
      </c>
      <c r="C6" s="11" t="s">
        <v>421</v>
      </c>
      <c r="D6" s="11" t="s">
        <v>422</v>
      </c>
      <c r="E6" s="11" t="s">
        <v>423</v>
      </c>
      <c r="F6" s="11" t="s">
        <v>424</v>
      </c>
      <c r="G6" s="11" t="s">
        <v>425</v>
      </c>
      <c r="H6" s="11" t="s">
        <v>426</v>
      </c>
      <c r="I6" s="11" t="s">
        <v>427</v>
      </c>
      <c r="J6" s="11" t="s">
        <v>428</v>
      </c>
      <c r="K6" s="11" t="s">
        <v>429</v>
      </c>
      <c r="L6" s="11" t="s">
        <v>154</v>
      </c>
      <c r="O6" s="11" t="s">
        <v>148</v>
      </c>
      <c r="P6" s="11" t="s">
        <v>430</v>
      </c>
      <c r="Q6" s="11" t="s">
        <v>421</v>
      </c>
      <c r="R6" s="11" t="s">
        <v>422</v>
      </c>
      <c r="S6" s="11" t="s">
        <v>423</v>
      </c>
      <c r="T6" s="11" t="s">
        <v>424</v>
      </c>
      <c r="U6" s="11" t="s">
        <v>425</v>
      </c>
      <c r="V6" s="11" t="s">
        <v>426</v>
      </c>
      <c r="W6" s="11" t="s">
        <v>427</v>
      </c>
      <c r="X6" s="11" t="s">
        <v>428</v>
      </c>
      <c r="Y6" s="11" t="s">
        <v>429</v>
      </c>
      <c r="Z6" s="11" t="s">
        <v>154</v>
      </c>
      <c r="AA6" s="11" t="s">
        <v>431</v>
      </c>
    </row>
    <row r="7" spans="1:32" ht="13.15">
      <c r="B7" s="159" t="str">
        <f>Allowance!B13</f>
        <v>ANH</v>
      </c>
      <c r="C7" s="269">
        <f t="array" aca="1" ref="C7" ca="1">VLOOKUP($B7&amp;"|"&amp;'Consolidated Input'!$B$10,CHOOSE({1,2},Table1[Acronym]&amp;"|"&amp;Table1[BON code],Table1[2023-24]),2,FALSE)</f>
        <v>2E-3</v>
      </c>
      <c r="D7" s="269">
        <f t="array" aca="1" ref="D7" ca="1">VLOOKUP($B7&amp;"|"&amp;'Consolidated Input'!$B$13,CHOOSE({1,2},Table1[Acronym]&amp;"|"&amp;Table1[BON code],Table1[2023-24]),2,FALSE)</f>
        <v>0</v>
      </c>
      <c r="E7" s="269">
        <f t="array" aca="1" ref="E7" ca="1">VLOOKUP($B7&amp;"|"&amp;'Consolidated Input'!$B$10,CHOOSE({1,2},Table1[Acronym]&amp;"|"&amp;Table1[BON code],Table1[2024-25]),2,FALSE)</f>
        <v>4.8000000000000008E-2</v>
      </c>
      <c r="F7" s="269">
        <f t="array" aca="1" ref="F7" ca="1">VLOOKUP($B7&amp;"|"&amp;'Consolidated Input'!$B$13,CHOOSE({1,2},Table1[Acronym]&amp;"|"&amp;Table1[BON code],Table1[2024-25]),2,FALSE)</f>
        <v>0</v>
      </c>
      <c r="G7" s="170">
        <f t="array" aca="1" ref="G7" ca="1">VLOOKUP($B7&amp;"|"&amp;'Consolidated Input'!$B$7,CHOOSE({1,2},Table1[Acronym]&amp;"|"&amp;Table1[BON code],Table1[2025-26]),2,FALSE)</f>
        <v>5.0359999999999996</v>
      </c>
      <c r="H7" s="170">
        <f t="array" aca="1" ref="H7" ca="1">VLOOKUP($B7&amp;"|"&amp;'Consolidated Input'!$B$7,CHOOSE({1,2},Table1[Acronym]&amp;"|"&amp;Table1[BON code],Table1[2026-27]),2,FALSE)</f>
        <v>8.988999999999999</v>
      </c>
      <c r="I7" s="170">
        <f t="array" aca="1" ref="I7" ca="1">VLOOKUP($B7&amp;"|"&amp;'Consolidated Input'!$B$7,CHOOSE({1,2},Table1[Acronym]&amp;"|"&amp;Table1[BON code],Table1[2027-28]),2,FALSE)</f>
        <v>11.135999999999999</v>
      </c>
      <c r="J7" s="170">
        <f t="array" aca="1" ref="J7" ca="1">VLOOKUP($B7&amp;"|"&amp;'Consolidated Input'!$B$7,CHOOSE({1,2},Table1[Acronym]&amp;"|"&amp;Table1[BON code],Table1[2028-29]),2,FALSE)</f>
        <v>11.561999999999999</v>
      </c>
      <c r="K7" s="170">
        <f t="array" aca="1" ref="K7" ca="1">VLOOKUP($B7&amp;"|"&amp;'Consolidated Input'!$B$7,CHOOSE({1,2},Table1[Acronym]&amp;"|"&amp;Table1[BON code],Table1[2029-30]),2,FALSE)</f>
        <v>11.254</v>
      </c>
      <c r="L7" s="164">
        <f t="shared" ref="L7:L18" ca="1" si="0">SUM(C7:K7)</f>
        <v>48.026999999999994</v>
      </c>
      <c r="O7" s="159" t="str">
        <f t="shared" ref="O7:O18" si="1">B7</f>
        <v>ANH</v>
      </c>
      <c r="P7" s="164">
        <f ca="1">Allowance!E13</f>
        <v>48.026999999999994</v>
      </c>
      <c r="Q7" s="269">
        <f t="array" aca="1" ref="Q7" ca="1">VLOOKUP($B7&amp;"|"&amp;'Final Input'!$B$10,CHOOSE({1,2},Table3[Acronym]&amp;"|"&amp;Table3[BON code],Table3[2023-24]),2,FALSE)</f>
        <v>2E-3</v>
      </c>
      <c r="R7" s="269">
        <f t="array" aca="1" ref="R7" ca="1">VLOOKUP($B7&amp;"|"&amp;'Final Input'!$B$13,CHOOSE({1,2},Table3[Acronym]&amp;"|"&amp;Table3[BON code],Table3[2023-24]),2,FALSE)</f>
        <v>0</v>
      </c>
      <c r="S7" s="269">
        <f t="array" aca="1" ref="S7" ca="1">VLOOKUP($B7&amp;"|"&amp;'Final Input'!$B$10,CHOOSE({1,2},Table3[Acronym]&amp;"|"&amp;Table3[BON code],Table3[2024-25]),2,FALSE)</f>
        <v>4.8000000000000008E-2</v>
      </c>
      <c r="T7" s="269">
        <f t="array" aca="1" ref="T7" ca="1">VLOOKUP($B7&amp;"|"&amp;'Final Input'!$B$13,CHOOSE({1,2},Table3[Acronym]&amp;"|"&amp;Table3[BON code],Table3[2024-25]),2,FALSE)</f>
        <v>0</v>
      </c>
      <c r="U7" s="170">
        <f t="array" aca="1" ref="U7" ca="1">VLOOKUP($O7&amp;"|"&amp;'Final Input'!$B$7,CHOOSE({1,2},Table3[Acronym]&amp;"|"&amp;Table3[BON code],Table3[2025-26]),2,FALSE)</f>
        <v>5.0359999999999996</v>
      </c>
      <c r="V7" s="170">
        <f t="array" aca="1" ref="V7" ca="1">VLOOKUP($O7&amp;"|"&amp;'Final Input'!$B$7,CHOOSE({1,2},Table3[Acronym]&amp;"|"&amp;Table3[BON code],Table3[2026-27]),2,FALSE)</f>
        <v>8.988999999999999</v>
      </c>
      <c r="W7" s="170">
        <f t="array" aca="1" ref="W7" ca="1">VLOOKUP($O7&amp;"|"&amp;'Final Input'!$B$7,CHOOSE({1,2},Table3[Acronym]&amp;"|"&amp;Table3[BON code],Table3[2027-28]),2,FALSE)</f>
        <v>11.135999999999999</v>
      </c>
      <c r="X7" s="170">
        <f t="array" aca="1" ref="X7" ca="1">VLOOKUP($O7&amp;"|"&amp;'Final Input'!$B$7,CHOOSE({1,2},Table3[Acronym]&amp;"|"&amp;Table3[BON code],Table3[2028-29]),2,FALSE)</f>
        <v>11.561999999999999</v>
      </c>
      <c r="Y7" s="170">
        <f t="array" aca="1" ref="Y7" ca="1">VLOOKUP($O7&amp;"|"&amp;'Final Input'!$B$7,CHOOSE({1,2},Table3[Acronym]&amp;"|"&amp;Table3[BON code],Table3[2029-30]),2,FALSE)</f>
        <v>11.254</v>
      </c>
      <c r="Z7" s="164">
        <f t="shared" ref="Z7:Z18" ca="1" si="2">SUM(Q7:Y7)</f>
        <v>48.026999999999994</v>
      </c>
      <c r="AA7" s="159" t="str">
        <f ca="1">IF(P7=Z7,"reconciled", "check")</f>
        <v>reconciled</v>
      </c>
      <c r="AB7" s="252"/>
    </row>
    <row r="8" spans="1:32" ht="13.15">
      <c r="B8" s="159" t="str">
        <f>Allowance!B14</f>
        <v>WSH</v>
      </c>
      <c r="C8" s="269">
        <f t="array" aca="1" ref="C8" ca="1">VLOOKUP($B8&amp;"|"&amp;'Consolidated Input'!$B$10,CHOOSE({1,2},Table1[Acronym]&amp;"|"&amp;Table1[BON code],Table1[2023-24]),2,FALSE)</f>
        <v>0</v>
      </c>
      <c r="D8" s="269">
        <f t="array" aca="1" ref="D8" ca="1">VLOOKUP($B8&amp;"|"&amp;'Consolidated Input'!$B$13,CHOOSE({1,2},Table1[Acronym]&amp;"|"&amp;Table1[BON code],Table1[2023-24]),2,FALSE)</f>
        <v>0</v>
      </c>
      <c r="E8" s="269">
        <f t="array" aca="1" ref="E8" ca="1">VLOOKUP($B8&amp;"|"&amp;'Consolidated Input'!$B$10,CHOOSE({1,2},Table1[Acronym]&amp;"|"&amp;Table1[BON code],Table1[2024-25]),2,FALSE)</f>
        <v>0</v>
      </c>
      <c r="F8" s="269">
        <f t="array" aca="1" ref="F8" ca="1">VLOOKUP($B8&amp;"|"&amp;'Consolidated Input'!$B$13,CHOOSE({1,2},Table1[Acronym]&amp;"|"&amp;Table1[BON code],Table1[2024-25]),2,FALSE)</f>
        <v>0</v>
      </c>
      <c r="G8" s="170">
        <f t="array" aca="1" ref="G8" ca="1">VLOOKUP($B8&amp;"|"&amp;'Consolidated Input'!$B$7,CHOOSE({1,2},Table1[Acronym]&amp;"|"&amp;Table1[BON code],Table1[2025-26]),2,FALSE)</f>
        <v>3.9820000000000002</v>
      </c>
      <c r="H8" s="170">
        <f t="array" aca="1" ref="H8" ca="1">VLOOKUP($B8&amp;"|"&amp;'Consolidated Input'!$B$7,CHOOSE({1,2},Table1[Acronym]&amp;"|"&amp;Table1[BON code],Table1[2026-27]),2,FALSE)</f>
        <v>5.9680000000000009</v>
      </c>
      <c r="I8" s="170">
        <f t="array" aca="1" ref="I8" ca="1">VLOOKUP($B8&amp;"|"&amp;'Consolidated Input'!$B$7,CHOOSE({1,2},Table1[Acronym]&amp;"|"&amp;Table1[BON code],Table1[2027-28]),2,FALSE)</f>
        <v>6.0919999999999996</v>
      </c>
      <c r="J8" s="170">
        <f t="array" aca="1" ref="J8" ca="1">VLOOKUP($B8&amp;"|"&amp;'Consolidated Input'!$B$7,CHOOSE({1,2},Table1[Acronym]&amp;"|"&amp;Table1[BON code],Table1[2028-29]),2,FALSE)</f>
        <v>4.4359999999999999</v>
      </c>
      <c r="K8" s="170">
        <f t="array" aca="1" ref="K8" ca="1">VLOOKUP($B8&amp;"|"&amp;'Consolidated Input'!$B$7,CHOOSE({1,2},Table1[Acronym]&amp;"|"&amp;Table1[BON code],Table1[2029-30]),2,FALSE)</f>
        <v>0.71399999999999997</v>
      </c>
      <c r="L8" s="164">
        <f t="shared" ca="1" si="0"/>
        <v>21.192</v>
      </c>
      <c r="O8" s="159" t="str">
        <f t="shared" si="1"/>
        <v>WSH</v>
      </c>
      <c r="P8" s="164">
        <f ca="1">Allowance!E14</f>
        <v>21.192</v>
      </c>
      <c r="Q8" s="269">
        <f t="array" aca="1" ref="Q8" ca="1">VLOOKUP($B8&amp;"|"&amp;'Final Input'!$B$10,CHOOSE({1,2},Table3[Acronym]&amp;"|"&amp;Table3[BON code],Table3[2023-24]),2,FALSE)</f>
        <v>0</v>
      </c>
      <c r="R8" s="269">
        <f t="array" aca="1" ref="R8" ca="1">VLOOKUP($B8&amp;"|"&amp;'Final Input'!$B$13,CHOOSE({1,2},Table3[Acronym]&amp;"|"&amp;Table3[BON code],Table3[2023-24]),2,FALSE)</f>
        <v>0</v>
      </c>
      <c r="S8" s="269">
        <f t="array" aca="1" ref="S8" ca="1">VLOOKUP($B8&amp;"|"&amp;'Final Input'!$B$10,CHOOSE({1,2},Table3[Acronym]&amp;"|"&amp;Table3[BON code],Table3[2024-25]),2,FALSE)</f>
        <v>0</v>
      </c>
      <c r="T8" s="269">
        <f t="array" aca="1" ref="T8" ca="1">VLOOKUP($B8&amp;"|"&amp;'Final Input'!$B$13,CHOOSE({1,2},Table3[Acronym]&amp;"|"&amp;Table3[BON code],Table3[2024-25]),2,FALSE)</f>
        <v>0</v>
      </c>
      <c r="U8" s="170">
        <f t="array" aca="1" ref="U8" ca="1">VLOOKUP($O8&amp;"|"&amp;'Final Input'!$B$7,CHOOSE({1,2},Table3[Acronym]&amp;"|"&amp;Table3[BON code],Table3[2025-26]),2,FALSE)</f>
        <v>3.9820000000000002</v>
      </c>
      <c r="V8" s="170">
        <f t="array" aca="1" ref="V8" ca="1">VLOOKUP($O8&amp;"|"&amp;'Final Input'!$B$7,CHOOSE({1,2},Table3[Acronym]&amp;"|"&amp;Table3[BON code],Table3[2026-27]),2,FALSE)</f>
        <v>5.9680000000000009</v>
      </c>
      <c r="W8" s="170">
        <f t="array" aca="1" ref="W8" ca="1">VLOOKUP($O8&amp;"|"&amp;'Final Input'!$B$7,CHOOSE({1,2},Table3[Acronym]&amp;"|"&amp;Table3[BON code],Table3[2027-28]),2,FALSE)</f>
        <v>6.0919999999999996</v>
      </c>
      <c r="X8" s="170">
        <f t="array" aca="1" ref="X8" ca="1">VLOOKUP($O8&amp;"|"&amp;'Final Input'!$B$7,CHOOSE({1,2},Table3[Acronym]&amp;"|"&amp;Table3[BON code],Table3[2028-29]),2,FALSE)</f>
        <v>4.4359999999999999</v>
      </c>
      <c r="Y8" s="170">
        <f t="array" aca="1" ref="Y8" ca="1">VLOOKUP($O8&amp;"|"&amp;'Final Input'!$B$7,CHOOSE({1,2},Table3[Acronym]&amp;"|"&amp;Table3[BON code],Table3[2029-30]),2,FALSE)</f>
        <v>0.71399999999999997</v>
      </c>
      <c r="Z8" s="164">
        <f t="shared" ca="1" si="2"/>
        <v>21.192</v>
      </c>
      <c r="AA8" s="159" t="str">
        <f t="shared" ref="AA8:AA17" ca="1" si="3">IF(P8=Z8,"reconciled", "check")</f>
        <v>reconciled</v>
      </c>
      <c r="AB8" s="252"/>
    </row>
    <row r="9" spans="1:32" ht="13.15">
      <c r="B9" s="159" t="str">
        <f>Allowance!B15</f>
        <v>HDD</v>
      </c>
      <c r="C9" s="269">
        <f t="array" aca="1" ref="C9" ca="1">VLOOKUP($B9&amp;"|"&amp;'Consolidated Input'!$B$10,CHOOSE({1,2},Table1[Acronym]&amp;"|"&amp;Table1[BON code],Table1[2023-24]),2,FALSE)</f>
        <v>0</v>
      </c>
      <c r="D9" s="269">
        <f t="array" aca="1" ref="D9" ca="1">VLOOKUP($B9&amp;"|"&amp;'Consolidated Input'!$B$13,CHOOSE({1,2},Table1[Acronym]&amp;"|"&amp;Table1[BON code],Table1[2023-24]),2,FALSE)</f>
        <v>0</v>
      </c>
      <c r="E9" s="269">
        <f t="array" aca="1" ref="E9" ca="1">VLOOKUP($B9&amp;"|"&amp;'Consolidated Input'!$B$10,CHOOSE({1,2},Table1[Acronym]&amp;"|"&amp;Table1[BON code],Table1[2024-25]),2,FALSE)</f>
        <v>0</v>
      </c>
      <c r="F9" s="269">
        <f t="array" aca="1" ref="F9" ca="1">VLOOKUP($B9&amp;"|"&amp;'Consolidated Input'!$B$13,CHOOSE({1,2},Table1[Acronym]&amp;"|"&amp;Table1[BON code],Table1[2024-25]),2,FALSE)</f>
        <v>0</v>
      </c>
      <c r="G9" s="170">
        <f t="array" aca="1" ref="G9" ca="1">VLOOKUP($B9&amp;"|"&amp;'Consolidated Input'!$B$7,CHOOSE({1,2},Table1[Acronym]&amp;"|"&amp;Table1[BON code],Table1[2025-26]),2,FALSE)</f>
        <v>5.5E-2</v>
      </c>
      <c r="H9" s="170">
        <f t="array" aca="1" ref="H9" ca="1">VLOOKUP($B9&amp;"|"&amp;'Consolidated Input'!$B$7,CHOOSE({1,2},Table1[Acronym]&amp;"|"&amp;Table1[BON code],Table1[2026-27]),2,FALSE)</f>
        <v>5.5E-2</v>
      </c>
      <c r="I9" s="170">
        <f t="array" aca="1" ref="I9" ca="1">VLOOKUP($B9&amp;"|"&amp;'Consolidated Input'!$B$7,CHOOSE({1,2},Table1[Acronym]&amp;"|"&amp;Table1[BON code],Table1[2027-28]),2,FALSE)</f>
        <v>0.13900000000000001</v>
      </c>
      <c r="J9" s="170">
        <f t="array" aca="1" ref="J9" ca="1">VLOOKUP($B9&amp;"|"&amp;'Consolidated Input'!$B$7,CHOOSE({1,2},Table1[Acronym]&amp;"|"&amp;Table1[BON code],Table1[2028-29]),2,FALSE)</f>
        <v>0.17100000000000001</v>
      </c>
      <c r="K9" s="170">
        <f t="array" aca="1" ref="K9" ca="1">VLOOKUP($B9&amp;"|"&amp;'Consolidated Input'!$B$7,CHOOSE({1,2},Table1[Acronym]&amp;"|"&amp;Table1[BON code],Table1[2029-30]),2,FALSE)</f>
        <v>0.14599999999999999</v>
      </c>
      <c r="L9" s="164">
        <f t="shared" ca="1" si="0"/>
        <v>0.56600000000000006</v>
      </c>
      <c r="O9" s="159" t="str">
        <f t="shared" si="1"/>
        <v>HDD</v>
      </c>
      <c r="P9" s="164">
        <f ca="1">Allowance!E15</f>
        <v>0.56600000000000006</v>
      </c>
      <c r="Q9" s="269">
        <f t="array" aca="1" ref="Q9" ca="1">VLOOKUP($B9&amp;"|"&amp;'Final Input'!$B$10,CHOOSE({1,2},Table3[Acronym]&amp;"|"&amp;Table3[BON code],Table3[2023-24]),2,FALSE)</f>
        <v>0</v>
      </c>
      <c r="R9" s="269">
        <f t="array" aca="1" ref="R9" ca="1">VLOOKUP($B9&amp;"|"&amp;'Final Input'!$B$13,CHOOSE({1,2},Table3[Acronym]&amp;"|"&amp;Table3[BON code],Table3[2023-24]),2,FALSE)</f>
        <v>0</v>
      </c>
      <c r="S9" s="269">
        <f t="array" aca="1" ref="S9" ca="1">VLOOKUP($B9&amp;"|"&amp;'Final Input'!$B$10,CHOOSE({1,2},Table3[Acronym]&amp;"|"&amp;Table3[BON code],Table3[2024-25]),2,FALSE)</f>
        <v>0</v>
      </c>
      <c r="T9" s="269">
        <f t="array" aca="1" ref="T9" ca="1">VLOOKUP($B9&amp;"|"&amp;'Final Input'!$B$13,CHOOSE({1,2},Table3[Acronym]&amp;"|"&amp;Table3[BON code],Table3[2024-25]),2,FALSE)</f>
        <v>0</v>
      </c>
      <c r="U9" s="170">
        <f t="array" aca="1" ref="U9" ca="1">VLOOKUP($O9&amp;"|"&amp;'Final Input'!$B$7,CHOOSE({1,2},Table3[Acronym]&amp;"|"&amp;Table3[BON code],Table3[2025-26]),2,FALSE)</f>
        <v>5.5E-2</v>
      </c>
      <c r="V9" s="170">
        <f t="array" aca="1" ref="V9" ca="1">VLOOKUP($O9&amp;"|"&amp;'Final Input'!$B$7,CHOOSE({1,2},Table3[Acronym]&amp;"|"&amp;Table3[BON code],Table3[2026-27]),2,FALSE)</f>
        <v>5.5E-2</v>
      </c>
      <c r="W9" s="170">
        <f t="array" aca="1" ref="W9" ca="1">VLOOKUP($O9&amp;"|"&amp;'Final Input'!$B$7,CHOOSE({1,2},Table3[Acronym]&amp;"|"&amp;Table3[BON code],Table3[2027-28]),2,FALSE)</f>
        <v>0.13900000000000001</v>
      </c>
      <c r="X9" s="170">
        <f t="array" aca="1" ref="X9" ca="1">VLOOKUP($O9&amp;"|"&amp;'Final Input'!$B$7,CHOOSE({1,2},Table3[Acronym]&amp;"|"&amp;Table3[BON code],Table3[2028-29]),2,FALSE)</f>
        <v>0.17100000000000001</v>
      </c>
      <c r="Y9" s="170">
        <f t="array" aca="1" ref="Y9" ca="1">VLOOKUP($O9&amp;"|"&amp;'Final Input'!$B$7,CHOOSE({1,2},Table3[Acronym]&amp;"|"&amp;Table3[BON code],Table3[2029-30]),2,FALSE)</f>
        <v>0.14599999999999999</v>
      </c>
      <c r="Z9" s="164">
        <f t="shared" ca="1" si="2"/>
        <v>0.56600000000000006</v>
      </c>
      <c r="AA9" s="159" t="str">
        <f t="shared" ca="1" si="3"/>
        <v>reconciled</v>
      </c>
      <c r="AB9" s="252"/>
    </row>
    <row r="10" spans="1:32" ht="13.15">
      <c r="B10" s="159" t="str">
        <f>Allowance!B16</f>
        <v>NES</v>
      </c>
      <c r="C10" s="269">
        <f t="array" aca="1" ref="C10" ca="1">VLOOKUP($B10&amp;"|"&amp;'Consolidated Input'!$B$10,CHOOSE({1,2},Table1[Acronym]&amp;"|"&amp;Table1[BON code],Table1[2023-24]),2,FALSE)</f>
        <v>0</v>
      </c>
      <c r="D10" s="269">
        <f t="array" aca="1" ref="D10" ca="1">VLOOKUP($B10&amp;"|"&amp;'Consolidated Input'!$B$13,CHOOSE({1,2},Table1[Acronym]&amp;"|"&amp;Table1[BON code],Table1[2023-24]),2,FALSE)</f>
        <v>0</v>
      </c>
      <c r="E10" s="269">
        <f t="array" aca="1" ref="E10" ca="1">VLOOKUP($B10&amp;"|"&amp;'Consolidated Input'!$B$10,CHOOSE({1,2},Table1[Acronym]&amp;"|"&amp;Table1[BON code],Table1[2024-25]),2,FALSE)</f>
        <v>0</v>
      </c>
      <c r="F10" s="269">
        <f t="array" aca="1" ref="F10" ca="1">VLOOKUP($B10&amp;"|"&amp;'Consolidated Input'!$B$13,CHOOSE({1,2},Table1[Acronym]&amp;"|"&amp;Table1[BON code],Table1[2024-25]),2,FALSE)</f>
        <v>0</v>
      </c>
      <c r="G10" s="170">
        <f t="array" aca="1" ref="G10" ca="1">VLOOKUP($B10&amp;"|"&amp;'Consolidated Input'!$B$7,CHOOSE({1,2},Table1[Acronym]&amp;"|"&amp;Table1[BON code],Table1[2025-26]),2,FALSE)</f>
        <v>5.6752500000000001</v>
      </c>
      <c r="H10" s="170">
        <f t="array" aca="1" ref="H10" ca="1">VLOOKUP($B10&amp;"|"&amp;'Consolidated Input'!$B$7,CHOOSE({1,2},Table1[Acronym]&amp;"|"&amp;Table1[BON code],Table1[2026-27]),2,FALSE)</f>
        <v>6.4127500000000008</v>
      </c>
      <c r="I10" s="170">
        <f t="array" aca="1" ref="I10" ca="1">VLOOKUP($B10&amp;"|"&amp;'Consolidated Input'!$B$7,CHOOSE({1,2},Table1[Acronym]&amp;"|"&amp;Table1[BON code],Table1[2027-28]),2,FALSE)</f>
        <v>6.4127500000000008</v>
      </c>
      <c r="J10" s="170">
        <f t="array" aca="1" ref="J10" ca="1">VLOOKUP($B10&amp;"|"&amp;'Consolidated Input'!$B$7,CHOOSE({1,2},Table1[Acronym]&amp;"|"&amp;Table1[BON code],Table1[2028-29]),2,FALSE)</f>
        <v>6.4127500000000008</v>
      </c>
      <c r="K10" s="170">
        <f t="array" aca="1" ref="K10" ca="1">VLOOKUP($B10&amp;"|"&amp;'Consolidated Input'!$B$7,CHOOSE({1,2},Table1[Acronym]&amp;"|"&amp;Table1[BON code],Table1[2029-30]),2,FALSE)</f>
        <v>6.4127500000000008</v>
      </c>
      <c r="L10" s="164">
        <f t="shared" ca="1" si="0"/>
        <v>31.326250000000009</v>
      </c>
      <c r="O10" s="159" t="str">
        <f t="shared" si="1"/>
        <v>NES</v>
      </c>
      <c r="P10" s="164">
        <f ca="1">Allowance!E16</f>
        <v>39.082000000000008</v>
      </c>
      <c r="Q10" s="269">
        <f t="array" aca="1" ref="Q10" ca="1">VLOOKUP($B10&amp;"|"&amp;'Final Input'!$B$10,CHOOSE({1,2},Table3[Acronym]&amp;"|"&amp;Table3[BON code],Table3[2023-24]),2,FALSE)</f>
        <v>0</v>
      </c>
      <c r="R10" s="269">
        <f t="array" aca="1" ref="R10" ca="1">VLOOKUP($B10&amp;"|"&amp;'Final Input'!$B$13,CHOOSE({1,2},Table3[Acronym]&amp;"|"&amp;Table3[BON code],Table3[2023-24]),2,FALSE)</f>
        <v>0</v>
      </c>
      <c r="S10" s="269">
        <f t="array" aca="1" ref="S10" ca="1">VLOOKUP($B10&amp;"|"&amp;'Final Input'!$B$10,CHOOSE({1,2},Table3[Acronym]&amp;"|"&amp;Table3[BON code],Table3[2024-25]),2,FALSE)</f>
        <v>0</v>
      </c>
      <c r="T10" s="269">
        <f t="array" aca="1" ref="T10" ca="1">VLOOKUP($B10&amp;"|"&amp;'Final Input'!$B$13,CHOOSE({1,2},Table3[Acronym]&amp;"|"&amp;Table3[BON code],Table3[2024-25]),2,FALSE)</f>
        <v>0</v>
      </c>
      <c r="U10" s="170">
        <f t="array" aca="1" ref="U10" ca="1">VLOOKUP($O10&amp;"|"&amp;'Final Input'!$B$7,CHOOSE({1,2},Table3[Acronym]&amp;"|"&amp;Table3[BON code],Table3[2025-26]),2,FALSE)</f>
        <v>6.7145999999999999</v>
      </c>
      <c r="V10" s="170">
        <f t="array" aca="1" ref="V10" ca="1">VLOOKUP($O10&amp;"|"&amp;'Final Input'!$B$7,CHOOSE({1,2},Table3[Acronym]&amp;"|"&amp;Table3[BON code],Table3[2026-27]),2,FALSE)</f>
        <v>8.0918500000000009</v>
      </c>
      <c r="W10" s="170">
        <f t="array" aca="1" ref="W10" ca="1">VLOOKUP($O10&amp;"|"&amp;'Final Input'!$B$7,CHOOSE({1,2},Table3[Acronym]&amp;"|"&amp;Table3[BON code],Table3[2027-28]),2,FALSE)</f>
        <v>8.0918500000000009</v>
      </c>
      <c r="X10" s="170">
        <f t="array" aca="1" ref="X10" ca="1">VLOOKUP($O10&amp;"|"&amp;'Final Input'!$B$7,CHOOSE({1,2},Table3[Acronym]&amp;"|"&amp;Table3[BON code],Table3[2028-29]),2,FALSE)</f>
        <v>8.0918500000000009</v>
      </c>
      <c r="Y10" s="170">
        <f t="array" aca="1" ref="Y10" ca="1">VLOOKUP($O10&amp;"|"&amp;'Final Input'!$B$7,CHOOSE({1,2},Table3[Acronym]&amp;"|"&amp;Table3[BON code],Table3[2029-30]),2,FALSE)</f>
        <v>8.0918500000000009</v>
      </c>
      <c r="Z10" s="164">
        <f t="shared" ca="1" si="2"/>
        <v>39.082000000000008</v>
      </c>
      <c r="AA10" s="159" t="str">
        <f t="shared" ca="1" si="3"/>
        <v>reconciled</v>
      </c>
      <c r="AB10" s="252"/>
    </row>
    <row r="11" spans="1:32" ht="13.15">
      <c r="B11" s="159" t="str">
        <f>Allowance!B17</f>
        <v>SVE</v>
      </c>
      <c r="C11" s="269">
        <f t="array" aca="1" ref="C11" ca="1">VLOOKUP($B11&amp;"|"&amp;'Consolidated Input'!$B$10,CHOOSE({1,2},Table1[Acronym]&amp;"|"&amp;Table1[BON code],Table1[2023-24]),2,FALSE)</f>
        <v>0</v>
      </c>
      <c r="D11" s="269">
        <f t="array" aca="1" ref="D11" ca="1">VLOOKUP($B11&amp;"|"&amp;'Consolidated Input'!$B$13,CHOOSE({1,2},Table1[Acronym]&amp;"|"&amp;Table1[BON code],Table1[2023-24]),2,FALSE)</f>
        <v>0</v>
      </c>
      <c r="E11" s="269">
        <f t="array" aca="1" ref="E11" ca="1">VLOOKUP($B11&amp;"|"&amp;'Consolidated Input'!$B$10,CHOOSE({1,2},Table1[Acronym]&amp;"|"&amp;Table1[BON code],Table1[2024-25]),2,FALSE)</f>
        <v>5.643126094345547E-2</v>
      </c>
      <c r="F11" s="269">
        <f t="array" aca="1" ref="F11" ca="1">VLOOKUP($B11&amp;"|"&amp;'Consolidated Input'!$B$13,CHOOSE({1,2},Table1[Acronym]&amp;"|"&amp;Table1[BON code],Table1[2024-25]),2,FALSE)</f>
        <v>0</v>
      </c>
      <c r="G11" s="170">
        <f t="array" aca="1" ref="G11" ca="1">VLOOKUP($B11&amp;"|"&amp;'Consolidated Input'!$B$7,CHOOSE({1,2},Table1[Acronym]&amp;"|"&amp;Table1[BON code],Table1[2025-26]),2,FALSE)</f>
        <v>2.4456396816332191</v>
      </c>
      <c r="H11" s="170">
        <f t="array" aca="1" ref="H11" ca="1">VLOOKUP($B11&amp;"|"&amp;'Consolidated Input'!$B$7,CHOOSE({1,2},Table1[Acronym]&amp;"|"&amp;Table1[BON code],Table1[2026-27]),2,FALSE)</f>
        <v>2.5956780450566521</v>
      </c>
      <c r="I11" s="170">
        <f t="array" aca="1" ref="I11" ca="1">VLOOKUP($B11&amp;"|"&amp;'Consolidated Input'!$B$7,CHOOSE({1,2},Table1[Acronym]&amp;"|"&amp;Table1[BON code],Table1[2027-28]),2,FALSE)</f>
        <v>4.0118995193230811</v>
      </c>
      <c r="J11" s="170">
        <f t="array" aca="1" ref="J11" ca="1">VLOOKUP($B11&amp;"|"&amp;'Consolidated Input'!$B$7,CHOOSE({1,2},Table1[Acronym]&amp;"|"&amp;Table1[BON code],Table1[2028-29]),2,FALSE)</f>
        <v>7.1805980452856897</v>
      </c>
      <c r="K11" s="170">
        <f t="array" aca="1" ref="K11" ca="1">VLOOKUP($B11&amp;"|"&amp;'Consolidated Input'!$B$7,CHOOSE({1,2},Table1[Acronym]&amp;"|"&amp;Table1[BON code],Table1[2029-30]),2,FALSE)</f>
        <v>9.963315354160132</v>
      </c>
      <c r="L11" s="164">
        <f t="shared" ca="1" si="0"/>
        <v>26.253561906402226</v>
      </c>
      <c r="O11" s="159" t="str">
        <f t="shared" si="1"/>
        <v>SVE</v>
      </c>
      <c r="P11" s="164">
        <f ca="1">Allowance!E17</f>
        <v>26.253561906402226</v>
      </c>
      <c r="Q11" s="269">
        <f t="array" aca="1" ref="Q11" ca="1">VLOOKUP($B11&amp;"|"&amp;'Final Input'!$B$10,CHOOSE({1,2},Table3[Acronym]&amp;"|"&amp;Table3[BON code],Table3[2023-24]),2,FALSE)</f>
        <v>0</v>
      </c>
      <c r="R11" s="269">
        <f t="array" aca="1" ref="R11" ca="1">VLOOKUP($B11&amp;"|"&amp;'Final Input'!$B$13,CHOOSE({1,2},Table3[Acronym]&amp;"|"&amp;Table3[BON code],Table3[2023-24]),2,FALSE)</f>
        <v>0</v>
      </c>
      <c r="S11" s="269">
        <f t="array" aca="1" ref="S11" ca="1">VLOOKUP($B11&amp;"|"&amp;'Final Input'!$B$10,CHOOSE({1,2},Table3[Acronym]&amp;"|"&amp;Table3[BON code],Table3[2024-25]),2,FALSE)</f>
        <v>5.643126094345547E-2</v>
      </c>
      <c r="T11" s="269">
        <f t="array" aca="1" ref="T11" ca="1">VLOOKUP($B11&amp;"|"&amp;'Final Input'!$B$13,CHOOSE({1,2},Table3[Acronym]&amp;"|"&amp;Table3[BON code],Table3[2024-25]),2,FALSE)</f>
        <v>0</v>
      </c>
      <c r="U11" s="170">
        <f t="array" aca="1" ref="U11" ca="1">VLOOKUP($O11&amp;"|"&amp;'Final Input'!$B$7,CHOOSE({1,2},Table3[Acronym]&amp;"|"&amp;Table3[BON code],Table3[2025-26]),2,FALSE)</f>
        <v>2.4456396816332191</v>
      </c>
      <c r="V11" s="170">
        <f t="array" aca="1" ref="V11" ca="1">VLOOKUP($O11&amp;"|"&amp;'Final Input'!$B$7,CHOOSE({1,2},Table3[Acronym]&amp;"|"&amp;Table3[BON code],Table3[2026-27]),2,FALSE)</f>
        <v>2.5956780450566521</v>
      </c>
      <c r="W11" s="170">
        <f t="array" aca="1" ref="W11" ca="1">VLOOKUP($O11&amp;"|"&amp;'Final Input'!$B$7,CHOOSE({1,2},Table3[Acronym]&amp;"|"&amp;Table3[BON code],Table3[2027-28]),2,FALSE)</f>
        <v>4.0118995193230811</v>
      </c>
      <c r="X11" s="170">
        <f t="array" aca="1" ref="X11" ca="1">VLOOKUP($O11&amp;"|"&amp;'Final Input'!$B$7,CHOOSE({1,2},Table3[Acronym]&amp;"|"&amp;Table3[BON code],Table3[2028-29]),2,FALSE)</f>
        <v>7.1805980452856897</v>
      </c>
      <c r="Y11" s="170">
        <f t="array" aca="1" ref="Y11" ca="1">VLOOKUP($O11&amp;"|"&amp;'Final Input'!$B$7,CHOOSE({1,2},Table3[Acronym]&amp;"|"&amp;Table3[BON code],Table3[2029-30]),2,FALSE)</f>
        <v>9.963315354160132</v>
      </c>
      <c r="Z11" s="164">
        <f t="shared" ca="1" si="2"/>
        <v>26.253561906402226</v>
      </c>
      <c r="AA11" s="159" t="str">
        <f t="shared" ca="1" si="3"/>
        <v>reconciled</v>
      </c>
      <c r="AB11" s="252"/>
    </row>
    <row r="12" spans="1:32" ht="13.15">
      <c r="B12" s="159" t="str">
        <f>Allowance!B18</f>
        <v>SWB</v>
      </c>
      <c r="C12" s="269">
        <f t="array" aca="1" ref="C12" ca="1">VLOOKUP($B12&amp;"|"&amp;'Consolidated Input'!$B$10,CHOOSE({1,2},Table1[Acronym]&amp;"|"&amp;Table1[BON code],Table1[2023-24]),2,FALSE)</f>
        <v>0</v>
      </c>
      <c r="D12" s="269">
        <f t="array" aca="1" ref="D12" ca="1">VLOOKUP($B12&amp;"|"&amp;'Consolidated Input'!$B$13,CHOOSE({1,2},Table1[Acronym]&amp;"|"&amp;Table1[BON code],Table1[2023-24]),2,FALSE)</f>
        <v>0</v>
      </c>
      <c r="E12" s="269">
        <f t="array" aca="1" ref="E12" ca="1">VLOOKUP($B12&amp;"|"&amp;'Consolidated Input'!$B$10,CHOOSE({1,2},Table1[Acronym]&amp;"|"&amp;Table1[BON code],Table1[2024-25]),2,FALSE)</f>
        <v>0</v>
      </c>
      <c r="F12" s="269">
        <f t="array" aca="1" ref="F12" ca="1">VLOOKUP($B12&amp;"|"&amp;'Consolidated Input'!$B$13,CHOOSE({1,2},Table1[Acronym]&amp;"|"&amp;Table1[BON code],Table1[2024-25]),2,FALSE)</f>
        <v>0</v>
      </c>
      <c r="G12" s="170">
        <f t="array" aca="1" ref="G12" ca="1">VLOOKUP($B12&amp;"|"&amp;'Consolidated Input'!$B$7,CHOOSE({1,2},Table1[Acronym]&amp;"|"&amp;Table1[BON code],Table1[2025-26]),2,FALSE)</f>
        <v>2.04</v>
      </c>
      <c r="H12" s="170">
        <f t="array" aca="1" ref="H12" ca="1">VLOOKUP($B12&amp;"|"&amp;'Consolidated Input'!$B$7,CHOOSE({1,2},Table1[Acronym]&amp;"|"&amp;Table1[BON code],Table1[2026-27]),2,FALSE)</f>
        <v>2.04</v>
      </c>
      <c r="I12" s="170">
        <f t="array" aca="1" ref="I12" ca="1">VLOOKUP($B12&amp;"|"&amp;'Consolidated Input'!$B$7,CHOOSE({1,2},Table1[Acronym]&amp;"|"&amp;Table1[BON code],Table1[2027-28]),2,FALSE)</f>
        <v>2.04</v>
      </c>
      <c r="J12" s="170">
        <f t="array" aca="1" ref="J12" ca="1">VLOOKUP($B12&amp;"|"&amp;'Consolidated Input'!$B$7,CHOOSE({1,2},Table1[Acronym]&amp;"|"&amp;Table1[BON code],Table1[2028-29]),2,FALSE)</f>
        <v>2.04</v>
      </c>
      <c r="K12" s="170">
        <f t="array" aca="1" ref="K12" ca="1">VLOOKUP($B12&amp;"|"&amp;'Consolidated Input'!$B$7,CHOOSE({1,2},Table1[Acronym]&amp;"|"&amp;Table1[BON code],Table1[2029-30]),2,FALSE)</f>
        <v>2.04</v>
      </c>
      <c r="L12" s="164">
        <f t="shared" ca="1" si="0"/>
        <v>10.199999999999999</v>
      </c>
      <c r="O12" s="159" t="str">
        <f t="shared" si="1"/>
        <v>SWB</v>
      </c>
      <c r="P12" s="164">
        <f ca="1">Allowance!E18</f>
        <v>10.199999999999999</v>
      </c>
      <c r="Q12" s="269">
        <f t="array" aca="1" ref="Q12" ca="1">VLOOKUP($B12&amp;"|"&amp;'Final Input'!$B$10,CHOOSE({1,2},Table3[Acronym]&amp;"|"&amp;Table3[BON code],Table3[2023-24]),2,FALSE)</f>
        <v>0</v>
      </c>
      <c r="R12" s="269">
        <f t="array" aca="1" ref="R12" ca="1">VLOOKUP($B12&amp;"|"&amp;'Final Input'!$B$13,CHOOSE({1,2},Table3[Acronym]&amp;"|"&amp;Table3[BON code],Table3[2023-24]),2,FALSE)</f>
        <v>0</v>
      </c>
      <c r="S12" s="269">
        <f t="array" aca="1" ref="S12" ca="1">VLOOKUP($B12&amp;"|"&amp;'Final Input'!$B$10,CHOOSE({1,2},Table3[Acronym]&amp;"|"&amp;Table3[BON code],Table3[2024-25]),2,FALSE)</f>
        <v>0</v>
      </c>
      <c r="T12" s="269">
        <f t="array" aca="1" ref="T12" ca="1">VLOOKUP($B12&amp;"|"&amp;'Final Input'!$B$13,CHOOSE({1,2},Table3[Acronym]&amp;"|"&amp;Table3[BON code],Table3[2024-25]),2,FALSE)</f>
        <v>0</v>
      </c>
      <c r="U12" s="170">
        <f t="array" aca="1" ref="U12" ca="1">VLOOKUP($O12&amp;"|"&amp;'Final Input'!$B$7,CHOOSE({1,2},Table3[Acronym]&amp;"|"&amp;Table3[BON code],Table3[2025-26]),2,FALSE)</f>
        <v>2.04</v>
      </c>
      <c r="V12" s="170">
        <f t="array" aca="1" ref="V12" ca="1">VLOOKUP($O12&amp;"|"&amp;'Final Input'!$B$7,CHOOSE({1,2},Table3[Acronym]&amp;"|"&amp;Table3[BON code],Table3[2026-27]),2,FALSE)</f>
        <v>2.04</v>
      </c>
      <c r="W12" s="170">
        <f t="array" aca="1" ref="W12" ca="1">VLOOKUP($O12&amp;"|"&amp;'Final Input'!$B$7,CHOOSE({1,2},Table3[Acronym]&amp;"|"&amp;Table3[BON code],Table3[2027-28]),2,FALSE)</f>
        <v>2.04</v>
      </c>
      <c r="X12" s="170">
        <f t="array" aca="1" ref="X12" ca="1">VLOOKUP($O12&amp;"|"&amp;'Final Input'!$B$7,CHOOSE({1,2},Table3[Acronym]&amp;"|"&amp;Table3[BON code],Table3[2028-29]),2,FALSE)</f>
        <v>2.04</v>
      </c>
      <c r="Y12" s="170">
        <f t="array" aca="1" ref="Y12" ca="1">VLOOKUP($O12&amp;"|"&amp;'Final Input'!$B$7,CHOOSE({1,2},Table3[Acronym]&amp;"|"&amp;Table3[BON code],Table3[2029-30]),2,FALSE)</f>
        <v>2.04</v>
      </c>
      <c r="Z12" s="164">
        <f t="shared" ca="1" si="2"/>
        <v>10.199999999999999</v>
      </c>
      <c r="AA12" s="159" t="str">
        <f t="shared" ca="1" si="3"/>
        <v>reconciled</v>
      </c>
      <c r="AB12" s="252"/>
    </row>
    <row r="13" spans="1:32" ht="13.15">
      <c r="B13" s="159" t="str">
        <f>Allowance!B19</f>
        <v>SRN</v>
      </c>
      <c r="C13" s="269">
        <f t="array" aca="1" ref="C13" ca="1">VLOOKUP($B13&amp;"|"&amp;'Consolidated Input'!$B$10,CHOOSE({1,2},Table1[Acronym]&amp;"|"&amp;Table1[BON code],Table1[2023-24]),2,FALSE)</f>
        <v>0</v>
      </c>
      <c r="D13" s="269">
        <f t="array" aca="1" ref="D13" ca="1">VLOOKUP($B13&amp;"|"&amp;'Consolidated Input'!$B$13,CHOOSE({1,2},Table1[Acronym]&amp;"|"&amp;Table1[BON code],Table1[2023-24]),2,FALSE)</f>
        <v>0</v>
      </c>
      <c r="E13" s="269">
        <f t="array" aca="1" ref="E13" ca="1">VLOOKUP($B13&amp;"|"&amp;'Consolidated Input'!$B$10,CHOOSE({1,2},Table1[Acronym]&amp;"|"&amp;Table1[BON code],Table1[2024-25]),2,FALSE)</f>
        <v>0</v>
      </c>
      <c r="F13" s="269">
        <f t="array" aca="1" ref="F13" ca="1">VLOOKUP($B13&amp;"|"&amp;'Consolidated Input'!$B$13,CHOOSE({1,2},Table1[Acronym]&amp;"|"&amp;Table1[BON code],Table1[2024-25]),2,FALSE)</f>
        <v>0</v>
      </c>
      <c r="G13" s="170">
        <f t="array" aca="1" ref="G13" ca="1">VLOOKUP($B13&amp;"|"&amp;'Consolidated Input'!$B$7,CHOOSE({1,2},Table1[Acronym]&amp;"|"&amp;Table1[BON code],Table1[2025-26]),2,FALSE)</f>
        <v>4.9539999999999997</v>
      </c>
      <c r="H13" s="170">
        <f t="array" aca="1" ref="H13" ca="1">VLOOKUP($B13&amp;"|"&amp;'Consolidated Input'!$B$7,CHOOSE({1,2},Table1[Acronym]&amp;"|"&amp;Table1[BON code],Table1[2026-27]),2,FALSE)</f>
        <v>5.6970000000000001</v>
      </c>
      <c r="I13" s="170">
        <f t="array" aca="1" ref="I13" ca="1">VLOOKUP($B13&amp;"|"&amp;'Consolidated Input'!$B$7,CHOOSE({1,2},Table1[Acronym]&amp;"|"&amp;Table1[BON code],Table1[2027-28]),2,FALSE)</f>
        <v>5.8279999999999994</v>
      </c>
      <c r="J13" s="170">
        <f t="array" aca="1" ref="J13" ca="1">VLOOKUP($B13&amp;"|"&amp;'Consolidated Input'!$B$7,CHOOSE({1,2},Table1[Acronym]&amp;"|"&amp;Table1[BON code],Table1[2028-29]),2,FALSE)</f>
        <v>6.4059999999999997</v>
      </c>
      <c r="K13" s="170">
        <f t="array" aca="1" ref="K13" ca="1">VLOOKUP($B13&amp;"|"&amp;'Consolidated Input'!$B$7,CHOOSE({1,2},Table1[Acronym]&amp;"|"&amp;Table1[BON code],Table1[2029-30]),2,FALSE)</f>
        <v>16.821999999999999</v>
      </c>
      <c r="L13" s="164">
        <f t="shared" ca="1" si="0"/>
        <v>39.706999999999994</v>
      </c>
      <c r="O13" s="159" t="str">
        <f t="shared" si="1"/>
        <v>SRN</v>
      </c>
      <c r="P13" s="164">
        <f ca="1">Allowance!E19</f>
        <v>92.847000000000008</v>
      </c>
      <c r="Q13" s="269">
        <f t="array" aca="1" ref="Q13" ca="1">VLOOKUP($B13&amp;"|"&amp;'Final Input'!$B$10,CHOOSE({1,2},Table3[Acronym]&amp;"|"&amp;Table3[BON code],Table3[2023-24]),2,FALSE)</f>
        <v>0</v>
      </c>
      <c r="R13" s="269">
        <f t="array" aca="1" ref="R13" ca="1">VLOOKUP($B13&amp;"|"&amp;'Final Input'!$B$13,CHOOSE({1,2},Table3[Acronym]&amp;"|"&amp;Table3[BON code],Table3[2023-24]),2,FALSE)</f>
        <v>0</v>
      </c>
      <c r="S13" s="269">
        <f t="array" aca="1" ref="S13" ca="1">VLOOKUP($B13&amp;"|"&amp;'Final Input'!$B$10,CHOOSE({1,2},Table3[Acronym]&amp;"|"&amp;Table3[BON code],Table3[2024-25]),2,FALSE)</f>
        <v>0</v>
      </c>
      <c r="T13" s="269">
        <f t="array" aca="1" ref="T13" ca="1">VLOOKUP($B13&amp;"|"&amp;'Final Input'!$B$13,CHOOSE({1,2},Table3[Acronym]&amp;"|"&amp;Table3[BON code],Table3[2024-25]),2,FALSE)</f>
        <v>0</v>
      </c>
      <c r="U13" s="170">
        <f t="array" aca="1" ref="U13" ca="1">VLOOKUP($O13&amp;"|"&amp;'Final Input'!$B$7,CHOOSE({1,2},Table3[Acronym]&amp;"|"&amp;Table3[BON code],Table3[2025-26]),2,FALSE)</f>
        <v>11.583953408718866</v>
      </c>
      <c r="V13" s="170">
        <f t="array" aca="1" ref="V13" ca="1">VLOOKUP($O13&amp;"|"&amp;'Final Input'!$B$7,CHOOSE({1,2},Table3[Acronym]&amp;"|"&amp;Table3[BON code],Table3[2026-27]),2,FALSE)</f>
        <v>13.3213125897197</v>
      </c>
      <c r="W13" s="170">
        <f t="array" aca="1" ref="W13" ca="1">VLOOKUP($O13&amp;"|"&amp;'Final Input'!$B$7,CHOOSE({1,2},Table3[Acronym]&amp;"|"&amp;Table3[BON code],Table3[2027-28]),2,FALSE)</f>
        <v>13.627630291888082</v>
      </c>
      <c r="X13" s="170">
        <f t="array" aca="1" ref="X13" ca="1">VLOOKUP($O13&amp;"|"&amp;'Final Input'!$B$7,CHOOSE({1,2},Table3[Acronym]&amp;"|"&amp;Table3[BON code],Table3[2028-29]),2,FALSE)</f>
        <v>14.979169466340947</v>
      </c>
      <c r="Y13" s="170">
        <f t="array" aca="1" ref="Y13" ca="1">VLOOKUP($O13&amp;"|"&amp;'Final Input'!$B$7,CHOOSE({1,2},Table3[Acronym]&amp;"|"&amp;Table3[BON code],Table3[2029-30]),2,FALSE)</f>
        <v>39.334934243332413</v>
      </c>
      <c r="Z13" s="164">
        <f t="shared" ca="1" si="2"/>
        <v>92.847000000000008</v>
      </c>
      <c r="AA13" s="159" t="str">
        <f t="shared" ca="1" si="3"/>
        <v>reconciled</v>
      </c>
      <c r="AB13" s="252"/>
    </row>
    <row r="14" spans="1:32" ht="13.15">
      <c r="B14" s="159" t="str">
        <f>Allowance!B20</f>
        <v>TMS</v>
      </c>
      <c r="C14" s="269">
        <f t="array" aca="1" ref="C14" ca="1">VLOOKUP($B14&amp;"|"&amp;'Consolidated Input'!$B$10,CHOOSE({1,2},Table1[Acronym]&amp;"|"&amp;Table1[BON code],Table1[2023-24]),2,FALSE)</f>
        <v>0</v>
      </c>
      <c r="D14" s="269">
        <f t="array" aca="1" ref="D14" ca="1">VLOOKUP($B14&amp;"|"&amp;'Consolidated Input'!$B$13,CHOOSE({1,2},Table1[Acronym]&amp;"|"&amp;Table1[BON code],Table1[2023-24]),2,FALSE)</f>
        <v>0</v>
      </c>
      <c r="E14" s="269">
        <f t="array" aca="1" ref="E14" ca="1">VLOOKUP($B14&amp;"|"&amp;'Consolidated Input'!$B$10,CHOOSE({1,2},Table1[Acronym]&amp;"|"&amp;Table1[BON code],Table1[2024-25]),2,FALSE)</f>
        <v>0</v>
      </c>
      <c r="F14" s="269">
        <f t="array" aca="1" ref="F14" ca="1">VLOOKUP($B14&amp;"|"&amp;'Consolidated Input'!$B$13,CHOOSE({1,2},Table1[Acronym]&amp;"|"&amp;Table1[BON code],Table1[2024-25]),2,FALSE)</f>
        <v>0</v>
      </c>
      <c r="G14" s="170">
        <f t="array" aca="1" ref="G14" ca="1">VLOOKUP($B14&amp;"|"&amp;'Consolidated Input'!$B$7,CHOOSE({1,2},Table1[Acronym]&amp;"|"&amp;Table1[BON code],Table1[2025-26]),2,FALSE)</f>
        <v>4.6950000000000003</v>
      </c>
      <c r="H14" s="170">
        <f t="array" aca="1" ref="H14" ca="1">VLOOKUP($B14&amp;"|"&amp;'Consolidated Input'!$B$7,CHOOSE({1,2},Table1[Acronym]&amp;"|"&amp;Table1[BON code],Table1[2026-27]),2,FALSE)</f>
        <v>4.7160000000000002</v>
      </c>
      <c r="I14" s="170">
        <f t="array" aca="1" ref="I14" ca="1">VLOOKUP($B14&amp;"|"&amp;'Consolidated Input'!$B$7,CHOOSE({1,2},Table1[Acronym]&amp;"|"&amp;Table1[BON code],Table1[2027-28]),2,FALSE)</f>
        <v>1.1839999999999999</v>
      </c>
      <c r="J14" s="170">
        <f t="array" aca="1" ref="J14" ca="1">VLOOKUP($B14&amp;"|"&amp;'Consolidated Input'!$B$7,CHOOSE({1,2},Table1[Acronym]&amp;"|"&amp;Table1[BON code],Table1[2028-29]),2,FALSE)</f>
        <v>0.59499999999999997</v>
      </c>
      <c r="K14" s="170">
        <f t="array" aca="1" ref="K14" ca="1">VLOOKUP($B14&amp;"|"&amp;'Consolidated Input'!$B$7,CHOOSE({1,2},Table1[Acronym]&amp;"|"&amp;Table1[BON code],Table1[2029-30]),2,FALSE)</f>
        <v>0.59799999999999998</v>
      </c>
      <c r="L14" s="164">
        <f t="shared" ca="1" si="0"/>
        <v>11.788000000000002</v>
      </c>
      <c r="O14" s="159" t="str">
        <f t="shared" si="1"/>
        <v>TMS</v>
      </c>
      <c r="P14" s="164">
        <f ca="1">Allowance!E20</f>
        <v>11.788000000000002</v>
      </c>
      <c r="Q14" s="269">
        <f t="array" aca="1" ref="Q14" ca="1">VLOOKUP($B14&amp;"|"&amp;'Final Input'!$B$10,CHOOSE({1,2},Table3[Acronym]&amp;"|"&amp;Table3[BON code],Table3[2023-24]),2,FALSE)</f>
        <v>0</v>
      </c>
      <c r="R14" s="269">
        <f t="array" aca="1" ref="R14" ca="1">VLOOKUP($B14&amp;"|"&amp;'Final Input'!$B$13,CHOOSE({1,2},Table3[Acronym]&amp;"|"&amp;Table3[BON code],Table3[2023-24]),2,FALSE)</f>
        <v>0</v>
      </c>
      <c r="S14" s="269">
        <f t="array" aca="1" ref="S14" ca="1">VLOOKUP($B14&amp;"|"&amp;'Final Input'!$B$10,CHOOSE({1,2},Table3[Acronym]&amp;"|"&amp;Table3[BON code],Table3[2024-25]),2,FALSE)</f>
        <v>0</v>
      </c>
      <c r="T14" s="269">
        <f t="array" aca="1" ref="T14" ca="1">VLOOKUP($B14&amp;"|"&amp;'Final Input'!$B$13,CHOOSE({1,2},Table3[Acronym]&amp;"|"&amp;Table3[BON code],Table3[2024-25]),2,FALSE)</f>
        <v>0</v>
      </c>
      <c r="U14" s="170">
        <f t="array" aca="1" ref="U14" ca="1">VLOOKUP($O14&amp;"|"&amp;'Final Input'!$B$7,CHOOSE({1,2},Table3[Acronym]&amp;"|"&amp;Table3[BON code],Table3[2025-26]),2,FALSE)</f>
        <v>4.6950000000000003</v>
      </c>
      <c r="V14" s="170">
        <f t="array" aca="1" ref="V14" ca="1">VLOOKUP($O14&amp;"|"&amp;'Final Input'!$B$7,CHOOSE({1,2},Table3[Acronym]&amp;"|"&amp;Table3[BON code],Table3[2026-27]),2,FALSE)</f>
        <v>4.7160000000000002</v>
      </c>
      <c r="W14" s="170">
        <f t="array" aca="1" ref="W14" ca="1">VLOOKUP($O14&amp;"|"&amp;'Final Input'!$B$7,CHOOSE({1,2},Table3[Acronym]&amp;"|"&amp;Table3[BON code],Table3[2027-28]),2,FALSE)</f>
        <v>1.1839999999999999</v>
      </c>
      <c r="X14" s="170">
        <f t="array" aca="1" ref="X14" ca="1">VLOOKUP($O14&amp;"|"&amp;'Final Input'!$B$7,CHOOSE({1,2},Table3[Acronym]&amp;"|"&amp;Table3[BON code],Table3[2028-29]),2,FALSE)</f>
        <v>0.59499999999999997</v>
      </c>
      <c r="Y14" s="170">
        <f t="array" aca="1" ref="Y14" ca="1">VLOOKUP($O14&amp;"|"&amp;'Final Input'!$B$7,CHOOSE({1,2},Table3[Acronym]&amp;"|"&amp;Table3[BON code],Table3[2029-30]),2,FALSE)</f>
        <v>0.59799999999999998</v>
      </c>
      <c r="Z14" s="164">
        <f t="shared" ca="1" si="2"/>
        <v>11.788000000000002</v>
      </c>
      <c r="AA14" s="159" t="str">
        <f t="shared" ca="1" si="3"/>
        <v>reconciled</v>
      </c>
      <c r="AB14" s="252"/>
    </row>
    <row r="15" spans="1:32" ht="13.15">
      <c r="B15" s="159" t="str">
        <f>Allowance!B21</f>
        <v>NWT</v>
      </c>
      <c r="C15" s="269">
        <f t="array" aca="1" ref="C15" ca="1">VLOOKUP($B15&amp;"|"&amp;'Consolidated Input'!$B$10,CHOOSE({1,2},Table1[Acronym]&amp;"|"&amp;Table1[BON code],Table1[2023-24]),2,FALSE)</f>
        <v>0</v>
      </c>
      <c r="D15" s="269">
        <f t="array" aca="1" ref="D15" ca="1">VLOOKUP($B15&amp;"|"&amp;'Consolidated Input'!$B$13,CHOOSE({1,2},Table1[Acronym]&amp;"|"&amp;Table1[BON code],Table1[2023-24]),2,FALSE)</f>
        <v>0</v>
      </c>
      <c r="E15" s="269">
        <f t="array" aca="1" ref="E15" ca="1">VLOOKUP($B15&amp;"|"&amp;'Consolidated Input'!$B$10,CHOOSE({1,2},Table1[Acronym]&amp;"|"&amp;Table1[BON code],Table1[2024-25]),2,FALSE)</f>
        <v>0</v>
      </c>
      <c r="F15" s="269">
        <f t="array" aca="1" ref="F15" ca="1">VLOOKUP($B15&amp;"|"&amp;'Consolidated Input'!$B$13,CHOOSE({1,2},Table1[Acronym]&amp;"|"&amp;Table1[BON code],Table1[2024-25]),2,FALSE)</f>
        <v>0</v>
      </c>
      <c r="G15" s="170">
        <f t="array" aca="1" ref="G15" ca="1">VLOOKUP($B15&amp;"|"&amp;'Consolidated Input'!$B$7,CHOOSE({1,2},Table1[Acronym]&amp;"|"&amp;Table1[BON code],Table1[2025-26]),2,FALSE)</f>
        <v>1.6461148382606829</v>
      </c>
      <c r="H15" s="170">
        <f t="array" aca="1" ref="H15" ca="1">VLOOKUP($B15&amp;"|"&amp;'Consolidated Input'!$B$7,CHOOSE({1,2},Table1[Acronym]&amp;"|"&amp;Table1[BON code],Table1[2026-27]),2,FALSE)</f>
        <v>1.675691521730561</v>
      </c>
      <c r="I15" s="170">
        <f t="array" aca="1" ref="I15" ca="1">VLOOKUP($B15&amp;"|"&amp;'Consolidated Input'!$B$7,CHOOSE({1,2},Table1[Acronym]&amp;"|"&amp;Table1[BON code],Table1[2027-28]),2,FALSE)</f>
        <v>1.6539984130945491</v>
      </c>
      <c r="J15" s="170">
        <f t="array" aca="1" ref="J15" ca="1">VLOOKUP($B15&amp;"|"&amp;'Consolidated Input'!$B$7,CHOOSE({1,2},Table1[Acronym]&amp;"|"&amp;Table1[BON code],Table1[2028-29]),2,FALSE)</f>
        <v>8.6805518033848337</v>
      </c>
      <c r="K15" s="170">
        <f t="array" aca="1" ref="K15" ca="1">VLOOKUP($B15&amp;"|"&amp;'Consolidated Input'!$B$7,CHOOSE({1,2},Table1[Acronym]&amp;"|"&amp;Table1[BON code],Table1[2029-30]),2,FALSE)</f>
        <v>13.637641680326199</v>
      </c>
      <c r="L15" s="164">
        <f t="shared" ca="1" si="0"/>
        <v>27.293998256796826</v>
      </c>
      <c r="O15" s="159" t="str">
        <f t="shared" si="1"/>
        <v>NWT</v>
      </c>
      <c r="P15" s="164">
        <f ca="1">Allowance!E21</f>
        <v>69.930999999999997</v>
      </c>
      <c r="Q15" s="269">
        <f t="array" aca="1" ref="Q15" ca="1">VLOOKUP($B15&amp;"|"&amp;'Final Input'!$B$10,CHOOSE({1,2},Table3[Acronym]&amp;"|"&amp;Table3[BON code],Table3[2023-24]),2,FALSE)</f>
        <v>0</v>
      </c>
      <c r="R15" s="269">
        <f t="array" aca="1" ref="R15" ca="1">VLOOKUP($B15&amp;"|"&amp;'Final Input'!$B$13,CHOOSE({1,2},Table3[Acronym]&amp;"|"&amp;Table3[BON code],Table3[2023-24]),2,FALSE)</f>
        <v>0</v>
      </c>
      <c r="S15" s="269">
        <f t="array" aca="1" ref="S15" ca="1">VLOOKUP($B15&amp;"|"&amp;'Final Input'!$B$10,CHOOSE({1,2},Table3[Acronym]&amp;"|"&amp;Table3[BON code],Table3[2024-25]),2,FALSE)</f>
        <v>0</v>
      </c>
      <c r="T15" s="269">
        <f t="array" aca="1" ref="T15" ca="1">VLOOKUP($B15&amp;"|"&amp;'Final Input'!$B$13,CHOOSE({1,2},Table3[Acronym]&amp;"|"&amp;Table3[BON code],Table3[2024-25]),2,FALSE)</f>
        <v>0</v>
      </c>
      <c r="U15" s="170">
        <f t="array" aca="1" ref="U15" ca="1">VLOOKUP($O15&amp;"|"&amp;'Final Input'!$B$7,CHOOSE({1,2},Table3[Acronym]&amp;"|"&amp;Table3[BON code],Table3[2025-26]),2,FALSE)</f>
        <v>4.7015982999999997</v>
      </c>
      <c r="V15" s="170">
        <f t="array" aca="1" ref="V15" ca="1">VLOOKUP($O15&amp;"|"&amp;'Final Input'!$B$7,CHOOSE({1,2},Table3[Acronym]&amp;"|"&amp;Table3[BON code],Table3[2026-27]),2,FALSE)</f>
        <v>4.7747054000000002</v>
      </c>
      <c r="W15" s="170">
        <f t="array" aca="1" ref="W15" ca="1">VLOOKUP($O15&amp;"|"&amp;'Final Input'!$B$7,CHOOSE({1,2},Table3[Acronym]&amp;"|"&amp;Table3[BON code],Table3[2027-28]),2,FALSE)</f>
        <v>4.7215366000000003</v>
      </c>
      <c r="X15" s="170">
        <f t="array" aca="1" ref="X15" ca="1">VLOOKUP($O15&amp;"|"&amp;'Final Input'!$B$7,CHOOSE({1,2},Table3[Acronym]&amp;"|"&amp;Table3[BON code],Table3[2028-29]),2,FALSE)</f>
        <v>21.828598</v>
      </c>
      <c r="Y15" s="170">
        <f t="array" aca="1" ref="Y15" ca="1">VLOOKUP($O15&amp;"|"&amp;'Final Input'!$B$7,CHOOSE({1,2},Table3[Acronym]&amp;"|"&amp;Table3[BON code],Table3[2029-30]),2,FALSE)</f>
        <v>33.904561700000002</v>
      </c>
      <c r="Z15" s="164">
        <f t="shared" ca="1" si="2"/>
        <v>69.930999999999997</v>
      </c>
      <c r="AA15" s="159" t="str">
        <f t="shared" ca="1" si="3"/>
        <v>reconciled</v>
      </c>
      <c r="AB15" s="252"/>
    </row>
    <row r="16" spans="1:32" ht="13.15">
      <c r="B16" s="159" t="str">
        <f>Allowance!B22</f>
        <v>WSX</v>
      </c>
      <c r="C16" s="269">
        <f t="array" aca="1" ref="C16" ca="1">VLOOKUP($B16&amp;"|"&amp;'Consolidated Input'!$B$10,CHOOSE({1,2},Table1[Acronym]&amp;"|"&amp;Table1[BON code],Table1[2023-24]),2,FALSE)</f>
        <v>0</v>
      </c>
      <c r="D16" s="269">
        <f t="array" aca="1" ref="D16" ca="1">VLOOKUP($B16&amp;"|"&amp;'Consolidated Input'!$B$13,CHOOSE({1,2},Table1[Acronym]&amp;"|"&amp;Table1[BON code],Table1[2023-24]),2,FALSE)</f>
        <v>0</v>
      </c>
      <c r="E16" s="269">
        <f t="array" aca="1" ref="E16" ca="1">VLOOKUP($B16&amp;"|"&amp;'Consolidated Input'!$B$10,CHOOSE({1,2},Table1[Acronym]&amp;"|"&amp;Table1[BON code],Table1[2024-25]),2,FALSE)</f>
        <v>0</v>
      </c>
      <c r="F16" s="269">
        <f t="array" aca="1" ref="F16" ca="1">VLOOKUP($B16&amp;"|"&amp;'Consolidated Input'!$B$13,CHOOSE({1,2},Table1[Acronym]&amp;"|"&amp;Table1[BON code],Table1[2024-25]),2,FALSE)</f>
        <v>0</v>
      </c>
      <c r="G16" s="170">
        <f t="array" aca="1" ref="G16" ca="1">VLOOKUP($B16&amp;"|"&amp;'Consolidated Input'!$B$7,CHOOSE({1,2},Table1[Acronym]&amp;"|"&amp;Table1[BON code],Table1[2025-26]),2,FALSE)</f>
        <v>1.788362</v>
      </c>
      <c r="H16" s="170">
        <f t="array" aca="1" ref="H16" ca="1">VLOOKUP($B16&amp;"|"&amp;'Consolidated Input'!$B$7,CHOOSE({1,2},Table1[Acronym]&amp;"|"&amp;Table1[BON code],Table1[2026-27]),2,FALSE)</f>
        <v>1.8585119999999999</v>
      </c>
      <c r="I16" s="170">
        <f t="array" aca="1" ref="I16" ca="1">VLOOKUP($B16&amp;"|"&amp;'Consolidated Input'!$B$7,CHOOSE({1,2},Table1[Acronym]&amp;"|"&amp;Table1[BON code],Table1[2027-28]),2,FALSE)</f>
        <v>2.3427769999999999</v>
      </c>
      <c r="J16" s="170">
        <f t="array" aca="1" ref="J16" ca="1">VLOOKUP($B16&amp;"|"&amp;'Consolidated Input'!$B$7,CHOOSE({1,2},Table1[Acronym]&amp;"|"&amp;Table1[BON code],Table1[2028-29]),2,FALSE)</f>
        <v>2.3544909999999999</v>
      </c>
      <c r="K16" s="170">
        <f t="array" aca="1" ref="K16" ca="1">VLOOKUP($B16&amp;"|"&amp;'Consolidated Input'!$B$7,CHOOSE({1,2},Table1[Acronym]&amp;"|"&amp;Table1[BON code],Table1[2029-30]),2,FALSE)</f>
        <v>2.4018459999999999</v>
      </c>
      <c r="L16" s="164">
        <f t="shared" ca="1" si="0"/>
        <v>10.745988000000001</v>
      </c>
      <c r="O16" s="159" t="str">
        <f t="shared" si="1"/>
        <v>WSX</v>
      </c>
      <c r="P16" s="164">
        <f ca="1">Allowance!E22</f>
        <v>19.975000000000001</v>
      </c>
      <c r="Q16" s="269">
        <f t="array" aca="1" ref="Q16" ca="1">VLOOKUP($B16&amp;"|"&amp;'Final Input'!$B$10,CHOOSE({1,2},Table3[Acronym]&amp;"|"&amp;Table3[BON code],Table3[2023-24]),2,FALSE)</f>
        <v>0</v>
      </c>
      <c r="R16" s="269">
        <f t="array" aca="1" ref="R16" ca="1">VLOOKUP($B16&amp;"|"&amp;'Final Input'!$B$13,CHOOSE({1,2},Table3[Acronym]&amp;"|"&amp;Table3[BON code],Table3[2023-24]),2,FALSE)</f>
        <v>0</v>
      </c>
      <c r="S16" s="269">
        <f t="array" aca="1" ref="S16" ca="1">VLOOKUP($B16&amp;"|"&amp;'Final Input'!$B$10,CHOOSE({1,2},Table3[Acronym]&amp;"|"&amp;Table3[BON code],Table3[2024-25]),2,FALSE)</f>
        <v>0</v>
      </c>
      <c r="T16" s="269">
        <f t="array" aca="1" ref="T16" ca="1">VLOOKUP($B16&amp;"|"&amp;'Final Input'!$B$13,CHOOSE({1,2},Table3[Acronym]&amp;"|"&amp;Table3[BON code],Table3[2024-25]),2,FALSE)</f>
        <v>0</v>
      </c>
      <c r="U16" s="170">
        <f t="array" aca="1" ref="U16" ca="1">VLOOKUP($O16&amp;"|"&amp;'Final Input'!$B$7,CHOOSE({1,2},Table3[Acronym]&amp;"|"&amp;Table3[BON code],Table3[2025-26]),2,FALSE)</f>
        <v>3.3440496</v>
      </c>
      <c r="V16" s="170">
        <f t="array" aca="1" ref="V16" ca="1">VLOOKUP($O16&amp;"|"&amp;'Final Input'!$B$7,CHOOSE({1,2},Table3[Acronym]&amp;"|"&amp;Table3[BON code],Table3[2026-27]),2,FALSE)</f>
        <v>3.4504185999999999</v>
      </c>
      <c r="W16" s="170">
        <f t="array" aca="1" ref="W16" ca="1">VLOOKUP($O16&amp;"|"&amp;'Final Input'!$B$7,CHOOSE({1,2},Table3[Acronym]&amp;"|"&amp;Table3[BON code],Table3[2027-28]),2,FALSE)</f>
        <v>4.3470070999999999</v>
      </c>
      <c r="X16" s="170">
        <f t="array" aca="1" ref="X16" ca="1">VLOOKUP($O16&amp;"|"&amp;'Final Input'!$B$7,CHOOSE({1,2},Table3[Acronym]&amp;"|"&amp;Table3[BON code],Table3[2028-29]),2,FALSE)</f>
        <v>4.3691122</v>
      </c>
      <c r="Y16" s="170">
        <f t="array" aca="1" ref="Y16" ca="1">VLOOKUP($O16&amp;"|"&amp;'Final Input'!$B$7,CHOOSE({1,2},Table3[Acronym]&amp;"|"&amp;Table3[BON code],Table3[2029-30]),2,FALSE)</f>
        <v>4.4644124999999999</v>
      </c>
      <c r="Z16" s="164">
        <f t="shared" ca="1" si="2"/>
        <v>19.975000000000001</v>
      </c>
      <c r="AA16" s="159" t="str">
        <f t="shared" ca="1" si="3"/>
        <v>reconciled</v>
      </c>
      <c r="AB16" s="252"/>
    </row>
    <row r="17" spans="1:32" ht="13.15">
      <c r="B17" s="159" t="str">
        <f>Allowance!B23</f>
        <v>YKY</v>
      </c>
      <c r="C17" s="269">
        <f t="array" aca="1" ref="C17" ca="1">VLOOKUP($B17&amp;"|"&amp;'Consolidated Input'!$B$10,CHOOSE({1,2},Table1[Acronym]&amp;"|"&amp;Table1[BON code],Table1[2023-24]),2,FALSE)</f>
        <v>0</v>
      </c>
      <c r="D17" s="269">
        <f t="array" aca="1" ref="D17" ca="1">VLOOKUP($B17&amp;"|"&amp;'Consolidated Input'!$B$13,CHOOSE({1,2},Table1[Acronym]&amp;"|"&amp;Table1[BON code],Table1[2023-24]),2,FALSE)</f>
        <v>0</v>
      </c>
      <c r="E17" s="269">
        <f t="array" aca="1" ref="E17" ca="1">VLOOKUP($B17&amp;"|"&amp;'Consolidated Input'!$B$10,CHOOSE({1,2},Table1[Acronym]&amp;"|"&amp;Table1[BON code],Table1[2024-25]),2,FALSE)</f>
        <v>0</v>
      </c>
      <c r="F17" s="269">
        <f t="array" aca="1" ref="F17" ca="1">VLOOKUP($B17&amp;"|"&amp;'Consolidated Input'!$B$13,CHOOSE({1,2},Table1[Acronym]&amp;"|"&amp;Table1[BON code],Table1[2024-25]),2,FALSE)</f>
        <v>0</v>
      </c>
      <c r="G17" s="170">
        <f t="array" aca="1" ref="G17" ca="1">VLOOKUP($B17&amp;"|"&amp;'Consolidated Input'!$B$7,CHOOSE({1,2},Table1[Acronym]&amp;"|"&amp;Table1[BON code],Table1[2025-26]),2,FALSE)</f>
        <v>3.3398272000000002</v>
      </c>
      <c r="H17" s="170">
        <f t="array" aca="1" ref="H17" ca="1">VLOOKUP($B17&amp;"|"&amp;'Consolidated Input'!$B$7,CHOOSE({1,2},Table1[Acronym]&amp;"|"&amp;Table1[BON code],Table1[2026-27]),2,FALSE)</f>
        <v>4.5006848000000002</v>
      </c>
      <c r="I17" s="170">
        <f t="array" aca="1" ref="I17" ca="1">VLOOKUP($B17&amp;"|"&amp;'Consolidated Input'!$B$7,CHOOSE({1,2},Table1[Acronym]&amp;"|"&amp;Table1[BON code],Table1[2027-28]),2,FALSE)</f>
        <v>4.6917119999999999</v>
      </c>
      <c r="J17" s="170">
        <f t="array" aca="1" ref="J17" ca="1">VLOOKUP($B17&amp;"|"&amp;'Consolidated Input'!$B$7,CHOOSE({1,2},Table1[Acronym]&amp;"|"&amp;Table1[BON code],Table1[2028-29]),2,FALSE)</f>
        <v>3.9286528000000001</v>
      </c>
      <c r="K17" s="170">
        <f t="array" aca="1" ref="K17" ca="1">VLOOKUP($B17&amp;"|"&amp;'Consolidated Input'!$B$7,CHOOSE({1,2},Table1[Acronym]&amp;"|"&amp;Table1[BON code],Table1[2029-30]),2,FALSE)</f>
        <v>2.6680831999999999</v>
      </c>
      <c r="L17" s="164">
        <f t="shared" ca="1" si="0"/>
        <v>19.128959999999999</v>
      </c>
      <c r="O17" s="159" t="str">
        <f t="shared" si="1"/>
        <v>YKY</v>
      </c>
      <c r="P17" s="164">
        <f ca="1">Allowance!E23</f>
        <v>38.256211</v>
      </c>
      <c r="Q17" s="269">
        <f t="array" aca="1" ref="Q17" ca="1">VLOOKUP($B17&amp;"|"&amp;'Final Input'!$B$10,CHOOSE({1,2},Table3[Acronym]&amp;"|"&amp;Table3[BON code],Table3[2023-24]),2,FALSE)</f>
        <v>0</v>
      </c>
      <c r="R17" s="269">
        <f t="array" aca="1" ref="R17" ca="1">VLOOKUP($B17&amp;"|"&amp;'Final Input'!$B$13,CHOOSE({1,2},Table3[Acronym]&amp;"|"&amp;Table3[BON code],Table3[2023-24]),2,FALSE)</f>
        <v>0</v>
      </c>
      <c r="S17" s="269">
        <f t="array" aca="1" ref="S17" ca="1">VLOOKUP($B17&amp;"|"&amp;'Final Input'!$B$10,CHOOSE({1,2},Table3[Acronym]&amp;"|"&amp;Table3[BON code],Table3[2024-25]),2,FALSE)</f>
        <v>0</v>
      </c>
      <c r="T17" s="269">
        <f t="array" aca="1" ref="T17" ca="1">VLOOKUP($B17&amp;"|"&amp;'Final Input'!$B$13,CHOOSE({1,2},Table3[Acronym]&amp;"|"&amp;Table3[BON code],Table3[2024-25]),2,FALSE)</f>
        <v>0</v>
      </c>
      <c r="U17" s="170">
        <f t="array" aca="1" ref="U17" ca="1">VLOOKUP($O17&amp;"|"&amp;'Final Input'!$B$7,CHOOSE({1,2},Table3[Acronym]&amp;"|"&amp;Table3[BON code],Table3[2025-26]),2,FALSE)</f>
        <v>6.6800070000000007</v>
      </c>
      <c r="V17" s="170">
        <f t="array" aca="1" ref="V17" ca="1">VLOOKUP($O17&amp;"|"&amp;'Final Input'!$B$7,CHOOSE({1,2},Table3[Acronym]&amp;"|"&amp;Table3[BON code],Table3[2026-27]),2,FALSE)</f>
        <v>8.998875</v>
      </c>
      <c r="W17" s="170">
        <f t="array" aca="1" ref="W17" ca="1">VLOOKUP($O17&amp;"|"&amp;'Final Input'!$B$7,CHOOSE({1,2},Table3[Acronym]&amp;"|"&amp;Table3[BON code],Table3[2027-28]),2,FALSE)</f>
        <v>9.3815639999999991</v>
      </c>
      <c r="X17" s="170">
        <f t="array" aca="1" ref="X17" ca="1">VLOOKUP($O17&amp;"|"&amp;'Final Input'!$B$7,CHOOSE({1,2},Table3[Acronym]&amp;"|"&amp;Table3[BON code],Table3[2028-29]),2,FALSE)</f>
        <v>7.8545970000000009</v>
      </c>
      <c r="Y17" s="170">
        <f t="array" aca="1" ref="Y17" ca="1">VLOOKUP($O17&amp;"|"&amp;'Final Input'!$B$7,CHOOSE({1,2},Table3[Acronym]&amp;"|"&amp;Table3[BON code],Table3[2029-30]),2,FALSE)</f>
        <v>5.3411680000000006</v>
      </c>
      <c r="Z17" s="164">
        <f t="shared" ca="1" si="2"/>
        <v>38.256211</v>
      </c>
      <c r="AA17" s="159" t="str">
        <f t="shared" ca="1" si="3"/>
        <v>reconciled</v>
      </c>
      <c r="AB17" s="252"/>
    </row>
    <row r="18" spans="1:32" ht="13.15">
      <c r="B18" s="159" t="str">
        <f>Allowance!B24</f>
        <v>Total</v>
      </c>
      <c r="C18" s="160">
        <f ca="1">SUM(C7:C17)</f>
        <v>2E-3</v>
      </c>
      <c r="D18" s="160">
        <f t="shared" ref="D18:F18" ca="1" si="4">SUM(D7:D17)</f>
        <v>0</v>
      </c>
      <c r="E18" s="160">
        <f t="shared" ca="1" si="4"/>
        <v>0.10443126094345548</v>
      </c>
      <c r="F18" s="160">
        <f t="shared" ca="1" si="4"/>
        <v>0</v>
      </c>
      <c r="G18" s="170">
        <f ca="1">SUM(G7:G17)</f>
        <v>35.657193719893904</v>
      </c>
      <c r="H18" s="170">
        <f t="shared" ref="H18:K18" ca="1" si="5">SUM(H7:H17)</f>
        <v>44.508316366787213</v>
      </c>
      <c r="I18" s="170">
        <f t="shared" ca="1" si="5"/>
        <v>45.532136932417629</v>
      </c>
      <c r="J18" s="170">
        <f t="shared" ca="1" si="5"/>
        <v>53.767043648670523</v>
      </c>
      <c r="K18" s="170">
        <f t="shared" ca="1" si="5"/>
        <v>66.657636234486333</v>
      </c>
      <c r="L18" s="164">
        <f t="shared" ca="1" si="0"/>
        <v>246.22875816319907</v>
      </c>
      <c r="O18" s="159" t="str">
        <f t="shared" si="1"/>
        <v>Total</v>
      </c>
      <c r="P18" s="164">
        <f ca="1">Allowance!E24</f>
        <v>378.11777290640225</v>
      </c>
      <c r="Q18" s="269">
        <f ca="1">SUM(Q7:Q17)</f>
        <v>2E-3</v>
      </c>
      <c r="R18" s="269">
        <f t="shared" ref="R18:T18" ca="1" si="6">SUM(R7:R17)</f>
        <v>0</v>
      </c>
      <c r="S18" s="269">
        <f t="shared" ca="1" si="6"/>
        <v>0.10443126094345548</v>
      </c>
      <c r="T18" s="269">
        <f t="shared" ca="1" si="6"/>
        <v>0</v>
      </c>
      <c r="U18" s="170">
        <f ca="1">SUM(U7:U17)</f>
        <v>51.277847990352093</v>
      </c>
      <c r="V18" s="170">
        <f t="shared" ref="V18:Y18" ca="1" si="7">SUM(V7:V17)</f>
        <v>63.000839634776355</v>
      </c>
      <c r="W18" s="170">
        <f t="shared" ca="1" si="7"/>
        <v>64.772487511211153</v>
      </c>
      <c r="X18" s="170">
        <f t="shared" ca="1" si="7"/>
        <v>83.107924711626637</v>
      </c>
      <c r="Y18" s="170">
        <f t="shared" ca="1" si="7"/>
        <v>115.85224179749254</v>
      </c>
      <c r="Z18" s="164">
        <f t="shared" ca="1" si="2"/>
        <v>378.11777290640219</v>
      </c>
      <c r="AA18" s="159"/>
    </row>
    <row r="20" spans="1:32" ht="18">
      <c r="A20" s="411" t="s">
        <v>432</v>
      </c>
      <c r="B20" s="411"/>
      <c r="C20" s="411"/>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row>
    <row r="22" spans="1:32" ht="13.15">
      <c r="B22" s="31" t="s">
        <v>433</v>
      </c>
      <c r="O22" s="31" t="s">
        <v>434</v>
      </c>
    </row>
    <row r="23" spans="1:32" ht="39.4">
      <c r="B23" s="11" t="s">
        <v>148</v>
      </c>
      <c r="C23" s="11" t="s">
        <v>421</v>
      </c>
      <c r="D23" s="11" t="s">
        <v>422</v>
      </c>
      <c r="E23" s="11" t="s">
        <v>423</v>
      </c>
      <c r="F23" s="11" t="s">
        <v>424</v>
      </c>
      <c r="G23" s="11" t="s">
        <v>425</v>
      </c>
      <c r="H23" s="11" t="s">
        <v>426</v>
      </c>
      <c r="I23" s="11" t="s">
        <v>427</v>
      </c>
      <c r="J23" s="11" t="s">
        <v>428</v>
      </c>
      <c r="K23" s="11" t="s">
        <v>429</v>
      </c>
      <c r="L23" s="11" t="s">
        <v>431</v>
      </c>
      <c r="O23" s="11" t="str">
        <f>Allowance!B12</f>
        <v>Company</v>
      </c>
      <c r="P23" s="11" t="s">
        <v>435</v>
      </c>
      <c r="Q23" s="11" t="s">
        <v>421</v>
      </c>
      <c r="R23" s="11" t="s">
        <v>422</v>
      </c>
      <c r="S23" s="11" t="s">
        <v>423</v>
      </c>
      <c r="T23" s="11" t="s">
        <v>424</v>
      </c>
      <c r="U23" s="11" t="s">
        <v>425</v>
      </c>
      <c r="V23" s="11" t="s">
        <v>426</v>
      </c>
      <c r="W23" s="11" t="s">
        <v>427</v>
      </c>
      <c r="X23" s="11" t="s">
        <v>428</v>
      </c>
      <c r="Y23" s="11" t="s">
        <v>429</v>
      </c>
      <c r="Z23" s="159" t="s">
        <v>436</v>
      </c>
    </row>
    <row r="24" spans="1:32" ht="13.15">
      <c r="B24" s="159" t="str">
        <f t="shared" ref="B24:B35" si="8">B7</f>
        <v>ANH</v>
      </c>
      <c r="C24" s="161">
        <f t="shared" ref="C24:K24" ca="1" si="9">C7/SUM($C7:$K7)</f>
        <v>4.164324234284882E-5</v>
      </c>
      <c r="D24" s="161">
        <f t="shared" ca="1" si="9"/>
        <v>0</v>
      </c>
      <c r="E24" s="161">
        <f t="shared" ca="1" si="9"/>
        <v>9.9943781622837194E-4</v>
      </c>
      <c r="F24" s="161">
        <f t="shared" ca="1" si="9"/>
        <v>0</v>
      </c>
      <c r="G24" s="162">
        <f t="shared" ca="1" si="9"/>
        <v>0.10485768421929331</v>
      </c>
      <c r="H24" s="162">
        <f t="shared" ca="1" si="9"/>
        <v>0.18716555270993399</v>
      </c>
      <c r="I24" s="162">
        <f t="shared" ca="1" si="9"/>
        <v>0.23186957336498221</v>
      </c>
      <c r="J24" s="162">
        <f t="shared" ca="1" si="9"/>
        <v>0.24073958398400902</v>
      </c>
      <c r="K24" s="162">
        <f t="shared" ca="1" si="9"/>
        <v>0.2343265246632103</v>
      </c>
      <c r="L24" s="163" t="str">
        <f t="shared" ref="L24:L35" ca="1" si="10">IF(SUM(C24:K24)=1, "reconciled","check")</f>
        <v>reconciled</v>
      </c>
      <c r="O24" s="159" t="str">
        <f t="shared" ref="O24:O35" si="11">B7</f>
        <v>ANH</v>
      </c>
      <c r="P24" s="164">
        <f ca="1">Allowance!I13</f>
        <v>24.013499999999997</v>
      </c>
      <c r="Q24" s="269">
        <f t="shared" ref="Q24:Q35" ca="1" si="12">C24*$P24</f>
        <v>1E-3</v>
      </c>
      <c r="R24" s="269">
        <f t="shared" ref="R24:R35" ca="1" si="13">D24*$P24</f>
        <v>0</v>
      </c>
      <c r="S24" s="269">
        <f t="shared" ref="S24:S35" ca="1" si="14">E24*$P24</f>
        <v>2.4000000000000007E-2</v>
      </c>
      <c r="T24" s="269">
        <f t="shared" ref="T24:T35" ca="1" si="15">F24*$P24</f>
        <v>0</v>
      </c>
      <c r="U24" s="170">
        <f t="shared" ref="U24:U35" ca="1" si="16">G24*$P24</f>
        <v>2.5179999999999998</v>
      </c>
      <c r="V24" s="170">
        <f t="shared" ref="V24:V35" ca="1" si="17">H24*$P24</f>
        <v>4.4944999999999995</v>
      </c>
      <c r="W24" s="170">
        <f t="shared" ref="W24:W35" ca="1" si="18">I24*$P24</f>
        <v>5.5679999999999996</v>
      </c>
      <c r="X24" s="170">
        <f t="shared" ref="X24:X35" ca="1" si="19">J24*$P24</f>
        <v>5.7809999999999997</v>
      </c>
      <c r="Y24" s="170">
        <f t="shared" ref="Y24:Y35" ca="1" si="20">K24*$P24</f>
        <v>5.6269999999999998</v>
      </c>
      <c r="Z24" s="163" t="str">
        <f t="shared" ref="Z24:Z35" ca="1" si="21">IF(SUM(Q24:Y24)=P24, "reconciled","check")</f>
        <v>reconciled</v>
      </c>
    </row>
    <row r="25" spans="1:32" ht="13.15">
      <c r="B25" s="159" t="str">
        <f t="shared" si="8"/>
        <v>WSH</v>
      </c>
      <c r="C25" s="161">
        <f t="shared" ref="C25:K25" ca="1" si="22">C8/SUM($C8:$K8)</f>
        <v>0</v>
      </c>
      <c r="D25" s="161">
        <f t="shared" ca="1" si="22"/>
        <v>0</v>
      </c>
      <c r="E25" s="161">
        <f t="shared" ca="1" si="22"/>
        <v>0</v>
      </c>
      <c r="F25" s="161">
        <f t="shared" ca="1" si="22"/>
        <v>0</v>
      </c>
      <c r="G25" s="162">
        <f t="shared" ca="1" si="22"/>
        <v>0.18790109475273689</v>
      </c>
      <c r="H25" s="162">
        <f t="shared" ca="1" si="22"/>
        <v>0.28161570403926012</v>
      </c>
      <c r="I25" s="162">
        <f t="shared" ca="1" si="22"/>
        <v>0.28746696866742166</v>
      </c>
      <c r="J25" s="162">
        <f t="shared" ca="1" si="22"/>
        <v>0.20932427331068326</v>
      </c>
      <c r="K25" s="162">
        <f t="shared" ca="1" si="22"/>
        <v>3.3691959229898073E-2</v>
      </c>
      <c r="L25" s="163" t="str">
        <f t="shared" ca="1" si="10"/>
        <v>reconciled</v>
      </c>
      <c r="O25" s="159" t="str">
        <f>B8</f>
        <v>WSH</v>
      </c>
      <c r="P25" s="164">
        <f ca="1">Allowance!I14</f>
        <v>16.953600000000002</v>
      </c>
      <c r="Q25" s="269">
        <f t="shared" ca="1" si="12"/>
        <v>0</v>
      </c>
      <c r="R25" s="269">
        <f t="shared" ca="1" si="13"/>
        <v>0</v>
      </c>
      <c r="S25" s="269">
        <f t="shared" ca="1" si="14"/>
        <v>0</v>
      </c>
      <c r="T25" s="269">
        <f t="shared" ca="1" si="15"/>
        <v>0</v>
      </c>
      <c r="U25" s="170">
        <f t="shared" ca="1" si="16"/>
        <v>3.1856000000000004</v>
      </c>
      <c r="V25" s="170">
        <f t="shared" ca="1" si="17"/>
        <v>4.7744000000000009</v>
      </c>
      <c r="W25" s="170">
        <f t="shared" ca="1" si="18"/>
        <v>4.8736000000000006</v>
      </c>
      <c r="X25" s="170">
        <f t="shared" ca="1" si="19"/>
        <v>3.5488</v>
      </c>
      <c r="Y25" s="170">
        <f t="shared" ca="1" si="20"/>
        <v>0.57120000000000004</v>
      </c>
      <c r="Z25" s="163" t="str">
        <f t="shared" ca="1" si="21"/>
        <v>reconciled</v>
      </c>
    </row>
    <row r="26" spans="1:32" ht="13.15">
      <c r="B26" s="159" t="str">
        <f t="shared" si="8"/>
        <v>HDD</v>
      </c>
      <c r="C26" s="161">
        <f t="shared" ref="C26:K26" ca="1" si="23">C9/SUM($C9:$K9)</f>
        <v>0</v>
      </c>
      <c r="D26" s="161">
        <f t="shared" ca="1" si="23"/>
        <v>0</v>
      </c>
      <c r="E26" s="161">
        <f t="shared" ca="1" si="23"/>
        <v>0</v>
      </c>
      <c r="F26" s="161">
        <f t="shared" ca="1" si="23"/>
        <v>0</v>
      </c>
      <c r="G26" s="162">
        <f t="shared" ca="1" si="23"/>
        <v>9.7173144876325085E-2</v>
      </c>
      <c r="H26" s="162">
        <f t="shared" ca="1" si="23"/>
        <v>9.7173144876325085E-2</v>
      </c>
      <c r="I26" s="162">
        <f t="shared" ca="1" si="23"/>
        <v>0.24558303886925795</v>
      </c>
      <c r="J26" s="162">
        <f t="shared" ca="1" si="23"/>
        <v>0.30212014134275617</v>
      </c>
      <c r="K26" s="162">
        <f t="shared" ca="1" si="23"/>
        <v>0.25795053003533563</v>
      </c>
      <c r="L26" s="163" t="str">
        <f t="shared" ca="1" si="10"/>
        <v>reconciled</v>
      </c>
      <c r="O26" s="159" t="str">
        <f t="shared" si="11"/>
        <v>HDD</v>
      </c>
      <c r="P26" s="164">
        <f ca="1">Allowance!I15</f>
        <v>0.56600000000000006</v>
      </c>
      <c r="Q26" s="269">
        <f t="shared" ca="1" si="12"/>
        <v>0</v>
      </c>
      <c r="R26" s="269">
        <f t="shared" ca="1" si="13"/>
        <v>0</v>
      </c>
      <c r="S26" s="269">
        <f t="shared" ca="1" si="14"/>
        <v>0</v>
      </c>
      <c r="T26" s="269">
        <f t="shared" ca="1" si="15"/>
        <v>0</v>
      </c>
      <c r="U26" s="170">
        <f t="shared" ca="1" si="16"/>
        <v>5.5000000000000007E-2</v>
      </c>
      <c r="V26" s="170">
        <f t="shared" ca="1" si="17"/>
        <v>5.5000000000000007E-2</v>
      </c>
      <c r="W26" s="170">
        <f t="shared" ca="1" si="18"/>
        <v>0.13900000000000001</v>
      </c>
      <c r="X26" s="170">
        <f t="shared" ca="1" si="19"/>
        <v>0.17100000000000001</v>
      </c>
      <c r="Y26" s="170">
        <f t="shared" ca="1" si="20"/>
        <v>0.14599999999999999</v>
      </c>
      <c r="Z26" s="163" t="str">
        <f t="shared" ca="1" si="21"/>
        <v>reconciled</v>
      </c>
    </row>
    <row r="27" spans="1:32" ht="13.15">
      <c r="B27" s="159" t="str">
        <f t="shared" si="8"/>
        <v>NES</v>
      </c>
      <c r="C27" s="161">
        <f t="shared" ref="C27:K27" ca="1" si="24">C10/SUM($C10:$K10)</f>
        <v>0</v>
      </c>
      <c r="D27" s="161">
        <f t="shared" ca="1" si="24"/>
        <v>0</v>
      </c>
      <c r="E27" s="161">
        <f t="shared" ca="1" si="24"/>
        <v>0</v>
      </c>
      <c r="F27" s="161">
        <f t="shared" ca="1" si="24"/>
        <v>0</v>
      </c>
      <c r="G27" s="162">
        <f t="shared" ca="1" si="24"/>
        <v>0.18116595506963007</v>
      </c>
      <c r="H27" s="162">
        <f t="shared" ca="1" si="24"/>
        <v>0.20470851123259245</v>
      </c>
      <c r="I27" s="162">
        <f t="shared" ca="1" si="24"/>
        <v>0.20470851123259245</v>
      </c>
      <c r="J27" s="162">
        <f t="shared" ca="1" si="24"/>
        <v>0.20470851123259245</v>
      </c>
      <c r="K27" s="162">
        <f t="shared" ca="1" si="24"/>
        <v>0.20470851123259245</v>
      </c>
      <c r="L27" s="163" t="str">
        <f t="shared" ca="1" si="10"/>
        <v>reconciled</v>
      </c>
      <c r="O27" s="159" t="str">
        <f t="shared" si="11"/>
        <v>NES</v>
      </c>
      <c r="P27" s="164">
        <f ca="1">Allowance!I16</f>
        <v>31.265600000000006</v>
      </c>
      <c r="Q27" s="269">
        <f t="shared" ca="1" si="12"/>
        <v>0</v>
      </c>
      <c r="R27" s="269">
        <f t="shared" ca="1" si="13"/>
        <v>0</v>
      </c>
      <c r="S27" s="269">
        <f t="shared" ca="1" si="14"/>
        <v>0</v>
      </c>
      <c r="T27" s="269">
        <f t="shared" ca="1" si="15"/>
        <v>0</v>
      </c>
      <c r="U27" s="170">
        <f t="shared" ca="1" si="16"/>
        <v>5.6642622848250266</v>
      </c>
      <c r="V27" s="170">
        <f t="shared" ca="1" si="17"/>
        <v>6.4003344287937436</v>
      </c>
      <c r="W27" s="170">
        <f t="shared" ca="1" si="18"/>
        <v>6.4003344287937436</v>
      </c>
      <c r="X27" s="170">
        <f t="shared" ca="1" si="19"/>
        <v>6.4003344287937436</v>
      </c>
      <c r="Y27" s="170">
        <f t="shared" ca="1" si="20"/>
        <v>6.4003344287937436</v>
      </c>
      <c r="Z27" s="163" t="str">
        <f t="shared" ca="1" si="21"/>
        <v>reconciled</v>
      </c>
    </row>
    <row r="28" spans="1:32" ht="13.15">
      <c r="B28" s="159" t="str">
        <f t="shared" si="8"/>
        <v>SVE</v>
      </c>
      <c r="C28" s="161">
        <f t="shared" ref="C28:K28" ca="1" si="25">C11/SUM($C11:$K11)</f>
        <v>0</v>
      </c>
      <c r="D28" s="161">
        <f t="shared" ca="1" si="25"/>
        <v>0</v>
      </c>
      <c r="E28" s="161">
        <f t="shared" ca="1" si="25"/>
        <v>2.1494706563871652E-3</v>
      </c>
      <c r="F28" s="161">
        <f t="shared" ca="1" si="25"/>
        <v>0</v>
      </c>
      <c r="G28" s="162">
        <f t="shared" ca="1" si="25"/>
        <v>9.3154585665452982E-2</v>
      </c>
      <c r="H28" s="162">
        <f t="shared" ca="1" si="25"/>
        <v>9.8869557369419908E-2</v>
      </c>
      <c r="I28" s="162">
        <f t="shared" ca="1" si="25"/>
        <v>0.15281353187906799</v>
      </c>
      <c r="J28" s="162">
        <f t="shared" ca="1" si="25"/>
        <v>0.27350947924268593</v>
      </c>
      <c r="K28" s="162">
        <f t="shared" ca="1" si="25"/>
        <v>0.37950337518698618</v>
      </c>
      <c r="L28" s="163" t="str">
        <f t="shared" ca="1" si="10"/>
        <v>reconciled</v>
      </c>
      <c r="O28" s="159" t="str">
        <f t="shared" si="11"/>
        <v>SVE</v>
      </c>
      <c r="P28" s="164">
        <f ca="1">Allowance!I17</f>
        <v>26.253561906402226</v>
      </c>
      <c r="Q28" s="269">
        <f t="shared" ca="1" si="12"/>
        <v>0</v>
      </c>
      <c r="R28" s="269">
        <f t="shared" ca="1" si="13"/>
        <v>0</v>
      </c>
      <c r="S28" s="269">
        <f t="shared" ca="1" si="14"/>
        <v>5.643126094345547E-2</v>
      </c>
      <c r="T28" s="269">
        <f t="shared" ca="1" si="15"/>
        <v>0</v>
      </c>
      <c r="U28" s="170">
        <f t="shared" ca="1" si="16"/>
        <v>2.4456396816332191</v>
      </c>
      <c r="V28" s="170">
        <f t="shared" ca="1" si="17"/>
        <v>2.5956780450566521</v>
      </c>
      <c r="W28" s="170">
        <f t="shared" ca="1" si="18"/>
        <v>4.0118995193230811</v>
      </c>
      <c r="X28" s="170">
        <f t="shared" ca="1" si="19"/>
        <v>7.1805980452856897</v>
      </c>
      <c r="Y28" s="170">
        <f t="shared" ca="1" si="20"/>
        <v>9.963315354160132</v>
      </c>
      <c r="Z28" s="163" t="str">
        <f t="shared" ca="1" si="21"/>
        <v>reconciled</v>
      </c>
    </row>
    <row r="29" spans="1:32" ht="13.15">
      <c r="B29" s="159" t="str">
        <f t="shared" si="8"/>
        <v>SWB</v>
      </c>
      <c r="C29" s="161">
        <f t="shared" ref="C29:K29" ca="1" si="26">C12/SUM($C12:$K12)</f>
        <v>0</v>
      </c>
      <c r="D29" s="161">
        <f t="shared" ca="1" si="26"/>
        <v>0</v>
      </c>
      <c r="E29" s="161">
        <f t="shared" ca="1" si="26"/>
        <v>0</v>
      </c>
      <c r="F29" s="161">
        <f t="shared" ca="1" si="26"/>
        <v>0</v>
      </c>
      <c r="G29" s="162">
        <f t="shared" ca="1" si="26"/>
        <v>0.2</v>
      </c>
      <c r="H29" s="162">
        <f t="shared" ca="1" si="26"/>
        <v>0.2</v>
      </c>
      <c r="I29" s="162">
        <f t="shared" ca="1" si="26"/>
        <v>0.2</v>
      </c>
      <c r="J29" s="162">
        <f t="shared" ca="1" si="26"/>
        <v>0.2</v>
      </c>
      <c r="K29" s="162">
        <f t="shared" ca="1" si="26"/>
        <v>0.2</v>
      </c>
      <c r="L29" s="163" t="str">
        <f t="shared" ca="1" si="10"/>
        <v>reconciled</v>
      </c>
      <c r="O29" s="159" t="str">
        <f t="shared" si="11"/>
        <v>SWB</v>
      </c>
      <c r="P29" s="164">
        <f ca="1">Allowance!I18</f>
        <v>10.097999999999999</v>
      </c>
      <c r="Q29" s="269">
        <f t="shared" ca="1" si="12"/>
        <v>0</v>
      </c>
      <c r="R29" s="269">
        <f t="shared" ca="1" si="13"/>
        <v>0</v>
      </c>
      <c r="S29" s="269">
        <f t="shared" ca="1" si="14"/>
        <v>0</v>
      </c>
      <c r="T29" s="269">
        <f t="shared" ca="1" si="15"/>
        <v>0</v>
      </c>
      <c r="U29" s="170">
        <f t="shared" ca="1" si="16"/>
        <v>2.0196000000000001</v>
      </c>
      <c r="V29" s="170">
        <f t="shared" ca="1" si="17"/>
        <v>2.0196000000000001</v>
      </c>
      <c r="W29" s="170">
        <f t="shared" ca="1" si="18"/>
        <v>2.0196000000000001</v>
      </c>
      <c r="X29" s="170">
        <f t="shared" ca="1" si="19"/>
        <v>2.0196000000000001</v>
      </c>
      <c r="Y29" s="170">
        <f t="shared" ca="1" si="20"/>
        <v>2.0196000000000001</v>
      </c>
      <c r="Z29" s="163" t="str">
        <f t="shared" ca="1" si="21"/>
        <v>reconciled</v>
      </c>
    </row>
    <row r="30" spans="1:32" ht="13.15">
      <c r="B30" s="159" t="str">
        <f t="shared" si="8"/>
        <v>SRN</v>
      </c>
      <c r="C30" s="161">
        <f t="shared" ref="C30:K30" ca="1" si="27">C13/SUM($C13:$K13)</f>
        <v>0</v>
      </c>
      <c r="D30" s="161">
        <f t="shared" ca="1" si="27"/>
        <v>0</v>
      </c>
      <c r="E30" s="161">
        <f t="shared" ca="1" si="27"/>
        <v>0</v>
      </c>
      <c r="F30" s="161">
        <f t="shared" ca="1" si="27"/>
        <v>0</v>
      </c>
      <c r="G30" s="162">
        <f t="shared" ca="1" si="27"/>
        <v>0.12476389553479236</v>
      </c>
      <c r="H30" s="162">
        <f t="shared" ca="1" si="27"/>
        <v>0.14347596141738236</v>
      </c>
      <c r="I30" s="162">
        <f t="shared" ca="1" si="27"/>
        <v>0.14677512781121718</v>
      </c>
      <c r="J30" s="162">
        <f t="shared" ca="1" si="27"/>
        <v>0.16133175510615258</v>
      </c>
      <c r="K30" s="162">
        <f t="shared" ca="1" si="27"/>
        <v>0.42365326013045562</v>
      </c>
      <c r="L30" s="163" t="str">
        <f t="shared" ca="1" si="10"/>
        <v>reconciled</v>
      </c>
      <c r="O30" s="159" t="str">
        <f t="shared" si="11"/>
        <v>SRN</v>
      </c>
      <c r="P30" s="164">
        <f ca="1">Allowance!I19</f>
        <v>64.992900000000006</v>
      </c>
      <c r="Q30" s="269">
        <f t="shared" ca="1" si="12"/>
        <v>0</v>
      </c>
      <c r="R30" s="269">
        <f t="shared" ca="1" si="13"/>
        <v>0</v>
      </c>
      <c r="S30" s="269">
        <f t="shared" ca="1" si="14"/>
        <v>0</v>
      </c>
      <c r="T30" s="269">
        <f t="shared" ca="1" si="15"/>
        <v>0</v>
      </c>
      <c r="U30" s="170">
        <f t="shared" ca="1" si="16"/>
        <v>8.1087673861032066</v>
      </c>
      <c r="V30" s="170">
        <f t="shared" ca="1" si="17"/>
        <v>9.3249188128037908</v>
      </c>
      <c r="W30" s="170">
        <f t="shared" ca="1" si="18"/>
        <v>9.5393412043216586</v>
      </c>
      <c r="X30" s="170">
        <f t="shared" ca="1" si="19"/>
        <v>10.485418626438666</v>
      </c>
      <c r="Y30" s="170">
        <f t="shared" ca="1" si="20"/>
        <v>27.534453970332692</v>
      </c>
      <c r="Z30" s="163" t="str">
        <f t="shared" ca="1" si="21"/>
        <v>reconciled</v>
      </c>
    </row>
    <row r="31" spans="1:32" ht="13.15">
      <c r="B31" s="159" t="str">
        <f t="shared" si="8"/>
        <v>TMS</v>
      </c>
      <c r="C31" s="161">
        <f t="shared" ref="C31:K31" ca="1" si="28">C14/SUM($C14:$K14)</f>
        <v>0</v>
      </c>
      <c r="D31" s="161">
        <f t="shared" ca="1" si="28"/>
        <v>0</v>
      </c>
      <c r="E31" s="161">
        <f t="shared" ca="1" si="28"/>
        <v>0</v>
      </c>
      <c r="F31" s="161">
        <f t="shared" ca="1" si="28"/>
        <v>0</v>
      </c>
      <c r="G31" s="162">
        <f t="shared" ca="1" si="28"/>
        <v>0.39828639294197482</v>
      </c>
      <c r="H31" s="162">
        <f t="shared" ca="1" si="28"/>
        <v>0.40006786562606034</v>
      </c>
      <c r="I31" s="162">
        <f t="shared" ca="1" si="28"/>
        <v>0.10044112656939258</v>
      </c>
      <c r="J31" s="162">
        <f t="shared" ca="1" si="28"/>
        <v>5.0475059382422791E-2</v>
      </c>
      <c r="K31" s="162">
        <f t="shared" ca="1" si="28"/>
        <v>5.0729555480149291E-2</v>
      </c>
      <c r="L31" s="163" t="str">
        <f t="shared" ca="1" si="10"/>
        <v>reconciled</v>
      </c>
      <c r="O31" s="159" t="str">
        <f t="shared" si="11"/>
        <v>TMS</v>
      </c>
      <c r="P31" s="164">
        <f ca="1">Allowance!I20</f>
        <v>9.4304000000000023</v>
      </c>
      <c r="Q31" s="269">
        <f t="shared" ca="1" si="12"/>
        <v>0</v>
      </c>
      <c r="R31" s="269">
        <f t="shared" ca="1" si="13"/>
        <v>0</v>
      </c>
      <c r="S31" s="269">
        <f t="shared" ca="1" si="14"/>
        <v>0</v>
      </c>
      <c r="T31" s="269">
        <f t="shared" ca="1" si="15"/>
        <v>0</v>
      </c>
      <c r="U31" s="170">
        <f t="shared" ca="1" si="16"/>
        <v>3.7560000000000002</v>
      </c>
      <c r="V31" s="170">
        <f t="shared" ca="1" si="17"/>
        <v>3.7728000000000002</v>
      </c>
      <c r="W31" s="170">
        <f t="shared" ca="1" si="18"/>
        <v>0.94720000000000004</v>
      </c>
      <c r="X31" s="170">
        <f t="shared" ca="1" si="19"/>
        <v>0.47599999999999998</v>
      </c>
      <c r="Y31" s="170">
        <f t="shared" ca="1" si="20"/>
        <v>0.47839999999999999</v>
      </c>
      <c r="Z31" s="163" t="str">
        <f t="shared" ca="1" si="21"/>
        <v>reconciled</v>
      </c>
    </row>
    <row r="32" spans="1:32" ht="13.15">
      <c r="B32" s="159" t="str">
        <f t="shared" si="8"/>
        <v>NWT</v>
      </c>
      <c r="C32" s="161">
        <f t="shared" ref="C32:K32" ca="1" si="29">C15/SUM($C15:$K15)</f>
        <v>0</v>
      </c>
      <c r="D32" s="161">
        <f t="shared" ca="1" si="29"/>
        <v>0</v>
      </c>
      <c r="E32" s="161">
        <f t="shared" ca="1" si="29"/>
        <v>0</v>
      </c>
      <c r="F32" s="161">
        <f t="shared" ca="1" si="29"/>
        <v>0</v>
      </c>
      <c r="G32" s="162">
        <f t="shared" ca="1" si="29"/>
        <v>6.0310505729982707E-2</v>
      </c>
      <c r="H32" s="162">
        <f t="shared" ca="1" si="29"/>
        <v>6.1394138959222501E-2</v>
      </c>
      <c r="I32" s="162">
        <f t="shared" ca="1" si="29"/>
        <v>6.0599344864494739E-2</v>
      </c>
      <c r="J32" s="162">
        <f t="shared" ca="1" si="29"/>
        <v>0.31803884948307926</v>
      </c>
      <c r="K32" s="162">
        <f t="shared" ca="1" si="29"/>
        <v>0.49965716096322077</v>
      </c>
      <c r="L32" s="163" t="str">
        <f t="shared" ca="1" si="10"/>
        <v>reconciled</v>
      </c>
      <c r="O32" s="159" t="str">
        <f t="shared" si="11"/>
        <v>NWT</v>
      </c>
      <c r="P32" s="164">
        <f ca="1">Allowance!I21</f>
        <v>55.944800000000001</v>
      </c>
      <c r="Q32" s="269">
        <f t="shared" ca="1" si="12"/>
        <v>0</v>
      </c>
      <c r="R32" s="269">
        <f t="shared" ca="1" si="13"/>
        <v>0</v>
      </c>
      <c r="S32" s="269">
        <f t="shared" ca="1" si="14"/>
        <v>0</v>
      </c>
      <c r="T32" s="269">
        <f t="shared" ca="1" si="15"/>
        <v>0</v>
      </c>
      <c r="U32" s="170">
        <f t="shared" ca="1" si="16"/>
        <v>3.3740591809627367</v>
      </c>
      <c r="V32" s="170">
        <f t="shared" ca="1" si="17"/>
        <v>3.4346828252459112</v>
      </c>
      <c r="W32" s="170">
        <f t="shared" ca="1" si="18"/>
        <v>3.3902182285751854</v>
      </c>
      <c r="X32" s="170">
        <f t="shared" ca="1" si="19"/>
        <v>17.792619826560973</v>
      </c>
      <c r="Y32" s="170">
        <f t="shared" ca="1" si="20"/>
        <v>27.953219938655195</v>
      </c>
      <c r="Z32" s="163" t="str">
        <f t="shared" ca="1" si="21"/>
        <v>reconciled</v>
      </c>
    </row>
    <row r="33" spans="1:32" ht="13.15">
      <c r="B33" s="159" t="str">
        <f t="shared" si="8"/>
        <v>WSX</v>
      </c>
      <c r="C33" s="161">
        <f t="shared" ref="C33:K33" ca="1" si="30">C16/SUM($C16:$K16)</f>
        <v>0</v>
      </c>
      <c r="D33" s="161">
        <f t="shared" ca="1" si="30"/>
        <v>0</v>
      </c>
      <c r="E33" s="161">
        <f t="shared" ca="1" si="30"/>
        <v>0</v>
      </c>
      <c r="F33" s="161">
        <f t="shared" ca="1" si="30"/>
        <v>0</v>
      </c>
      <c r="G33" s="162">
        <f t="shared" ca="1" si="30"/>
        <v>0.16642136581578165</v>
      </c>
      <c r="H33" s="162">
        <f t="shared" ca="1" si="30"/>
        <v>0.17294938352806646</v>
      </c>
      <c r="I33" s="162">
        <f t="shared" ca="1" si="30"/>
        <v>0.2180141090795932</v>
      </c>
      <c r="J33" s="162">
        <f t="shared" ca="1" si="30"/>
        <v>0.21910419032665956</v>
      </c>
      <c r="K33" s="162">
        <f t="shared" ca="1" si="30"/>
        <v>0.223510951249899</v>
      </c>
      <c r="L33" s="163" t="str">
        <f t="shared" ca="1" si="10"/>
        <v>reconciled</v>
      </c>
      <c r="O33" s="159" t="str">
        <f t="shared" si="11"/>
        <v>WSX</v>
      </c>
      <c r="P33" s="164">
        <f ca="1">Allowance!I22</f>
        <v>19.975000000000001</v>
      </c>
      <c r="Q33" s="269">
        <f t="shared" ca="1" si="12"/>
        <v>0</v>
      </c>
      <c r="R33" s="269">
        <f t="shared" ca="1" si="13"/>
        <v>0</v>
      </c>
      <c r="S33" s="269">
        <f t="shared" ca="1" si="14"/>
        <v>0</v>
      </c>
      <c r="T33" s="269">
        <f t="shared" ca="1" si="15"/>
        <v>0</v>
      </c>
      <c r="U33" s="170">
        <f t="shared" ca="1" si="16"/>
        <v>3.3242667821702385</v>
      </c>
      <c r="V33" s="170">
        <f t="shared" ca="1" si="17"/>
        <v>3.4546639359731279</v>
      </c>
      <c r="W33" s="170">
        <f t="shared" ca="1" si="18"/>
        <v>4.3548318288648744</v>
      </c>
      <c r="X33" s="170">
        <f t="shared" ca="1" si="19"/>
        <v>4.3766062017750249</v>
      </c>
      <c r="Y33" s="170">
        <f t="shared" ca="1" si="20"/>
        <v>4.4646312512167325</v>
      </c>
      <c r="Z33" s="163" t="str">
        <f t="shared" ca="1" si="21"/>
        <v>reconciled</v>
      </c>
    </row>
    <row r="34" spans="1:32" ht="13.15">
      <c r="B34" s="159" t="str">
        <f t="shared" si="8"/>
        <v>YKY</v>
      </c>
      <c r="C34" s="161">
        <f t="shared" ref="C34:K34" ca="1" si="31">C17/SUM($C17:$K17)</f>
        <v>0</v>
      </c>
      <c r="D34" s="161">
        <f t="shared" ca="1" si="31"/>
        <v>0</v>
      </c>
      <c r="E34" s="161">
        <f t="shared" ca="1" si="31"/>
        <v>0</v>
      </c>
      <c r="F34" s="161">
        <f t="shared" ca="1" si="31"/>
        <v>0</v>
      </c>
      <c r="G34" s="162">
        <f t="shared" ca="1" si="31"/>
        <v>0.17459533607681757</v>
      </c>
      <c r="H34" s="162">
        <f t="shared" ca="1" si="31"/>
        <v>0.235281207133059</v>
      </c>
      <c r="I34" s="162">
        <f t="shared" ca="1" si="31"/>
        <v>0.24526748971193416</v>
      </c>
      <c r="J34" s="162">
        <f t="shared" ca="1" si="31"/>
        <v>0.20537722908093278</v>
      </c>
      <c r="K34" s="162">
        <f t="shared" ca="1" si="31"/>
        <v>0.13947873799725652</v>
      </c>
      <c r="L34" s="163" t="str">
        <f t="shared" ca="1" si="10"/>
        <v>reconciled</v>
      </c>
      <c r="O34" s="159" t="str">
        <f t="shared" si="11"/>
        <v>YKY</v>
      </c>
      <c r="P34" s="164">
        <f ca="1">Allowance!I23</f>
        <v>38.256211</v>
      </c>
      <c r="Q34" s="269">
        <f t="shared" ca="1" si="12"/>
        <v>0</v>
      </c>
      <c r="R34" s="269">
        <f t="shared" ca="1" si="13"/>
        <v>0</v>
      </c>
      <c r="S34" s="269">
        <f t="shared" ca="1" si="14"/>
        <v>0</v>
      </c>
      <c r="T34" s="269">
        <f t="shared" ca="1" si="15"/>
        <v>0</v>
      </c>
      <c r="U34" s="170">
        <f t="shared" ca="1" si="16"/>
        <v>6.6793560165706456</v>
      </c>
      <c r="V34" s="170">
        <f t="shared" ca="1" si="17"/>
        <v>9.0009675044170105</v>
      </c>
      <c r="W34" s="170">
        <f t="shared" ca="1" si="18"/>
        <v>9.3830048378600832</v>
      </c>
      <c r="X34" s="170">
        <f t="shared" ca="1" si="19"/>
        <v>7.8569546103155004</v>
      </c>
      <c r="Y34" s="170">
        <f t="shared" ca="1" si="20"/>
        <v>5.3359280308367625</v>
      </c>
      <c r="Z34" s="163" t="str">
        <f t="shared" ca="1" si="21"/>
        <v>reconciled</v>
      </c>
    </row>
    <row r="35" spans="1:32" ht="13.15">
      <c r="B35" s="159" t="str">
        <f t="shared" si="8"/>
        <v>Total</v>
      </c>
      <c r="C35" s="161">
        <f t="shared" ref="C35:K35" ca="1" si="32">C18/SUM($C18:$K18)</f>
        <v>8.1225280707236111E-6</v>
      </c>
      <c r="D35" s="161">
        <f t="shared" ca="1" si="32"/>
        <v>0</v>
      </c>
      <c r="E35" s="161">
        <f t="shared" ca="1" si="32"/>
        <v>4.241229242371397E-4</v>
      </c>
      <c r="F35" s="161">
        <f t="shared" ca="1" si="32"/>
        <v>0</v>
      </c>
      <c r="G35" s="162">
        <f t="shared" ca="1" si="32"/>
        <v>0.14481327845653394</v>
      </c>
      <c r="H35" s="162">
        <f t="shared" ca="1" si="32"/>
        <v>0.18076002453493814</v>
      </c>
      <c r="I35" s="162">
        <f t="shared" ca="1" si="32"/>
        <v>0.18491803017679673</v>
      </c>
      <c r="J35" s="162">
        <f t="shared" ca="1" si="32"/>
        <v>0.21836216065807398</v>
      </c>
      <c r="K35" s="162">
        <f t="shared" ca="1" si="32"/>
        <v>0.2707142607213493</v>
      </c>
      <c r="L35" s="163" t="str">
        <f t="shared" ca="1" si="10"/>
        <v>reconciled</v>
      </c>
      <c r="O35" s="159" t="str">
        <f t="shared" si="11"/>
        <v>Total</v>
      </c>
      <c r="P35" s="164">
        <f ca="1">Allowance!I24</f>
        <v>297.74957290640225</v>
      </c>
      <c r="Q35" s="269">
        <f t="shared" ca="1" si="12"/>
        <v>2.4184792639782185E-3</v>
      </c>
      <c r="R35" s="269">
        <f t="shared" ca="1" si="13"/>
        <v>0</v>
      </c>
      <c r="S35" s="269">
        <f t="shared" ca="1" si="14"/>
        <v>0.12628241955142275</v>
      </c>
      <c r="T35" s="269">
        <f t="shared" ca="1" si="15"/>
        <v>0</v>
      </c>
      <c r="U35" s="170">
        <f t="shared" ca="1" si="16"/>
        <v>43.118091811608885</v>
      </c>
      <c r="V35" s="170">
        <f t="shared" ca="1" si="17"/>
        <v>53.821220103828622</v>
      </c>
      <c r="W35" s="170">
        <f t="shared" ca="1" si="18"/>
        <v>55.059264507834428</v>
      </c>
      <c r="X35" s="170">
        <f t="shared" ca="1" si="19"/>
        <v>65.017240074860723</v>
      </c>
      <c r="Y35" s="170">
        <f t="shared" ca="1" si="20"/>
        <v>80.605055509454175</v>
      </c>
      <c r="Z35" s="163" t="str">
        <f t="shared" ca="1" si="21"/>
        <v>reconciled</v>
      </c>
    </row>
    <row r="36" spans="1:32">
      <c r="U36" s="32"/>
      <c r="V36" s="32"/>
      <c r="W36" s="32"/>
      <c r="X36" s="32"/>
      <c r="Y36" s="32"/>
    </row>
    <row r="37" spans="1:32" ht="18">
      <c r="A37" s="411" t="s">
        <v>437</v>
      </c>
      <c r="B37" s="411"/>
      <c r="C37" s="411"/>
      <c r="D37" s="411"/>
      <c r="E37" s="411"/>
      <c r="F37" s="411"/>
      <c r="G37" s="411"/>
      <c r="H37" s="411"/>
      <c r="I37" s="411"/>
      <c r="J37" s="411"/>
      <c r="K37" s="411"/>
      <c r="L37" s="411"/>
      <c r="M37" s="411"/>
      <c r="N37" s="411"/>
      <c r="O37" s="411"/>
      <c r="P37" s="411"/>
      <c r="Q37" s="411"/>
      <c r="R37" s="411"/>
      <c r="S37" s="411"/>
      <c r="T37" s="411"/>
      <c r="U37" s="411"/>
      <c r="V37" s="411"/>
      <c r="W37" s="411"/>
      <c r="X37" s="411"/>
      <c r="Y37" s="411"/>
      <c r="Z37" s="411"/>
      <c r="AA37" s="411"/>
      <c r="AB37" s="411"/>
      <c r="AC37" s="411"/>
      <c r="AD37" s="411"/>
      <c r="AE37" s="411"/>
      <c r="AF37" s="411"/>
    </row>
    <row r="39" spans="1:32" ht="13.15">
      <c r="A39" s="2"/>
      <c r="B39" s="165" t="s">
        <v>438</v>
      </c>
      <c r="C39" s="2"/>
      <c r="D39" s="2"/>
      <c r="E39" s="2"/>
      <c r="F39" s="2"/>
      <c r="G39" s="2"/>
      <c r="H39" s="2"/>
      <c r="I39" s="2"/>
      <c r="J39" s="2"/>
      <c r="K39" s="2"/>
      <c r="L39" s="2"/>
      <c r="M39" s="2"/>
      <c r="N39" s="2"/>
      <c r="O39" s="166" t="s">
        <v>439</v>
      </c>
      <c r="P39" s="2"/>
      <c r="Q39" s="2"/>
      <c r="R39" s="2"/>
      <c r="S39" s="2"/>
      <c r="T39" s="2"/>
      <c r="U39" s="2"/>
      <c r="V39" s="2"/>
      <c r="W39" s="2"/>
      <c r="X39" s="2"/>
      <c r="Y39" s="2"/>
      <c r="Z39" s="2"/>
    </row>
    <row r="40" spans="1:32" ht="39.4">
      <c r="A40" s="2"/>
      <c r="B40" s="11" t="str">
        <f>Allowance!B12</f>
        <v>Company</v>
      </c>
      <c r="C40" s="11" t="s">
        <v>421</v>
      </c>
      <c r="D40" s="11" t="s">
        <v>422</v>
      </c>
      <c r="E40" s="11" t="s">
        <v>423</v>
      </c>
      <c r="F40" s="11" t="s">
        <v>424</v>
      </c>
      <c r="G40" s="11" t="s">
        <v>425</v>
      </c>
      <c r="H40" s="11" t="s">
        <v>426</v>
      </c>
      <c r="I40" s="11" t="s">
        <v>427</v>
      </c>
      <c r="J40" s="11" t="s">
        <v>428</v>
      </c>
      <c r="K40" s="11" t="s">
        <v>429</v>
      </c>
      <c r="L40" s="11" t="s">
        <v>154</v>
      </c>
      <c r="M40" s="11" t="s">
        <v>59</v>
      </c>
      <c r="N40" s="2"/>
      <c r="O40" s="11" t="str">
        <f>Allowance!B12</f>
        <v>Company</v>
      </c>
      <c r="P40" s="11" t="s">
        <v>435</v>
      </c>
      <c r="Q40" s="11" t="s">
        <v>421</v>
      </c>
      <c r="R40" s="11" t="s">
        <v>422</v>
      </c>
      <c r="S40" s="11" t="s">
        <v>423</v>
      </c>
      <c r="T40" s="11" t="s">
        <v>424</v>
      </c>
      <c r="U40" s="11" t="s">
        <v>425</v>
      </c>
      <c r="V40" s="11" t="s">
        <v>426</v>
      </c>
      <c r="W40" s="11" t="s">
        <v>427</v>
      </c>
      <c r="X40" s="11" t="s">
        <v>428</v>
      </c>
      <c r="Y40" s="11" t="s">
        <v>429</v>
      </c>
      <c r="Z40" s="11" t="s">
        <v>431</v>
      </c>
    </row>
    <row r="41" spans="1:32" ht="13.15">
      <c r="A41" s="2"/>
      <c r="B41" s="159" t="str">
        <f t="shared" ref="B41:B52" si="33">B7</f>
        <v>ANH</v>
      </c>
      <c r="C41" s="159"/>
      <c r="D41" s="159"/>
      <c r="E41" s="159"/>
      <c r="F41" s="159"/>
      <c r="G41" s="159"/>
      <c r="H41" s="159"/>
      <c r="I41" s="159"/>
      <c r="J41" s="159"/>
      <c r="K41" s="159"/>
      <c r="L41" s="159">
        <f t="shared" ref="L41:L52" si="34">SUM(C41:K41)</f>
        <v>0</v>
      </c>
      <c r="M41" s="159"/>
      <c r="N41" s="2"/>
      <c r="O41" s="11" t="str">
        <f t="shared" ref="O41:O52" si="35">B7</f>
        <v>ANH</v>
      </c>
      <c r="P41" s="168">
        <f t="shared" ref="P41:P52" ca="1" si="36">P24</f>
        <v>24.013499999999997</v>
      </c>
      <c r="Q41" s="167">
        <f t="shared" ref="Q41:Q52" ca="1" si="37">(Q7-C41)/(SUM($Q7:$Y7)-SUM($C41:$K41))*$P41</f>
        <v>1E-3</v>
      </c>
      <c r="R41" s="167">
        <f t="shared" ref="R41:R52" ca="1" si="38">(R7-D41)/(SUM($Q7:$Y7)-SUM($C41:$K41))*$P41</f>
        <v>0</v>
      </c>
      <c r="S41" s="167">
        <f t="shared" ref="S41:S52" ca="1" si="39">(S7-E41)/(SUM($Q7:$Y7)-SUM($C41:$K41))*$P41</f>
        <v>2.4000000000000007E-2</v>
      </c>
      <c r="T41" s="167">
        <f t="shared" ref="T41:T52" ca="1" si="40">(T7-F41)/(SUM($Q7:$Y7)-SUM($C41:$K41))*$P41</f>
        <v>0</v>
      </c>
      <c r="U41" s="169">
        <f ca="1">(U7-G41)/(SUM($Q7:$Y7)-SUM($C41:$K41))*$P41</f>
        <v>2.5179999999999998</v>
      </c>
      <c r="V41" s="169">
        <f t="shared" ref="V41:V52" ca="1" si="41">(V7-H41)/(SUM($Q7:$Y7)-SUM($C41:$K41))*$P41</f>
        <v>4.4944999999999995</v>
      </c>
      <c r="W41" s="169">
        <f t="shared" ref="W41:W52" ca="1" si="42">(W7-I41)/(SUM($Q7:$Y7)-SUM($C41:$K41))*$P41</f>
        <v>5.5679999999999996</v>
      </c>
      <c r="X41" s="169">
        <f t="shared" ref="X41:X52" ca="1" si="43">(X7-J41)/(SUM($Q7:$Y7)-SUM($C41:$K41))*$P41</f>
        <v>5.7809999999999997</v>
      </c>
      <c r="Y41" s="169">
        <f t="shared" ref="Y41:Y52" ca="1" si="44">(Y7-K41)/(SUM($Q7:$Y7)-SUM($C41:$K41))*$P41</f>
        <v>5.6269999999999998</v>
      </c>
      <c r="Z41" s="163" t="str">
        <f t="shared" ref="Z41:Z52" ca="1" si="45">IF(SUM(Q41:Y41)=P41, "reconciled","check")</f>
        <v>reconciled</v>
      </c>
    </row>
    <row r="42" spans="1:32" ht="13.15">
      <c r="A42" s="2"/>
      <c r="B42" s="159" t="str">
        <f t="shared" si="33"/>
        <v>WSH</v>
      </c>
      <c r="C42" s="159"/>
      <c r="D42" s="159"/>
      <c r="E42" s="159"/>
      <c r="F42" s="159"/>
      <c r="G42" s="159"/>
      <c r="H42" s="159"/>
      <c r="I42" s="159"/>
      <c r="J42" s="159"/>
      <c r="K42" s="159"/>
      <c r="L42" s="159">
        <f t="shared" si="34"/>
        <v>0</v>
      </c>
      <c r="M42" s="159"/>
      <c r="N42" s="2"/>
      <c r="O42" s="11" t="str">
        <f t="shared" si="35"/>
        <v>WSH</v>
      </c>
      <c r="P42" s="168">
        <f t="shared" ca="1" si="36"/>
        <v>16.953600000000002</v>
      </c>
      <c r="Q42" s="167">
        <f t="shared" ca="1" si="37"/>
        <v>0</v>
      </c>
      <c r="R42" s="167">
        <f t="shared" ca="1" si="38"/>
        <v>0</v>
      </c>
      <c r="S42" s="167">
        <f t="shared" ca="1" si="39"/>
        <v>0</v>
      </c>
      <c r="T42" s="167">
        <f t="shared" ca="1" si="40"/>
        <v>0</v>
      </c>
      <c r="U42" s="169">
        <f t="shared" ref="U42:U52" ca="1" si="46">(U8-G42)/(SUM($Q8:$Y8)-SUM($C42:$K42))*$P42</f>
        <v>3.1856000000000004</v>
      </c>
      <c r="V42" s="169">
        <f t="shared" ca="1" si="41"/>
        <v>4.7744000000000009</v>
      </c>
      <c r="W42" s="169">
        <f t="shared" ca="1" si="42"/>
        <v>4.8736000000000006</v>
      </c>
      <c r="X42" s="169">
        <f t="shared" ca="1" si="43"/>
        <v>3.5488</v>
      </c>
      <c r="Y42" s="169">
        <f t="shared" ca="1" si="44"/>
        <v>0.57120000000000004</v>
      </c>
      <c r="Z42" s="163" t="str">
        <f ca="1">IF(SUM(Q42:Y42)=P42, "reconciled","check")</f>
        <v>reconciled</v>
      </c>
    </row>
    <row r="43" spans="1:32" ht="13.15">
      <c r="A43" s="2"/>
      <c r="B43" s="159" t="str">
        <f t="shared" si="33"/>
        <v>HDD</v>
      </c>
      <c r="C43" s="159"/>
      <c r="D43" s="159"/>
      <c r="E43" s="159"/>
      <c r="F43" s="159"/>
      <c r="G43" s="159"/>
      <c r="H43" s="159"/>
      <c r="I43" s="159"/>
      <c r="J43" s="159"/>
      <c r="K43" s="159"/>
      <c r="L43" s="159">
        <f t="shared" si="34"/>
        <v>0</v>
      </c>
      <c r="M43" s="159"/>
      <c r="N43" s="2"/>
      <c r="O43" s="11" t="str">
        <f t="shared" si="35"/>
        <v>HDD</v>
      </c>
      <c r="P43" s="168">
        <f t="shared" ca="1" si="36"/>
        <v>0.56600000000000006</v>
      </c>
      <c r="Q43" s="167">
        <f t="shared" ca="1" si="37"/>
        <v>0</v>
      </c>
      <c r="R43" s="167">
        <f t="shared" ca="1" si="38"/>
        <v>0</v>
      </c>
      <c r="S43" s="167">
        <f t="shared" ca="1" si="39"/>
        <v>0</v>
      </c>
      <c r="T43" s="167">
        <f t="shared" ca="1" si="40"/>
        <v>0</v>
      </c>
      <c r="U43" s="169">
        <f t="shared" ca="1" si="46"/>
        <v>5.5000000000000007E-2</v>
      </c>
      <c r="V43" s="169">
        <f t="shared" ca="1" si="41"/>
        <v>5.5000000000000007E-2</v>
      </c>
      <c r="W43" s="169">
        <f t="shared" ca="1" si="42"/>
        <v>0.13900000000000001</v>
      </c>
      <c r="X43" s="169">
        <f t="shared" ca="1" si="43"/>
        <v>0.17100000000000001</v>
      </c>
      <c r="Y43" s="169">
        <f t="shared" ca="1" si="44"/>
        <v>0.14599999999999999</v>
      </c>
      <c r="Z43" s="163" t="str">
        <f t="shared" ca="1" si="45"/>
        <v>reconciled</v>
      </c>
    </row>
    <row r="44" spans="1:32" ht="13.15">
      <c r="A44" s="2"/>
      <c r="B44" s="159" t="str">
        <f t="shared" si="33"/>
        <v>NES</v>
      </c>
      <c r="C44" s="159"/>
      <c r="D44" s="159"/>
      <c r="E44" s="159"/>
      <c r="F44" s="159"/>
      <c r="G44" s="159"/>
      <c r="H44" s="159"/>
      <c r="I44" s="159"/>
      <c r="J44" s="159"/>
      <c r="K44" s="159"/>
      <c r="L44" s="159">
        <f t="shared" si="34"/>
        <v>0</v>
      </c>
      <c r="M44" s="159"/>
      <c r="N44" s="2"/>
      <c r="O44" s="11" t="str">
        <f t="shared" si="35"/>
        <v>NES</v>
      </c>
      <c r="P44" s="168">
        <f t="shared" ca="1" si="36"/>
        <v>31.265600000000006</v>
      </c>
      <c r="Q44" s="167">
        <f t="shared" ca="1" si="37"/>
        <v>0</v>
      </c>
      <c r="R44" s="167">
        <f t="shared" ca="1" si="38"/>
        <v>0</v>
      </c>
      <c r="S44" s="167">
        <f t="shared" ca="1" si="39"/>
        <v>0</v>
      </c>
      <c r="T44" s="167">
        <f t="shared" ca="1" si="40"/>
        <v>0</v>
      </c>
      <c r="U44" s="169">
        <f t="shared" ca="1" si="46"/>
        <v>5.3716799999999996</v>
      </c>
      <c r="V44" s="169">
        <f t="shared" ca="1" si="41"/>
        <v>6.4734800000000003</v>
      </c>
      <c r="W44" s="169">
        <f t="shared" ca="1" si="42"/>
        <v>6.4734800000000003</v>
      </c>
      <c r="X44" s="169">
        <f t="shared" ca="1" si="43"/>
        <v>6.4734800000000003</v>
      </c>
      <c r="Y44" s="169">
        <f t="shared" ca="1" si="44"/>
        <v>6.4734800000000003</v>
      </c>
      <c r="Z44" s="163" t="str">
        <f t="shared" ca="1" si="45"/>
        <v>reconciled</v>
      </c>
    </row>
    <row r="45" spans="1:32" ht="13.15">
      <c r="A45" s="2"/>
      <c r="B45" s="159" t="str">
        <f t="shared" si="33"/>
        <v>SVE</v>
      </c>
      <c r="C45" s="159"/>
      <c r="D45" s="159"/>
      <c r="E45" s="159"/>
      <c r="F45" s="159"/>
      <c r="G45" s="159"/>
      <c r="H45" s="159"/>
      <c r="I45" s="159"/>
      <c r="J45" s="159"/>
      <c r="K45" s="159"/>
      <c r="L45" s="159">
        <f t="shared" si="34"/>
        <v>0</v>
      </c>
      <c r="M45" s="159"/>
      <c r="N45" s="2"/>
      <c r="O45" s="11" t="str">
        <f t="shared" si="35"/>
        <v>SVE</v>
      </c>
      <c r="P45" s="168">
        <f t="shared" ca="1" si="36"/>
        <v>26.253561906402226</v>
      </c>
      <c r="Q45" s="167">
        <f t="shared" ca="1" si="37"/>
        <v>0</v>
      </c>
      <c r="R45" s="167">
        <f t="shared" ca="1" si="38"/>
        <v>0</v>
      </c>
      <c r="S45" s="167">
        <f t="shared" ca="1" si="39"/>
        <v>5.643126094345547E-2</v>
      </c>
      <c r="T45" s="167">
        <f t="shared" ca="1" si="40"/>
        <v>0</v>
      </c>
      <c r="U45" s="169">
        <f t="shared" ca="1" si="46"/>
        <v>2.4456396816332191</v>
      </c>
      <c r="V45" s="169">
        <f t="shared" ca="1" si="41"/>
        <v>2.5956780450566521</v>
      </c>
      <c r="W45" s="169">
        <f t="shared" ca="1" si="42"/>
        <v>4.0118995193230811</v>
      </c>
      <c r="X45" s="169">
        <f t="shared" ca="1" si="43"/>
        <v>7.1805980452856897</v>
      </c>
      <c r="Y45" s="169">
        <f t="shared" ca="1" si="44"/>
        <v>9.963315354160132</v>
      </c>
      <c r="Z45" s="163" t="str">
        <f t="shared" ca="1" si="45"/>
        <v>reconciled</v>
      </c>
    </row>
    <row r="46" spans="1:32" ht="13.15">
      <c r="A46" s="2"/>
      <c r="B46" s="159" t="str">
        <f t="shared" si="33"/>
        <v>SWB</v>
      </c>
      <c r="C46" s="159"/>
      <c r="D46" s="159"/>
      <c r="E46" s="159"/>
      <c r="F46" s="159"/>
      <c r="G46" s="159"/>
      <c r="H46" s="159"/>
      <c r="I46" s="159"/>
      <c r="J46" s="159"/>
      <c r="K46" s="159"/>
      <c r="L46" s="159">
        <f t="shared" si="34"/>
        <v>0</v>
      </c>
      <c r="M46" s="159"/>
      <c r="N46" s="2"/>
      <c r="O46" s="11" t="str">
        <f t="shared" si="35"/>
        <v>SWB</v>
      </c>
      <c r="P46" s="168">
        <f t="shared" ca="1" si="36"/>
        <v>10.097999999999999</v>
      </c>
      <c r="Q46" s="167">
        <f t="shared" ca="1" si="37"/>
        <v>0</v>
      </c>
      <c r="R46" s="167">
        <f t="shared" ca="1" si="38"/>
        <v>0</v>
      </c>
      <c r="S46" s="167">
        <f t="shared" ca="1" si="39"/>
        <v>0</v>
      </c>
      <c r="T46" s="167">
        <f t="shared" ca="1" si="40"/>
        <v>0</v>
      </c>
      <c r="U46" s="169">
        <f t="shared" ca="1" si="46"/>
        <v>2.0196000000000001</v>
      </c>
      <c r="V46" s="169">
        <f t="shared" ca="1" si="41"/>
        <v>2.0196000000000001</v>
      </c>
      <c r="W46" s="169">
        <f t="shared" ca="1" si="42"/>
        <v>2.0196000000000001</v>
      </c>
      <c r="X46" s="169">
        <f t="shared" ca="1" si="43"/>
        <v>2.0196000000000001</v>
      </c>
      <c r="Y46" s="169">
        <f t="shared" ca="1" si="44"/>
        <v>2.0196000000000001</v>
      </c>
      <c r="Z46" s="163" t="str">
        <f t="shared" ca="1" si="45"/>
        <v>reconciled</v>
      </c>
    </row>
    <row r="47" spans="1:32" ht="13.15">
      <c r="A47" s="2"/>
      <c r="B47" s="159" t="str">
        <f t="shared" si="33"/>
        <v>SRN</v>
      </c>
      <c r="C47" s="159"/>
      <c r="D47" s="159"/>
      <c r="E47" s="159"/>
      <c r="F47" s="159"/>
      <c r="G47" s="159"/>
      <c r="H47" s="159"/>
      <c r="I47" s="159"/>
      <c r="J47" s="159"/>
      <c r="K47" s="159"/>
      <c r="L47" s="159">
        <f t="shared" si="34"/>
        <v>0</v>
      </c>
      <c r="M47" s="159"/>
      <c r="N47" s="2"/>
      <c r="O47" s="11" t="str">
        <f t="shared" si="35"/>
        <v>SRN</v>
      </c>
      <c r="P47" s="168">
        <f t="shared" ca="1" si="36"/>
        <v>64.992900000000006</v>
      </c>
      <c r="Q47" s="167">
        <f t="shared" ca="1" si="37"/>
        <v>0</v>
      </c>
      <c r="R47" s="167">
        <f t="shared" ca="1" si="38"/>
        <v>0</v>
      </c>
      <c r="S47" s="167">
        <f t="shared" ca="1" si="39"/>
        <v>0</v>
      </c>
      <c r="T47" s="167">
        <f t="shared" ca="1" si="40"/>
        <v>0</v>
      </c>
      <c r="U47" s="169">
        <f t="shared" ca="1" si="46"/>
        <v>8.1087673861032066</v>
      </c>
      <c r="V47" s="169">
        <f t="shared" ca="1" si="41"/>
        <v>9.324918812803789</v>
      </c>
      <c r="W47" s="169">
        <f t="shared" ca="1" si="42"/>
        <v>9.5393412043216568</v>
      </c>
      <c r="X47" s="169">
        <f t="shared" ca="1" si="43"/>
        <v>10.485418626438664</v>
      </c>
      <c r="Y47" s="169">
        <f t="shared" ca="1" si="44"/>
        <v>27.534453970332688</v>
      </c>
      <c r="Z47" s="163" t="str">
        <f t="shared" ca="1" si="45"/>
        <v>reconciled</v>
      </c>
    </row>
    <row r="48" spans="1:32" ht="13.15">
      <c r="A48" s="2"/>
      <c r="B48" s="159" t="str">
        <f t="shared" si="33"/>
        <v>TMS</v>
      </c>
      <c r="C48" s="159"/>
      <c r="D48" s="159"/>
      <c r="E48" s="159"/>
      <c r="F48" s="159"/>
      <c r="G48" s="159"/>
      <c r="H48" s="159"/>
      <c r="I48" s="159"/>
      <c r="J48" s="159"/>
      <c r="K48" s="159"/>
      <c r="L48" s="159">
        <f t="shared" si="34"/>
        <v>0</v>
      </c>
      <c r="M48" s="159"/>
      <c r="N48" s="2"/>
      <c r="O48" s="11" t="str">
        <f t="shared" si="35"/>
        <v>TMS</v>
      </c>
      <c r="P48" s="168">
        <f t="shared" ca="1" si="36"/>
        <v>9.4304000000000023</v>
      </c>
      <c r="Q48" s="167">
        <f t="shared" ca="1" si="37"/>
        <v>0</v>
      </c>
      <c r="R48" s="167">
        <f t="shared" ca="1" si="38"/>
        <v>0</v>
      </c>
      <c r="S48" s="167">
        <f t="shared" ca="1" si="39"/>
        <v>0</v>
      </c>
      <c r="T48" s="167">
        <f t="shared" ca="1" si="40"/>
        <v>0</v>
      </c>
      <c r="U48" s="169">
        <f t="shared" ca="1" si="46"/>
        <v>3.7560000000000002</v>
      </c>
      <c r="V48" s="169">
        <f t="shared" ca="1" si="41"/>
        <v>3.7728000000000002</v>
      </c>
      <c r="W48" s="169">
        <f t="shared" ca="1" si="42"/>
        <v>0.94720000000000004</v>
      </c>
      <c r="X48" s="169">
        <f t="shared" ca="1" si="43"/>
        <v>0.47599999999999998</v>
      </c>
      <c r="Y48" s="169">
        <f t="shared" ca="1" si="44"/>
        <v>0.47839999999999999</v>
      </c>
      <c r="Z48" s="163" t="str">
        <f t="shared" ca="1" si="45"/>
        <v>reconciled</v>
      </c>
    </row>
    <row r="49" spans="1:26" ht="13.15">
      <c r="A49" s="2"/>
      <c r="B49" s="159" t="str">
        <f t="shared" si="33"/>
        <v>NWT</v>
      </c>
      <c r="C49" s="159"/>
      <c r="D49" s="159"/>
      <c r="E49" s="159"/>
      <c r="F49" s="159"/>
      <c r="G49" s="159"/>
      <c r="H49" s="159"/>
      <c r="I49" s="159"/>
      <c r="J49" s="159"/>
      <c r="K49" s="159"/>
      <c r="L49" s="159">
        <f t="shared" si="34"/>
        <v>0</v>
      </c>
      <c r="M49" s="159"/>
      <c r="N49" s="2"/>
      <c r="O49" s="11" t="str">
        <f t="shared" si="35"/>
        <v>NWT</v>
      </c>
      <c r="P49" s="168">
        <f t="shared" ca="1" si="36"/>
        <v>55.944800000000001</v>
      </c>
      <c r="Q49" s="167">
        <f t="shared" ca="1" si="37"/>
        <v>0</v>
      </c>
      <c r="R49" s="167">
        <f t="shared" ca="1" si="38"/>
        <v>0</v>
      </c>
      <c r="S49" s="167">
        <f t="shared" ca="1" si="39"/>
        <v>0</v>
      </c>
      <c r="T49" s="167">
        <f t="shared" ca="1" si="40"/>
        <v>0</v>
      </c>
      <c r="U49" s="169">
        <f t="shared" ca="1" si="46"/>
        <v>3.76127864</v>
      </c>
      <c r="V49" s="169">
        <f t="shared" ca="1" si="41"/>
        <v>3.81976432</v>
      </c>
      <c r="W49" s="169">
        <f t="shared" ca="1" si="42"/>
        <v>3.7772292800000002</v>
      </c>
      <c r="X49" s="169">
        <f t="shared" ca="1" si="43"/>
        <v>17.462878400000001</v>
      </c>
      <c r="Y49" s="169">
        <f t="shared" ca="1" si="44"/>
        <v>27.123649360000002</v>
      </c>
      <c r="Z49" s="163" t="str">
        <f t="shared" ca="1" si="45"/>
        <v>reconciled</v>
      </c>
    </row>
    <row r="50" spans="1:26" ht="13.15">
      <c r="A50" s="2"/>
      <c r="B50" s="159" t="str">
        <f t="shared" si="33"/>
        <v>WSX</v>
      </c>
      <c r="C50" s="159"/>
      <c r="D50" s="159"/>
      <c r="E50" s="159"/>
      <c r="F50" s="159"/>
      <c r="G50" s="159"/>
      <c r="H50" s="159"/>
      <c r="I50" s="159"/>
      <c r="J50" s="159"/>
      <c r="K50" s="159"/>
      <c r="L50" s="159">
        <f t="shared" si="34"/>
        <v>0</v>
      </c>
      <c r="M50" s="159"/>
      <c r="N50" s="2"/>
      <c r="O50" s="11" t="str">
        <f t="shared" si="35"/>
        <v>WSX</v>
      </c>
      <c r="P50" s="168">
        <f t="shared" ca="1" si="36"/>
        <v>19.975000000000001</v>
      </c>
      <c r="Q50" s="167">
        <f t="shared" ca="1" si="37"/>
        <v>0</v>
      </c>
      <c r="R50" s="167">
        <f t="shared" ca="1" si="38"/>
        <v>0</v>
      </c>
      <c r="S50" s="167">
        <f t="shared" ca="1" si="39"/>
        <v>0</v>
      </c>
      <c r="T50" s="167">
        <f t="shared" ca="1" si="40"/>
        <v>0</v>
      </c>
      <c r="U50" s="169">
        <f t="shared" ca="1" si="46"/>
        <v>3.3440496</v>
      </c>
      <c r="V50" s="169">
        <f t="shared" ca="1" si="41"/>
        <v>3.4504185999999999</v>
      </c>
      <c r="W50" s="169">
        <f t="shared" ca="1" si="42"/>
        <v>4.3470070999999999</v>
      </c>
      <c r="X50" s="169">
        <f t="shared" ca="1" si="43"/>
        <v>4.3691122</v>
      </c>
      <c r="Y50" s="169">
        <f t="shared" ca="1" si="44"/>
        <v>4.4644124999999999</v>
      </c>
      <c r="Z50" s="163" t="str">
        <f t="shared" ca="1" si="45"/>
        <v>reconciled</v>
      </c>
    </row>
    <row r="51" spans="1:26" ht="13.15">
      <c r="A51" s="2"/>
      <c r="B51" s="159" t="str">
        <f t="shared" si="33"/>
        <v>YKY</v>
      </c>
      <c r="C51" s="159"/>
      <c r="D51" s="159"/>
      <c r="E51" s="159"/>
      <c r="F51" s="159"/>
      <c r="G51" s="159"/>
      <c r="H51" s="159"/>
      <c r="I51" s="159"/>
      <c r="J51" s="159"/>
      <c r="K51" s="159"/>
      <c r="L51" s="159">
        <f t="shared" si="34"/>
        <v>0</v>
      </c>
      <c r="M51" s="159"/>
      <c r="N51" s="2"/>
      <c r="O51" s="11" t="str">
        <f t="shared" si="35"/>
        <v>YKY</v>
      </c>
      <c r="P51" s="168">
        <f t="shared" ca="1" si="36"/>
        <v>38.256211</v>
      </c>
      <c r="Q51" s="167">
        <f t="shared" ca="1" si="37"/>
        <v>0</v>
      </c>
      <c r="R51" s="167">
        <f t="shared" ca="1" si="38"/>
        <v>0</v>
      </c>
      <c r="S51" s="167">
        <f t="shared" ca="1" si="39"/>
        <v>0</v>
      </c>
      <c r="T51" s="167">
        <f t="shared" ca="1" si="40"/>
        <v>0</v>
      </c>
      <c r="U51" s="169">
        <f t="shared" ca="1" si="46"/>
        <v>6.6800070000000007</v>
      </c>
      <c r="V51" s="169">
        <f t="shared" ca="1" si="41"/>
        <v>8.998875</v>
      </c>
      <c r="W51" s="169">
        <f t="shared" ca="1" si="42"/>
        <v>9.3815639999999991</v>
      </c>
      <c r="X51" s="169">
        <f t="shared" ca="1" si="43"/>
        <v>7.8545970000000009</v>
      </c>
      <c r="Y51" s="169">
        <f t="shared" ca="1" si="44"/>
        <v>5.3411680000000006</v>
      </c>
      <c r="Z51" s="163" t="str">
        <f t="shared" ca="1" si="45"/>
        <v>reconciled</v>
      </c>
    </row>
    <row r="52" spans="1:26" ht="13.15">
      <c r="A52" s="2"/>
      <c r="B52" s="159" t="str">
        <f t="shared" si="33"/>
        <v>Total</v>
      </c>
      <c r="C52" s="159"/>
      <c r="D52" s="159"/>
      <c r="E52" s="159"/>
      <c r="F52" s="159"/>
      <c r="G52" s="159"/>
      <c r="H52" s="159"/>
      <c r="I52" s="159"/>
      <c r="J52" s="159"/>
      <c r="K52" s="159"/>
      <c r="L52" s="159">
        <f t="shared" si="34"/>
        <v>0</v>
      </c>
      <c r="M52" s="159"/>
      <c r="N52" s="2"/>
      <c r="O52" s="11" t="str">
        <f t="shared" si="35"/>
        <v>Total</v>
      </c>
      <c r="P52" s="168">
        <f t="shared" ca="1" si="36"/>
        <v>297.74957290640225</v>
      </c>
      <c r="Q52" s="167">
        <f t="shared" ca="1" si="37"/>
        <v>1.5749038751484768E-3</v>
      </c>
      <c r="R52" s="167">
        <f t="shared" ca="1" si="38"/>
        <v>0</v>
      </c>
      <c r="S52" s="167">
        <f t="shared" ca="1" si="39"/>
        <v>8.2234598773244891E-2</v>
      </c>
      <c r="T52" s="167">
        <f t="shared" ca="1" si="40"/>
        <v>0</v>
      </c>
      <c r="U52" s="169">
        <f t="shared" ca="1" si="46"/>
        <v>40.378840754640017</v>
      </c>
      <c r="V52" s="169">
        <f t="shared" ca="1" si="41"/>
        <v>49.610133239208515</v>
      </c>
      <c r="W52" s="169">
        <f t="shared" ca="1" si="42"/>
        <v>51.005220792206373</v>
      </c>
      <c r="X52" s="169">
        <f t="shared" ca="1" si="43"/>
        <v>65.443496341944311</v>
      </c>
      <c r="Y52" s="169">
        <f t="shared" ca="1" si="44"/>
        <v>91.22807227575467</v>
      </c>
      <c r="Z52" s="163" t="str">
        <f t="shared" ca="1" si="45"/>
        <v>reconciled</v>
      </c>
    </row>
  </sheetData>
  <mergeCells count="3">
    <mergeCell ref="A3:AF3"/>
    <mergeCell ref="A20:AF20"/>
    <mergeCell ref="A37:AF3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31DE-C2AB-47A2-ADC5-5997FF6D7879}">
  <sheetPr>
    <tabColor rgb="FF98C561"/>
  </sheetPr>
  <dimension ref="A1:P91"/>
  <sheetViews>
    <sheetView zoomScale="80" zoomScaleNormal="80" workbookViewId="0"/>
  </sheetViews>
  <sheetFormatPr defaultRowHeight="12.75"/>
  <cols>
    <col min="2" max="2" width="32.5703125" bestFit="1" customWidth="1"/>
    <col min="3" max="3" width="73.42578125" bestFit="1" customWidth="1"/>
  </cols>
  <sheetData>
    <row r="1" spans="1:16" ht="30.75">
      <c r="A1" s="1" t="e">
        <f ca="1" xml:space="preserve"> RIGHT(CELL("filename", $A$1), LEN(CELL("filename", $A$1)) - SEARCH("]", CELL("filename", $A$1)))</f>
        <v>#VALUE!</v>
      </c>
      <c r="B1" s="1"/>
      <c r="C1" s="1"/>
      <c r="D1" s="1"/>
      <c r="E1" s="1"/>
      <c r="F1" s="1"/>
      <c r="G1" s="1"/>
      <c r="H1" s="1"/>
      <c r="I1" s="1"/>
      <c r="J1" s="1"/>
      <c r="K1" s="1"/>
      <c r="L1" s="1"/>
      <c r="M1" s="1"/>
      <c r="N1" s="1"/>
      <c r="O1" s="1"/>
      <c r="P1" s="1"/>
    </row>
    <row r="2" spans="1:16" ht="13.15">
      <c r="A2" s="24"/>
      <c r="B2" s="24"/>
      <c r="C2" s="24" t="s">
        <v>2</v>
      </c>
      <c r="D2" s="24"/>
      <c r="E2" s="24"/>
      <c r="F2" s="24"/>
      <c r="G2" s="24"/>
      <c r="H2" s="24"/>
      <c r="I2" s="24"/>
      <c r="J2" s="24"/>
      <c r="K2" s="24"/>
      <c r="L2" s="24"/>
      <c r="M2" s="24"/>
    </row>
    <row r="3" spans="1:16" ht="13.15">
      <c r="A3" s="24" t="s">
        <v>67</v>
      </c>
      <c r="B3" s="24" t="s">
        <v>68</v>
      </c>
      <c r="C3" s="24" t="s">
        <v>69</v>
      </c>
      <c r="D3" s="24" t="s">
        <v>70</v>
      </c>
      <c r="E3" s="24" t="s">
        <v>71</v>
      </c>
      <c r="F3" s="24" t="s">
        <v>135</v>
      </c>
      <c r="G3" s="24" t="s">
        <v>72</v>
      </c>
      <c r="H3" s="24" t="s">
        <v>73</v>
      </c>
      <c r="I3" s="24" t="s">
        <v>74</v>
      </c>
      <c r="J3" s="24" t="s">
        <v>75</v>
      </c>
      <c r="K3" s="24" t="s">
        <v>76</v>
      </c>
      <c r="L3" s="24" t="s">
        <v>77</v>
      </c>
      <c r="M3" s="24" t="s">
        <v>78</v>
      </c>
    </row>
    <row r="4" spans="1:16">
      <c r="A4" t="s">
        <v>82</v>
      </c>
      <c r="B4" t="str">
        <f>CONCATENATE("C_", $C$2, "_ENH_WW_TOT")</f>
        <v>C_PR24CA28_ENH_WW_TOT</v>
      </c>
      <c r="C4" t="s">
        <v>440</v>
      </c>
      <c r="D4" t="s">
        <v>85</v>
      </c>
      <c r="E4" t="s">
        <v>79</v>
      </c>
      <c r="I4">
        <f ca="1" xml:space="preserve"> SUMIFS('Outputs to aggregator'!U$41:U$70, 'Outputs to aggregator'!$O$41:$O$70, $A4)</f>
        <v>2.5179999999999998</v>
      </c>
      <c r="J4">
        <f ca="1" xml:space="preserve"> SUMIFS('Outputs to aggregator'!V$41:V$70, 'Outputs to aggregator'!$O$41:$O$70, $A4)</f>
        <v>4.4944999999999995</v>
      </c>
      <c r="K4">
        <f ca="1" xml:space="preserve"> SUMIFS('Outputs to aggregator'!W$41:W$70, 'Outputs to aggregator'!$O$41:$O$70, $A4)</f>
        <v>5.5679999999999996</v>
      </c>
      <c r="L4">
        <f ca="1" xml:space="preserve"> SUMIFS('Outputs to aggregator'!X$41:X$70, 'Outputs to aggregator'!$O$41:$O$70, $A4)</f>
        <v>5.7809999999999997</v>
      </c>
      <c r="M4">
        <f ca="1" xml:space="preserve"> SUMIFS('Outputs to aggregator'!Y$41:Y$70, 'Outputs to aggregator'!$O$41:$O$70, $A4)</f>
        <v>5.6269999999999998</v>
      </c>
    </row>
    <row r="5" spans="1:16">
      <c r="A5" t="s">
        <v>82</v>
      </c>
      <c r="B5" t="str">
        <f>CONCATENATE("C_", $C$2, "_ENH_WW_AP")</f>
        <v>C_PR24CA28_ENH_WW_AP</v>
      </c>
      <c r="C5" t="s">
        <v>441</v>
      </c>
      <c r="D5" t="s">
        <v>85</v>
      </c>
      <c r="E5" t="s">
        <v>79</v>
      </c>
      <c r="G5">
        <f ca="1" xml:space="preserve"> SUMIFS('Outputs to aggregator'!$R$41:$R$52, 'Outputs to aggregator'!$O$41:$O$52, $A5)</f>
        <v>0</v>
      </c>
      <c r="H5">
        <f ca="1" xml:space="preserve"> SUMIFS('Outputs to aggregator'!$T$41:$T$52, 'Outputs to aggregator'!$O$41:$O$52, $A5)</f>
        <v>0</v>
      </c>
    </row>
    <row r="6" spans="1:16">
      <c r="A6" t="s">
        <v>82</v>
      </c>
      <c r="B6" t="str">
        <f>CONCATENATE("C_", $C$2, "_ENH_WW_TE")</f>
        <v>C_PR24CA28_ENH_WW_TE</v>
      </c>
      <c r="C6" t="s">
        <v>442</v>
      </c>
      <c r="D6" t="s">
        <v>85</v>
      </c>
      <c r="E6" t="s">
        <v>79</v>
      </c>
      <c r="G6">
        <f ca="1" xml:space="preserve"> SUMIFS('Outputs to aggregator'!$Q$41:$Q$52, 'Outputs to aggregator'!$O$41:$O$52, $A6)</f>
        <v>1E-3</v>
      </c>
      <c r="H6">
        <f ca="1" xml:space="preserve"> SUMIFS('Outputs to aggregator'!$S$41:$S$52, 'Outputs to aggregator'!$O$41:$O$52, $A6)</f>
        <v>2.4000000000000007E-2</v>
      </c>
    </row>
    <row r="7" spans="1:16">
      <c r="A7" t="s">
        <v>82</v>
      </c>
      <c r="B7" t="str">
        <f xml:space="preserve"> CONCATENATE("PR24QA_",  $C$2, "_OUT1")</f>
        <v>PR24QA_PR24CA28_OUT1</v>
      </c>
      <c r="C7" t="str">
        <f xml:space="preserve"> CONCATENATE("Date &amp; Time for Model - ", $C$2)</f>
        <v>Date &amp; Time for Model - PR24CA28</v>
      </c>
      <c r="D7" t="s">
        <v>443</v>
      </c>
      <c r="E7" t="s">
        <v>79</v>
      </c>
      <c r="F7" t="str">
        <f t="shared" ref="F7:M7" ca="1" si="0">CONCATENATE("[…]", TEXT(NOW(),"dd/mm/yyy hh:mm:ss"))</f>
        <v>[…]26/03/2025 10:07:56</v>
      </c>
      <c r="G7" t="str">
        <f t="shared" ca="1" si="0"/>
        <v>[…]26/03/2025 10:07:56</v>
      </c>
      <c r="H7" t="str">
        <f t="shared" ca="1" si="0"/>
        <v>[…]26/03/2025 10:07:56</v>
      </c>
      <c r="I7" t="str">
        <f t="shared" ca="1" si="0"/>
        <v>[…]26/03/2025 10:07:56</v>
      </c>
      <c r="J7" t="str">
        <f t="shared" ca="1" si="0"/>
        <v>[…]26/03/2025 10:07:56</v>
      </c>
      <c r="K7" t="str">
        <f t="shared" ca="1" si="0"/>
        <v>[…]26/03/2025 10:07:56</v>
      </c>
      <c r="L7" t="str">
        <f t="shared" ca="1" si="0"/>
        <v>[…]26/03/2025 10:07:56</v>
      </c>
      <c r="M7" t="str">
        <f t="shared" ca="1" si="0"/>
        <v>[…]26/03/2025 10:07:56</v>
      </c>
    </row>
    <row r="8" spans="1:16">
      <c r="A8" t="s">
        <v>82</v>
      </c>
      <c r="B8" t="str">
        <f xml:space="preserve"> CONCATENATE("PR24QA_",  $C$2, "_OUT2")</f>
        <v>PR24QA_PR24CA28_OUT2</v>
      </c>
      <c r="C8" t="str">
        <f xml:space="preserve"> CONCATENATE("Name of Model - ", $C$2)</f>
        <v>Name of Model - PR24CA28</v>
      </c>
      <c r="D8" t="s">
        <v>443</v>
      </c>
      <c r="E8" t="s">
        <v>79</v>
      </c>
      <c r="F8" t="e">
        <f t="shared" ref="F8:M8" ca="1" si="1">MID(CELL("filename"),SEARCH("[",CELL("filename"))+1,SEARCH("]",CELL("filename"))-SEARCH("[",CELL("filename"))-1)</f>
        <v>#VALUE!</v>
      </c>
      <c r="G8" t="e">
        <f t="shared" ca="1" si="1"/>
        <v>#VALUE!</v>
      </c>
      <c r="H8" t="e">
        <f t="shared" ca="1" si="1"/>
        <v>#VALUE!</v>
      </c>
      <c r="I8" t="e">
        <f t="shared" ca="1" si="1"/>
        <v>#VALUE!</v>
      </c>
      <c r="J8" t="e">
        <f t="shared" ca="1" si="1"/>
        <v>#VALUE!</v>
      </c>
      <c r="K8" t="e">
        <f t="shared" ca="1" si="1"/>
        <v>#VALUE!</v>
      </c>
      <c r="L8" t="e">
        <f t="shared" ca="1" si="1"/>
        <v>#VALUE!</v>
      </c>
      <c r="M8" t="e">
        <f t="shared" ca="1" si="1"/>
        <v>#VALUE!</v>
      </c>
    </row>
    <row r="9" spans="1:16">
      <c r="A9" t="s">
        <v>82</v>
      </c>
      <c r="B9" t="str">
        <f xml:space="preserve"> CONCATENATE("PR24QA_",  $C$2, "_OUT3")</f>
        <v>PR24QA_PR24CA28_OUT3</v>
      </c>
      <c r="C9" t="str">
        <f xml:space="preserve"> CONCATENATE("F_Inputs time stamp - ", $C$2)</f>
        <v>F_Inputs time stamp - PR24CA28</v>
      </c>
      <c r="D9" t="s">
        <v>443</v>
      </c>
      <c r="E9" t="s">
        <v>79</v>
      </c>
      <c r="F9" t="str">
        <f>F_Inputs!$E$2</f>
        <v>Run on 05 Sep 2024 9:10</v>
      </c>
      <c r="G9" t="str">
        <f>F_Inputs!$E$2</f>
        <v>Run on 05 Sep 2024 9:10</v>
      </c>
      <c r="H9" t="str">
        <f>F_Inputs!$E$2</f>
        <v>Run on 05 Sep 2024 9:10</v>
      </c>
      <c r="I9" t="str">
        <f>F_Inputs!$E$2</f>
        <v>Run on 05 Sep 2024 9:10</v>
      </c>
      <c r="J9" t="str">
        <f>F_Inputs!$E$2</f>
        <v>Run on 05 Sep 2024 9:10</v>
      </c>
      <c r="K9" t="str">
        <f>F_Inputs!$E$2</f>
        <v>Run on 05 Sep 2024 9:10</v>
      </c>
      <c r="L9" t="str">
        <f>F_Inputs!$E$2</f>
        <v>Run on 05 Sep 2024 9:10</v>
      </c>
      <c r="M9" t="str">
        <f>F_Inputs!$E$2</f>
        <v>Run on 05 Sep 2024 9:10</v>
      </c>
    </row>
    <row r="10" spans="1:16">
      <c r="A10" t="s">
        <v>82</v>
      </c>
      <c r="B10" t="str">
        <f xml:space="preserve"> CONCATENATE("PR24QA_",  $C$2, "_OUT4")</f>
        <v>PR24QA_PR24CA28_OUT4</v>
      </c>
      <c r="C10" t="str">
        <f xml:space="preserve"> CONCATENATE("Model override switch for - ", $C$2)</f>
        <v>Model override switch for - PR24CA28</v>
      </c>
      <c r="D10" t="s">
        <v>99</v>
      </c>
      <c r="E10" t="s">
        <v>79</v>
      </c>
      <c r="F10">
        <f>IF(SUM('F_Input Override'!$E$5:$K$160)&gt;0,1,0)</f>
        <v>1</v>
      </c>
      <c r="G10">
        <f>IF(SUM('F_Input Override'!$E$5:$K$160)&gt;0,1,0)</f>
        <v>1</v>
      </c>
      <c r="H10">
        <f>IF(SUM('F_Input Override'!$E$5:$K$160)&gt;0,1,0)</f>
        <v>1</v>
      </c>
      <c r="I10">
        <f>IF(SUM('F_Input Override'!$E$5:$K$160)&gt;0,1,0)</f>
        <v>1</v>
      </c>
      <c r="J10">
        <f>IF(SUM('F_Input Override'!$E$5:$K$160)&gt;0,1,0)</f>
        <v>1</v>
      </c>
      <c r="K10">
        <f>IF(SUM('F_Input Override'!$E$5:$K$160)&gt;0,1,0)</f>
        <v>1</v>
      </c>
      <c r="L10">
        <f>IF(SUM('F_Input Override'!$E$5:$K$160)&gt;0,1,0)</f>
        <v>1</v>
      </c>
      <c r="M10">
        <f>IF(SUM('F_Input Override'!$E$5:$K$160)&gt;0,1,0)</f>
        <v>1</v>
      </c>
    </row>
    <row r="11" spans="1:16">
      <c r="A11" t="s">
        <v>82</v>
      </c>
      <c r="B11" t="str">
        <f>CONCATENATE("C_", $C$2, "_ENH_WW_ASSESSED")</f>
        <v>C_PR24CA28_ENH_WW_ASSESSED</v>
      </c>
      <c r="C11" t="str">
        <f>CONCATENATE("Total amount assessed - ", MID($C$4,31,200))</f>
        <v>Total amount assessed - Wastewater - MCERTS PS EO - Totex</v>
      </c>
      <c r="D11" s="37" t="s">
        <v>85</v>
      </c>
      <c r="E11" t="s">
        <v>79</v>
      </c>
      <c r="F11">
        <f ca="1" xml:space="preserve"> SUMIFS(Allowance!$E$13:$E$23, Allowance!$B$13:$B$23, A11)</f>
        <v>48.026999999999994</v>
      </c>
    </row>
    <row r="12" spans="1:16">
      <c r="A12" t="s">
        <v>107</v>
      </c>
      <c r="B12" t="str">
        <f>CONCATENATE("C_", $C$2, "_ENH_WW_TOT")</f>
        <v>C_PR24CA28_ENH_WW_TOT</v>
      </c>
      <c r="C12" t="str">
        <f xml:space="preserve"> $C$4</f>
        <v>Total enhancement allowance - Wastewater - MCERTS PS EO - Totex</v>
      </c>
      <c r="D12" t="s">
        <v>85</v>
      </c>
      <c r="E12" t="s">
        <v>79</v>
      </c>
      <c r="I12">
        <f ca="1" xml:space="preserve"> SUMIFS('Outputs to aggregator'!U$41:U$70, 'Outputs to aggregator'!$O$41:$O$70, $A12)</f>
        <v>5.5000000000000007E-2</v>
      </c>
      <c r="J12">
        <f ca="1" xml:space="preserve"> SUMIFS('Outputs to aggregator'!V$41:V$70, 'Outputs to aggregator'!$O$41:$O$70, $A12)</f>
        <v>5.5000000000000007E-2</v>
      </c>
      <c r="K12">
        <f ca="1" xml:space="preserve"> SUMIFS('Outputs to aggregator'!W$41:W$70, 'Outputs to aggregator'!$O$41:$O$70, $A12)</f>
        <v>0.13900000000000001</v>
      </c>
      <c r="L12">
        <f ca="1" xml:space="preserve"> SUMIFS('Outputs to aggregator'!X$41:X$70, 'Outputs to aggregator'!$O$41:$O$70, $A12)</f>
        <v>0.17100000000000001</v>
      </c>
      <c r="M12">
        <f ca="1" xml:space="preserve"> SUMIFS('Outputs to aggregator'!Y$41:Y$70, 'Outputs to aggregator'!$O$41:$O$70, $A12)</f>
        <v>0.14599999999999999</v>
      </c>
    </row>
    <row r="13" spans="1:16">
      <c r="A13" t="s">
        <v>107</v>
      </c>
      <c r="B13" t="str">
        <f>CONCATENATE("C_", $C$2, "_ENH_WW_AP")</f>
        <v>C_PR24CA28_ENH_WW_AP</v>
      </c>
      <c r="C13" t="str">
        <f xml:space="preserve"> $C$5</f>
        <v>Total enhancement allowance - Wastewater - MCERTS PS EO - Accelerated programme</v>
      </c>
      <c r="D13" t="s">
        <v>85</v>
      </c>
      <c r="E13" t="s">
        <v>79</v>
      </c>
      <c r="G13">
        <f ca="1" xml:space="preserve"> SUMIFS('Outputs to aggregator'!$R$41:$R$52, 'Outputs to aggregator'!$O$41:$O$52, $A13)</f>
        <v>0</v>
      </c>
      <c r="H13">
        <f ca="1" xml:space="preserve"> SUMIFS('Outputs to aggregator'!$T$41:$T$52, 'Outputs to aggregator'!$O$41:$O$52, $A13)</f>
        <v>0</v>
      </c>
    </row>
    <row r="14" spans="1:16">
      <c r="A14" t="s">
        <v>107</v>
      </c>
      <c r="B14" t="str">
        <f>CONCATENATE("C_", $C$2, "_ENH_WW_TE")</f>
        <v>C_PR24CA28_ENH_WW_TE</v>
      </c>
      <c r="C14" t="str">
        <f xml:space="preserve"> $C$6</f>
        <v>Total enhancement allowance - Wastewater - MCERTS PS EO - Transition allowance</v>
      </c>
      <c r="D14" t="s">
        <v>85</v>
      </c>
      <c r="E14" t="s">
        <v>79</v>
      </c>
      <c r="G14">
        <f ca="1" xml:space="preserve"> SUMIFS('Outputs to aggregator'!$Q$41:$Q$52, 'Outputs to aggregator'!$O$41:$O$52, $A14)</f>
        <v>0</v>
      </c>
      <c r="H14">
        <f ca="1" xml:space="preserve"> SUMIFS('Outputs to aggregator'!$S$41:$S$52, 'Outputs to aggregator'!$O$41:$O$52, $A14)</f>
        <v>0</v>
      </c>
    </row>
    <row r="15" spans="1:16">
      <c r="A15" t="s">
        <v>107</v>
      </c>
      <c r="B15" t="str">
        <f xml:space="preserve"> CONCATENATE("PR24QA_",  $C$2, "_OUT1")</f>
        <v>PR24QA_PR24CA28_OUT1</v>
      </c>
      <c r="C15" t="str">
        <f xml:space="preserve"> CONCATENATE("Date &amp; Time for Model - ", $C$2)</f>
        <v>Date &amp; Time for Model - PR24CA28</v>
      </c>
      <c r="D15" t="s">
        <v>443</v>
      </c>
      <c r="E15" t="s">
        <v>79</v>
      </c>
      <c r="F15" t="str">
        <f t="shared" ref="F15:M15" ca="1" si="2">CONCATENATE("[…]", TEXT(NOW(),"dd/mm/yyy hh:mm:ss"))</f>
        <v>[…]26/03/2025 10:07:56</v>
      </c>
      <c r="G15" t="str">
        <f t="shared" ca="1" si="2"/>
        <v>[…]26/03/2025 10:07:56</v>
      </c>
      <c r="H15" t="str">
        <f t="shared" ca="1" si="2"/>
        <v>[…]26/03/2025 10:07:56</v>
      </c>
      <c r="I15" t="str">
        <f t="shared" ca="1" si="2"/>
        <v>[…]26/03/2025 10:07:56</v>
      </c>
      <c r="J15" t="str">
        <f t="shared" ca="1" si="2"/>
        <v>[…]26/03/2025 10:07:56</v>
      </c>
      <c r="K15" t="str">
        <f t="shared" ca="1" si="2"/>
        <v>[…]26/03/2025 10:07:56</v>
      </c>
      <c r="L15" t="str">
        <f t="shared" ca="1" si="2"/>
        <v>[…]26/03/2025 10:07:56</v>
      </c>
      <c r="M15" t="str">
        <f t="shared" ca="1" si="2"/>
        <v>[…]26/03/2025 10:07:56</v>
      </c>
    </row>
    <row r="16" spans="1:16">
      <c r="A16" t="s">
        <v>107</v>
      </c>
      <c r="B16" t="str">
        <f xml:space="preserve"> CONCATENATE("PR24QA_",  $C$2, "_OUT2")</f>
        <v>PR24QA_PR24CA28_OUT2</v>
      </c>
      <c r="C16" t="str">
        <f xml:space="preserve"> CONCATENATE("Name of Model - ", $C$2)</f>
        <v>Name of Model - PR24CA28</v>
      </c>
      <c r="D16" t="s">
        <v>443</v>
      </c>
      <c r="E16" t="s">
        <v>79</v>
      </c>
      <c r="F16" t="e">
        <f t="shared" ref="F16:M16" ca="1" si="3">MID(CELL("filename"),SEARCH("[",CELL("filename"))+1,SEARCH("]",CELL("filename"))-SEARCH("[",CELL("filename"))-1)</f>
        <v>#VALUE!</v>
      </c>
      <c r="G16" t="e">
        <f t="shared" ca="1" si="3"/>
        <v>#VALUE!</v>
      </c>
      <c r="H16" t="e">
        <f t="shared" ca="1" si="3"/>
        <v>#VALUE!</v>
      </c>
      <c r="I16" t="e">
        <f t="shared" ca="1" si="3"/>
        <v>#VALUE!</v>
      </c>
      <c r="J16" t="e">
        <f t="shared" ca="1" si="3"/>
        <v>#VALUE!</v>
      </c>
      <c r="K16" t="e">
        <f t="shared" ca="1" si="3"/>
        <v>#VALUE!</v>
      </c>
      <c r="L16" t="e">
        <f t="shared" ca="1" si="3"/>
        <v>#VALUE!</v>
      </c>
      <c r="M16" t="e">
        <f t="shared" ca="1" si="3"/>
        <v>#VALUE!</v>
      </c>
    </row>
    <row r="17" spans="1:13">
      <c r="A17" t="s">
        <v>107</v>
      </c>
      <c r="B17" t="str">
        <f xml:space="preserve"> CONCATENATE("PR24QA_",  $C$2, "_OUT3")</f>
        <v>PR24QA_PR24CA28_OUT3</v>
      </c>
      <c r="C17" t="str">
        <f xml:space="preserve"> CONCATENATE("F_Inputs time stamp - ", $C$2)</f>
        <v>F_Inputs time stamp - PR24CA28</v>
      </c>
      <c r="D17" t="s">
        <v>443</v>
      </c>
      <c r="E17" t="s">
        <v>79</v>
      </c>
      <c r="F17" t="str">
        <f>F_Inputs!$E$2</f>
        <v>Run on 05 Sep 2024 9:10</v>
      </c>
      <c r="G17" t="str">
        <f>F_Inputs!$E$2</f>
        <v>Run on 05 Sep 2024 9:10</v>
      </c>
      <c r="H17" t="str">
        <f>F_Inputs!$E$2</f>
        <v>Run on 05 Sep 2024 9:10</v>
      </c>
      <c r="I17" t="str">
        <f>F_Inputs!$E$2</f>
        <v>Run on 05 Sep 2024 9:10</v>
      </c>
      <c r="J17" t="str">
        <f>F_Inputs!$E$2</f>
        <v>Run on 05 Sep 2024 9:10</v>
      </c>
      <c r="K17" t="str">
        <f>F_Inputs!$E$2</f>
        <v>Run on 05 Sep 2024 9:10</v>
      </c>
      <c r="L17" t="str">
        <f>F_Inputs!$E$2</f>
        <v>Run on 05 Sep 2024 9:10</v>
      </c>
      <c r="M17" t="str">
        <f>F_Inputs!$E$2</f>
        <v>Run on 05 Sep 2024 9:10</v>
      </c>
    </row>
    <row r="18" spans="1:13">
      <c r="A18" t="s">
        <v>107</v>
      </c>
      <c r="B18" t="str">
        <f xml:space="preserve"> CONCATENATE("PR24QA_",  $C$2, "_OUT4")</f>
        <v>PR24QA_PR24CA28_OUT4</v>
      </c>
      <c r="C18" t="str">
        <f xml:space="preserve"> CONCATENATE("Model override switch for - ", $C$2)</f>
        <v>Model override switch for - PR24CA28</v>
      </c>
      <c r="D18" t="s">
        <v>99</v>
      </c>
      <c r="E18" t="s">
        <v>79</v>
      </c>
      <c r="F18">
        <f>IF(SUM('F_Input Override'!$E$5:$K$160)&gt;0,1,0)</f>
        <v>1</v>
      </c>
      <c r="G18">
        <f>IF(SUM('F_Input Override'!$E$5:$K$160)&gt;0,1,0)</f>
        <v>1</v>
      </c>
      <c r="H18">
        <f>IF(SUM('F_Input Override'!$E$5:$K$160)&gt;0,1,0)</f>
        <v>1</v>
      </c>
      <c r="I18">
        <f>IF(SUM('F_Input Override'!$E$5:$K$160)&gt;0,1,0)</f>
        <v>1</v>
      </c>
      <c r="J18">
        <f>IF(SUM('F_Input Override'!$E$5:$K$160)&gt;0,1,0)</f>
        <v>1</v>
      </c>
      <c r="K18">
        <f>IF(SUM('F_Input Override'!$E$5:$K$160)&gt;0,1,0)</f>
        <v>1</v>
      </c>
      <c r="L18">
        <f>IF(SUM('F_Input Override'!$E$5:$K$160)&gt;0,1,0)</f>
        <v>1</v>
      </c>
      <c r="M18">
        <f>IF(SUM('F_Input Override'!$E$5:$K$160)&gt;0,1,0)</f>
        <v>1</v>
      </c>
    </row>
    <row r="19" spans="1:13">
      <c r="A19" t="s">
        <v>107</v>
      </c>
      <c r="B19" t="str">
        <f>CONCATENATE("C_", $C$2, "_ENH_WW_ASSESSED")</f>
        <v>C_PR24CA28_ENH_WW_ASSESSED</v>
      </c>
      <c r="C19" t="str">
        <f>CONCATENATE("Total amount assessed - ", MID($C$4,31,200))</f>
        <v>Total amount assessed - Wastewater - MCERTS PS EO - Totex</v>
      </c>
      <c r="D19" s="37" t="s">
        <v>85</v>
      </c>
      <c r="E19" t="s">
        <v>79</v>
      </c>
      <c r="F19">
        <f ca="1" xml:space="preserve"> SUMIFS(Allowance!$E$13:$E$23, Allowance!$B$13:$B$23, A19)</f>
        <v>0.56600000000000006</v>
      </c>
    </row>
    <row r="20" spans="1:13">
      <c r="A20" t="s">
        <v>108</v>
      </c>
      <c r="B20" t="str">
        <f>CONCATENATE("C_", $C$2, "_ENH_WW_TOT")</f>
        <v>C_PR24CA28_ENH_WW_TOT</v>
      </c>
      <c r="C20" t="str">
        <f xml:space="preserve"> $C$4</f>
        <v>Total enhancement allowance - Wastewater - MCERTS PS EO - Totex</v>
      </c>
      <c r="D20" t="s">
        <v>85</v>
      </c>
      <c r="E20" t="s">
        <v>79</v>
      </c>
      <c r="I20">
        <f ca="1" xml:space="preserve"> SUMIFS('Outputs to aggregator'!U$41:U$70, 'Outputs to aggregator'!$O$41:$O$70, $A20)</f>
        <v>5.3716799999999996</v>
      </c>
      <c r="J20">
        <f ca="1" xml:space="preserve"> SUMIFS('Outputs to aggregator'!V$41:V$70, 'Outputs to aggregator'!$O$41:$O$70, $A20)</f>
        <v>6.4734800000000003</v>
      </c>
      <c r="K20">
        <f ca="1" xml:space="preserve"> SUMIFS('Outputs to aggregator'!W$41:W$70, 'Outputs to aggregator'!$O$41:$O$70, $A20)</f>
        <v>6.4734800000000003</v>
      </c>
      <c r="L20">
        <f ca="1" xml:space="preserve"> SUMIFS('Outputs to aggregator'!X$41:X$70, 'Outputs to aggregator'!$O$41:$O$70, $A20)</f>
        <v>6.4734800000000003</v>
      </c>
      <c r="M20">
        <f ca="1" xml:space="preserve"> SUMIFS('Outputs to aggregator'!Y$41:Y$70, 'Outputs to aggregator'!$O$41:$O$70, $A20)</f>
        <v>6.4734800000000003</v>
      </c>
    </row>
    <row r="21" spans="1:13">
      <c r="A21" t="s">
        <v>108</v>
      </c>
      <c r="B21" t="str">
        <f>CONCATENATE("C_", $C$2, "_ENH_WW_AP")</f>
        <v>C_PR24CA28_ENH_WW_AP</v>
      </c>
      <c r="C21" t="str">
        <f xml:space="preserve"> $C$5</f>
        <v>Total enhancement allowance - Wastewater - MCERTS PS EO - Accelerated programme</v>
      </c>
      <c r="D21" t="s">
        <v>85</v>
      </c>
      <c r="E21" t="s">
        <v>79</v>
      </c>
      <c r="G21">
        <f ca="1" xml:space="preserve"> SUMIFS('Outputs to aggregator'!$R$41:$R$52, 'Outputs to aggregator'!$O$41:$O$52, $A21)</f>
        <v>0</v>
      </c>
      <c r="H21">
        <f ca="1" xml:space="preserve"> SUMIFS('Outputs to aggregator'!$T$41:$T$52, 'Outputs to aggregator'!$O$41:$O$52, $A21)</f>
        <v>0</v>
      </c>
    </row>
    <row r="22" spans="1:13">
      <c r="A22" t="s">
        <v>108</v>
      </c>
      <c r="B22" t="str">
        <f>CONCATENATE("C_", $C$2, "_ENH_WW_TE")</f>
        <v>C_PR24CA28_ENH_WW_TE</v>
      </c>
      <c r="C22" t="str">
        <f xml:space="preserve"> $C$6</f>
        <v>Total enhancement allowance - Wastewater - MCERTS PS EO - Transition allowance</v>
      </c>
      <c r="D22" t="s">
        <v>85</v>
      </c>
      <c r="E22" t="s">
        <v>79</v>
      </c>
      <c r="G22">
        <f ca="1" xml:space="preserve"> SUMIFS('Outputs to aggregator'!$Q$41:$Q$52, 'Outputs to aggregator'!$O$41:$O$52, $A22)</f>
        <v>0</v>
      </c>
      <c r="H22">
        <f ca="1" xml:space="preserve"> SUMIFS('Outputs to aggregator'!$S$41:$S$52, 'Outputs to aggregator'!$O$41:$O$52, $A22)</f>
        <v>0</v>
      </c>
    </row>
    <row r="23" spans="1:13">
      <c r="A23" t="s">
        <v>108</v>
      </c>
      <c r="B23" t="str">
        <f xml:space="preserve"> CONCATENATE("PR24QA_",  $C$2, "_OUT1")</f>
        <v>PR24QA_PR24CA28_OUT1</v>
      </c>
      <c r="C23" t="str">
        <f xml:space="preserve"> CONCATENATE("Date &amp; Time for Model - ", $C$2)</f>
        <v>Date &amp; Time for Model - PR24CA28</v>
      </c>
      <c r="D23" t="s">
        <v>443</v>
      </c>
      <c r="E23" t="s">
        <v>79</v>
      </c>
      <c r="F23" t="str">
        <f t="shared" ref="F23:M23" ca="1" si="4">CONCATENATE("[…]", TEXT(NOW(),"dd/mm/yyy hh:mm:ss"))</f>
        <v>[…]26/03/2025 10:07:56</v>
      </c>
      <c r="G23" t="str">
        <f t="shared" ca="1" si="4"/>
        <v>[…]26/03/2025 10:07:56</v>
      </c>
      <c r="H23" t="str">
        <f t="shared" ca="1" si="4"/>
        <v>[…]26/03/2025 10:07:56</v>
      </c>
      <c r="I23" t="str">
        <f t="shared" ca="1" si="4"/>
        <v>[…]26/03/2025 10:07:56</v>
      </c>
      <c r="J23" t="str">
        <f t="shared" ca="1" si="4"/>
        <v>[…]26/03/2025 10:07:56</v>
      </c>
      <c r="K23" t="str">
        <f t="shared" ca="1" si="4"/>
        <v>[…]26/03/2025 10:07:56</v>
      </c>
      <c r="L23" t="str">
        <f t="shared" ca="1" si="4"/>
        <v>[…]26/03/2025 10:07:56</v>
      </c>
      <c r="M23" t="str">
        <f t="shared" ca="1" si="4"/>
        <v>[…]26/03/2025 10:07:56</v>
      </c>
    </row>
    <row r="24" spans="1:13">
      <c r="A24" t="s">
        <v>108</v>
      </c>
      <c r="B24" t="str">
        <f xml:space="preserve"> CONCATENATE("PR24QA_",  $C$2, "_OUT2")</f>
        <v>PR24QA_PR24CA28_OUT2</v>
      </c>
      <c r="C24" t="str">
        <f xml:space="preserve"> CONCATENATE("Name of Model - ", $C$2)</f>
        <v>Name of Model - PR24CA28</v>
      </c>
      <c r="D24" t="s">
        <v>443</v>
      </c>
      <c r="E24" t="s">
        <v>79</v>
      </c>
      <c r="F24" t="e">
        <f t="shared" ref="F24:M24" ca="1" si="5">MID(CELL("filename"),SEARCH("[",CELL("filename"))+1,SEARCH("]",CELL("filename"))-SEARCH("[",CELL("filename"))-1)</f>
        <v>#VALUE!</v>
      </c>
      <c r="G24" t="e">
        <f t="shared" ca="1" si="5"/>
        <v>#VALUE!</v>
      </c>
      <c r="H24" t="e">
        <f t="shared" ca="1" si="5"/>
        <v>#VALUE!</v>
      </c>
      <c r="I24" t="e">
        <f t="shared" ca="1" si="5"/>
        <v>#VALUE!</v>
      </c>
      <c r="J24" t="e">
        <f t="shared" ca="1" si="5"/>
        <v>#VALUE!</v>
      </c>
      <c r="K24" t="e">
        <f t="shared" ca="1" si="5"/>
        <v>#VALUE!</v>
      </c>
      <c r="L24" t="e">
        <f t="shared" ca="1" si="5"/>
        <v>#VALUE!</v>
      </c>
      <c r="M24" t="e">
        <f t="shared" ca="1" si="5"/>
        <v>#VALUE!</v>
      </c>
    </row>
    <row r="25" spans="1:13">
      <c r="A25" t="s">
        <v>108</v>
      </c>
      <c r="B25" t="str">
        <f xml:space="preserve"> CONCATENATE("PR24QA_",  $C$2, "_OUT3")</f>
        <v>PR24QA_PR24CA28_OUT3</v>
      </c>
      <c r="C25" t="str">
        <f xml:space="preserve"> CONCATENATE("F_Inputs time stamp - ", $C$2)</f>
        <v>F_Inputs time stamp - PR24CA28</v>
      </c>
      <c r="D25" t="s">
        <v>443</v>
      </c>
      <c r="E25" t="s">
        <v>79</v>
      </c>
      <c r="F25" t="str">
        <f>F_Inputs!$E$2</f>
        <v>Run on 05 Sep 2024 9:10</v>
      </c>
      <c r="G25" t="str">
        <f>F_Inputs!$E$2</f>
        <v>Run on 05 Sep 2024 9:10</v>
      </c>
      <c r="H25" t="str">
        <f>F_Inputs!$E$2</f>
        <v>Run on 05 Sep 2024 9:10</v>
      </c>
      <c r="I25" t="str">
        <f>F_Inputs!$E$2</f>
        <v>Run on 05 Sep 2024 9:10</v>
      </c>
      <c r="J25" t="str">
        <f>F_Inputs!$E$2</f>
        <v>Run on 05 Sep 2024 9:10</v>
      </c>
      <c r="K25" t="str">
        <f>F_Inputs!$E$2</f>
        <v>Run on 05 Sep 2024 9:10</v>
      </c>
      <c r="L25" t="str">
        <f>F_Inputs!$E$2</f>
        <v>Run on 05 Sep 2024 9:10</v>
      </c>
      <c r="M25" t="str">
        <f>F_Inputs!$E$2</f>
        <v>Run on 05 Sep 2024 9:10</v>
      </c>
    </row>
    <row r="26" spans="1:13">
      <c r="A26" t="s">
        <v>108</v>
      </c>
      <c r="B26" t="str">
        <f xml:space="preserve"> CONCATENATE("PR24QA_",  $C$2, "_OUT4")</f>
        <v>PR24QA_PR24CA28_OUT4</v>
      </c>
      <c r="C26" t="str">
        <f xml:space="preserve"> CONCATENATE("Model override switch for - ", $C$2)</f>
        <v>Model override switch for - PR24CA28</v>
      </c>
      <c r="D26" t="s">
        <v>99</v>
      </c>
      <c r="E26" t="s">
        <v>79</v>
      </c>
      <c r="F26">
        <f>IF(SUM('F_Input Override'!$E$5:$K$160)&gt;0,1,0)</f>
        <v>1</v>
      </c>
      <c r="G26">
        <f>IF(SUM('F_Input Override'!$E$5:$K$160)&gt;0,1,0)</f>
        <v>1</v>
      </c>
      <c r="H26">
        <f>IF(SUM('F_Input Override'!$E$5:$K$160)&gt;0,1,0)</f>
        <v>1</v>
      </c>
      <c r="I26">
        <f>IF(SUM('F_Input Override'!$E$5:$K$160)&gt;0,1,0)</f>
        <v>1</v>
      </c>
      <c r="J26">
        <f>IF(SUM('F_Input Override'!$E$5:$K$160)&gt;0,1,0)</f>
        <v>1</v>
      </c>
      <c r="K26">
        <f>IF(SUM('F_Input Override'!$E$5:$K$160)&gt;0,1,0)</f>
        <v>1</v>
      </c>
      <c r="L26">
        <f>IF(SUM('F_Input Override'!$E$5:$K$160)&gt;0,1,0)</f>
        <v>1</v>
      </c>
      <c r="M26">
        <f>IF(SUM('F_Input Override'!$E$5:$K$160)&gt;0,1,0)</f>
        <v>1</v>
      </c>
    </row>
    <row r="27" spans="1:13">
      <c r="A27" t="s">
        <v>108</v>
      </c>
      <c r="B27" t="str">
        <f>CONCATENATE("C_", $C$2, "_ENH_WW_ASSESSED")</f>
        <v>C_PR24CA28_ENH_WW_ASSESSED</v>
      </c>
      <c r="C27" t="str">
        <f>CONCATENATE("Total amount assessed - ", MID($C$4,31,200))</f>
        <v>Total amount assessed - Wastewater - MCERTS PS EO - Totex</v>
      </c>
      <c r="D27" s="37" t="s">
        <v>85</v>
      </c>
      <c r="E27" t="s">
        <v>79</v>
      </c>
      <c r="F27">
        <f ca="1" xml:space="preserve"> SUMIFS(Allowance!$E$13:$E$23, Allowance!$B$13:$B$23, A27)</f>
        <v>39.082000000000008</v>
      </c>
    </row>
    <row r="28" spans="1:13">
      <c r="A28" t="s">
        <v>113</v>
      </c>
      <c r="B28" t="str">
        <f>CONCATENATE("C_", $C$2, "_ENH_WW_TOT")</f>
        <v>C_PR24CA28_ENH_WW_TOT</v>
      </c>
      <c r="C28" t="str">
        <f xml:space="preserve"> $C$4</f>
        <v>Total enhancement allowance - Wastewater - MCERTS PS EO - Totex</v>
      </c>
      <c r="D28" t="s">
        <v>85</v>
      </c>
      <c r="E28" t="s">
        <v>79</v>
      </c>
      <c r="I28">
        <f ca="1" xml:space="preserve"> SUMIFS('Outputs to aggregator'!U$41:U$70, 'Outputs to aggregator'!$O$41:$O$70, $A28)</f>
        <v>3.76127864</v>
      </c>
      <c r="J28">
        <f ca="1" xml:space="preserve"> SUMIFS('Outputs to aggregator'!V$41:V$70, 'Outputs to aggregator'!$O$41:$O$70, $A28)</f>
        <v>3.81976432</v>
      </c>
      <c r="K28">
        <f ca="1" xml:space="preserve"> SUMIFS('Outputs to aggregator'!W$41:W$70, 'Outputs to aggregator'!$O$41:$O$70, $A28)</f>
        <v>3.7772292800000002</v>
      </c>
      <c r="L28">
        <f ca="1" xml:space="preserve"> SUMIFS('Outputs to aggregator'!X$41:X$70, 'Outputs to aggregator'!$O$41:$O$70, $A28)</f>
        <v>17.462878400000001</v>
      </c>
      <c r="M28">
        <f ca="1" xml:space="preserve"> SUMIFS('Outputs to aggregator'!Y$41:Y$70, 'Outputs to aggregator'!$O$41:$O$70, $A28)</f>
        <v>27.123649360000002</v>
      </c>
    </row>
    <row r="29" spans="1:13">
      <c r="A29" t="s">
        <v>113</v>
      </c>
      <c r="B29" t="str">
        <f>CONCATENATE("C_", $C$2, "_ENH_WW_AP")</f>
        <v>C_PR24CA28_ENH_WW_AP</v>
      </c>
      <c r="C29" t="str">
        <f xml:space="preserve"> $C$5</f>
        <v>Total enhancement allowance - Wastewater - MCERTS PS EO - Accelerated programme</v>
      </c>
      <c r="D29" t="s">
        <v>85</v>
      </c>
      <c r="E29" t="s">
        <v>79</v>
      </c>
      <c r="G29">
        <f ca="1" xml:space="preserve"> SUMIFS('Outputs to aggregator'!$R$41:$R$52, 'Outputs to aggregator'!$O$41:$O$52, $A29)</f>
        <v>0</v>
      </c>
      <c r="H29">
        <f ca="1" xml:space="preserve"> SUMIFS('Outputs to aggregator'!$T$41:$T$52, 'Outputs to aggregator'!$O$41:$O$52, $A29)</f>
        <v>0</v>
      </c>
    </row>
    <row r="30" spans="1:13">
      <c r="A30" t="s">
        <v>113</v>
      </c>
      <c r="B30" t="str">
        <f>CONCATENATE("C_", $C$2, "_ENH_WW_TE")</f>
        <v>C_PR24CA28_ENH_WW_TE</v>
      </c>
      <c r="C30" t="str">
        <f xml:space="preserve"> $C$6</f>
        <v>Total enhancement allowance - Wastewater - MCERTS PS EO - Transition allowance</v>
      </c>
      <c r="D30" t="s">
        <v>85</v>
      </c>
      <c r="E30" t="s">
        <v>79</v>
      </c>
      <c r="G30">
        <f ca="1" xml:space="preserve"> SUMIFS('Outputs to aggregator'!$Q$41:$Q$52, 'Outputs to aggregator'!$O$41:$O$52, $A30)</f>
        <v>0</v>
      </c>
      <c r="H30">
        <f ca="1" xml:space="preserve"> SUMIFS('Outputs to aggregator'!$S$41:$S$52, 'Outputs to aggregator'!$O$41:$O$52, $A30)</f>
        <v>0</v>
      </c>
    </row>
    <row r="31" spans="1:13">
      <c r="A31" t="s">
        <v>113</v>
      </c>
      <c r="B31" t="str">
        <f xml:space="preserve"> CONCATENATE("PR24QA_",  $C$2, "_OUT1")</f>
        <v>PR24QA_PR24CA28_OUT1</v>
      </c>
      <c r="C31" t="str">
        <f xml:space="preserve"> CONCATENATE("Date &amp; Time for Model - ", $C$2)</f>
        <v>Date &amp; Time for Model - PR24CA28</v>
      </c>
      <c r="D31" t="s">
        <v>443</v>
      </c>
      <c r="E31" t="s">
        <v>79</v>
      </c>
      <c r="F31" t="str">
        <f t="shared" ref="F31:M31" ca="1" si="6">CONCATENATE("[…]", TEXT(NOW(),"dd/mm/yyy hh:mm:ss"))</f>
        <v>[…]26/03/2025 10:07:56</v>
      </c>
      <c r="G31" t="str">
        <f t="shared" ca="1" si="6"/>
        <v>[…]26/03/2025 10:07:56</v>
      </c>
      <c r="H31" t="str">
        <f t="shared" ca="1" si="6"/>
        <v>[…]26/03/2025 10:07:56</v>
      </c>
      <c r="I31" t="str">
        <f t="shared" ca="1" si="6"/>
        <v>[…]26/03/2025 10:07:56</v>
      </c>
      <c r="J31" t="str">
        <f t="shared" ca="1" si="6"/>
        <v>[…]26/03/2025 10:07:56</v>
      </c>
      <c r="K31" t="str">
        <f t="shared" ca="1" si="6"/>
        <v>[…]26/03/2025 10:07:56</v>
      </c>
      <c r="L31" t="str">
        <f t="shared" ca="1" si="6"/>
        <v>[…]26/03/2025 10:07:56</v>
      </c>
      <c r="M31" t="str">
        <f t="shared" ca="1" si="6"/>
        <v>[…]26/03/2025 10:07:56</v>
      </c>
    </row>
    <row r="32" spans="1:13">
      <c r="A32" t="s">
        <v>113</v>
      </c>
      <c r="B32" t="str">
        <f xml:space="preserve"> CONCATENATE("PR24QA_",  $C$2, "_OUT2")</f>
        <v>PR24QA_PR24CA28_OUT2</v>
      </c>
      <c r="C32" t="str">
        <f xml:space="preserve"> CONCATENATE("Name of Model - ", $C$2)</f>
        <v>Name of Model - PR24CA28</v>
      </c>
      <c r="D32" t="s">
        <v>443</v>
      </c>
      <c r="E32" t="s">
        <v>79</v>
      </c>
      <c r="F32" t="e">
        <f t="shared" ref="F32:M32" ca="1" si="7">MID(CELL("filename"),SEARCH("[",CELL("filename"))+1,SEARCH("]",CELL("filename"))-SEARCH("[",CELL("filename"))-1)</f>
        <v>#VALUE!</v>
      </c>
      <c r="G32" t="e">
        <f t="shared" ca="1" si="7"/>
        <v>#VALUE!</v>
      </c>
      <c r="H32" t="e">
        <f t="shared" ca="1" si="7"/>
        <v>#VALUE!</v>
      </c>
      <c r="I32" t="e">
        <f t="shared" ca="1" si="7"/>
        <v>#VALUE!</v>
      </c>
      <c r="J32" t="e">
        <f t="shared" ca="1" si="7"/>
        <v>#VALUE!</v>
      </c>
      <c r="K32" t="e">
        <f t="shared" ca="1" si="7"/>
        <v>#VALUE!</v>
      </c>
      <c r="L32" t="e">
        <f t="shared" ca="1" si="7"/>
        <v>#VALUE!</v>
      </c>
      <c r="M32" t="e">
        <f t="shared" ca="1" si="7"/>
        <v>#VALUE!</v>
      </c>
    </row>
    <row r="33" spans="1:13">
      <c r="A33" t="s">
        <v>113</v>
      </c>
      <c r="B33" t="str">
        <f xml:space="preserve"> CONCATENATE("PR24QA_",  $C$2, "_OUT3")</f>
        <v>PR24QA_PR24CA28_OUT3</v>
      </c>
      <c r="C33" t="str">
        <f xml:space="preserve"> CONCATENATE("F_Inputs time stamp - ", $C$2)</f>
        <v>F_Inputs time stamp - PR24CA28</v>
      </c>
      <c r="D33" t="s">
        <v>443</v>
      </c>
      <c r="E33" t="s">
        <v>79</v>
      </c>
      <c r="F33" t="str">
        <f>F_Inputs!$E$2</f>
        <v>Run on 05 Sep 2024 9:10</v>
      </c>
      <c r="G33" t="str">
        <f>F_Inputs!$E$2</f>
        <v>Run on 05 Sep 2024 9:10</v>
      </c>
      <c r="H33" t="str">
        <f>F_Inputs!$E$2</f>
        <v>Run on 05 Sep 2024 9:10</v>
      </c>
      <c r="I33" t="str">
        <f>F_Inputs!$E$2</f>
        <v>Run on 05 Sep 2024 9:10</v>
      </c>
      <c r="J33" t="str">
        <f>F_Inputs!$E$2</f>
        <v>Run on 05 Sep 2024 9:10</v>
      </c>
      <c r="K33" t="str">
        <f>F_Inputs!$E$2</f>
        <v>Run on 05 Sep 2024 9:10</v>
      </c>
      <c r="L33" t="str">
        <f>F_Inputs!$E$2</f>
        <v>Run on 05 Sep 2024 9:10</v>
      </c>
      <c r="M33" t="str">
        <f>F_Inputs!$E$2</f>
        <v>Run on 05 Sep 2024 9:10</v>
      </c>
    </row>
    <row r="34" spans="1:13">
      <c r="A34" t="s">
        <v>113</v>
      </c>
      <c r="B34" t="str">
        <f xml:space="preserve"> CONCATENATE("PR24QA_",  $C$2, "_OUT4")</f>
        <v>PR24QA_PR24CA28_OUT4</v>
      </c>
      <c r="C34" t="str">
        <f xml:space="preserve"> CONCATENATE("Model override switch for - ", $C$2)</f>
        <v>Model override switch for - PR24CA28</v>
      </c>
      <c r="D34" t="s">
        <v>99</v>
      </c>
      <c r="E34" t="s">
        <v>79</v>
      </c>
      <c r="F34">
        <f>IF(SUM('F_Input Override'!$E$5:$K$160)&gt;0,1,0)</f>
        <v>1</v>
      </c>
      <c r="G34">
        <f>IF(SUM('F_Input Override'!$E$5:$K$160)&gt;0,1,0)</f>
        <v>1</v>
      </c>
      <c r="H34">
        <f>IF(SUM('F_Input Override'!$E$5:$K$160)&gt;0,1,0)</f>
        <v>1</v>
      </c>
      <c r="I34">
        <f>IF(SUM('F_Input Override'!$E$5:$K$160)&gt;0,1,0)</f>
        <v>1</v>
      </c>
      <c r="J34">
        <f>IF(SUM('F_Input Override'!$E$5:$K$160)&gt;0,1,0)</f>
        <v>1</v>
      </c>
      <c r="K34">
        <f>IF(SUM('F_Input Override'!$E$5:$K$160)&gt;0,1,0)</f>
        <v>1</v>
      </c>
      <c r="L34">
        <f>IF(SUM('F_Input Override'!$E$5:$K$160)&gt;0,1,0)</f>
        <v>1</v>
      </c>
      <c r="M34">
        <f>IF(SUM('F_Input Override'!$E$5:$K$160)&gt;0,1,0)</f>
        <v>1</v>
      </c>
    </row>
    <row r="35" spans="1:13">
      <c r="A35" t="s">
        <v>113</v>
      </c>
      <c r="B35" t="str">
        <f>CONCATENATE("C_", $C$2, "_ENH_WW_ASSESSED")</f>
        <v>C_PR24CA28_ENH_WW_ASSESSED</v>
      </c>
      <c r="C35" t="str">
        <f>CONCATENATE("Total amount assessed - ", MID($C$4,31,200))</f>
        <v>Total amount assessed - Wastewater - MCERTS PS EO - Totex</v>
      </c>
      <c r="D35" s="37" t="s">
        <v>85</v>
      </c>
      <c r="E35" t="s">
        <v>79</v>
      </c>
      <c r="F35">
        <f ca="1" xml:space="preserve"> SUMIFS(Allowance!$E$13:$E$23, Allowance!$B$13:$B$23, A35)</f>
        <v>69.930999999999997</v>
      </c>
    </row>
    <row r="36" spans="1:13">
      <c r="A36" t="s">
        <v>111</v>
      </c>
      <c r="B36" t="str">
        <f>CONCATENATE("C_", $C$2, "_ENH_WW_TOT")</f>
        <v>C_PR24CA28_ENH_WW_TOT</v>
      </c>
      <c r="C36" t="str">
        <f xml:space="preserve"> $C$4</f>
        <v>Total enhancement allowance - Wastewater - MCERTS PS EO - Totex</v>
      </c>
      <c r="D36" t="s">
        <v>85</v>
      </c>
      <c r="E36" t="s">
        <v>79</v>
      </c>
      <c r="I36">
        <f ca="1" xml:space="preserve"> SUMIFS('Outputs to aggregator'!U$41:U$70, 'Outputs to aggregator'!$O$41:$O$70, $A36)</f>
        <v>8.1087673861032066</v>
      </c>
      <c r="J36">
        <f ca="1" xml:space="preserve"> SUMIFS('Outputs to aggregator'!V$41:V$70, 'Outputs to aggregator'!$O$41:$O$70, $A36)</f>
        <v>9.324918812803789</v>
      </c>
      <c r="K36">
        <f ca="1" xml:space="preserve"> SUMIFS('Outputs to aggregator'!W$41:W$70, 'Outputs to aggregator'!$O$41:$O$70, $A36)</f>
        <v>9.5393412043216568</v>
      </c>
      <c r="L36">
        <f ca="1" xml:space="preserve"> SUMIFS('Outputs to aggregator'!X$41:X$70, 'Outputs to aggregator'!$O$41:$O$70, $A36)</f>
        <v>10.485418626438664</v>
      </c>
      <c r="M36">
        <f ca="1" xml:space="preserve"> SUMIFS('Outputs to aggregator'!Y$41:Y$70, 'Outputs to aggregator'!$O$41:$O$70, $A36)</f>
        <v>27.534453970332688</v>
      </c>
    </row>
    <row r="37" spans="1:13">
      <c r="A37" t="s">
        <v>111</v>
      </c>
      <c r="B37" t="str">
        <f>CONCATENATE("C_", $C$2, "_ENH_WW_AP")</f>
        <v>C_PR24CA28_ENH_WW_AP</v>
      </c>
      <c r="C37" t="str">
        <f xml:space="preserve"> $C$5</f>
        <v>Total enhancement allowance - Wastewater - MCERTS PS EO - Accelerated programme</v>
      </c>
      <c r="D37" t="s">
        <v>85</v>
      </c>
      <c r="E37" t="s">
        <v>79</v>
      </c>
      <c r="G37">
        <f ca="1" xml:space="preserve"> SUMIFS('Outputs to aggregator'!$R$41:$R$52, 'Outputs to aggregator'!$O$41:$O$52, $A37)</f>
        <v>0</v>
      </c>
      <c r="H37">
        <f ca="1" xml:space="preserve"> SUMIFS('Outputs to aggregator'!$T$41:$T$52, 'Outputs to aggregator'!$O$41:$O$52, $A37)</f>
        <v>0</v>
      </c>
    </row>
    <row r="38" spans="1:13">
      <c r="A38" t="s">
        <v>111</v>
      </c>
      <c r="B38" t="str">
        <f>CONCATENATE("C_", $C$2, "_ENH_WW_TE")</f>
        <v>C_PR24CA28_ENH_WW_TE</v>
      </c>
      <c r="C38" t="str">
        <f xml:space="preserve"> $C$6</f>
        <v>Total enhancement allowance - Wastewater - MCERTS PS EO - Transition allowance</v>
      </c>
      <c r="D38" t="s">
        <v>85</v>
      </c>
      <c r="E38" t="s">
        <v>79</v>
      </c>
      <c r="G38">
        <f ca="1" xml:space="preserve"> SUMIFS('Outputs to aggregator'!$Q$41:$Q$52, 'Outputs to aggregator'!$O$41:$O$52, $A38)</f>
        <v>0</v>
      </c>
      <c r="H38">
        <f ca="1" xml:space="preserve"> SUMIFS('Outputs to aggregator'!$S$41:$S$52, 'Outputs to aggregator'!$O$41:$O$52, $A38)</f>
        <v>0</v>
      </c>
    </row>
    <row r="39" spans="1:13">
      <c r="A39" t="s">
        <v>111</v>
      </c>
      <c r="B39" t="str">
        <f xml:space="preserve"> CONCATENATE("PR24QA_",  $C$2, "_OUT1")</f>
        <v>PR24QA_PR24CA28_OUT1</v>
      </c>
      <c r="C39" t="str">
        <f xml:space="preserve"> CONCATENATE("Date &amp; Time for Model - ", $C$2)</f>
        <v>Date &amp; Time for Model - PR24CA28</v>
      </c>
      <c r="D39" t="s">
        <v>443</v>
      </c>
      <c r="E39" t="s">
        <v>79</v>
      </c>
      <c r="F39" t="str">
        <f t="shared" ref="F39:M39" ca="1" si="8">CONCATENATE("[…]", TEXT(NOW(),"dd/mm/yyy hh:mm:ss"))</f>
        <v>[…]26/03/2025 10:07:56</v>
      </c>
      <c r="G39" t="str">
        <f t="shared" ca="1" si="8"/>
        <v>[…]26/03/2025 10:07:56</v>
      </c>
      <c r="H39" t="str">
        <f t="shared" ca="1" si="8"/>
        <v>[…]26/03/2025 10:07:56</v>
      </c>
      <c r="I39" t="str">
        <f t="shared" ca="1" si="8"/>
        <v>[…]26/03/2025 10:07:56</v>
      </c>
      <c r="J39" t="str">
        <f t="shared" ca="1" si="8"/>
        <v>[…]26/03/2025 10:07:56</v>
      </c>
      <c r="K39" t="str">
        <f t="shared" ca="1" si="8"/>
        <v>[…]26/03/2025 10:07:56</v>
      </c>
      <c r="L39" t="str">
        <f t="shared" ca="1" si="8"/>
        <v>[…]26/03/2025 10:07:56</v>
      </c>
      <c r="M39" t="str">
        <f t="shared" ca="1" si="8"/>
        <v>[…]26/03/2025 10:07:56</v>
      </c>
    </row>
    <row r="40" spans="1:13">
      <c r="A40" t="s">
        <v>111</v>
      </c>
      <c r="B40" t="str">
        <f xml:space="preserve"> CONCATENATE("PR24QA_",  $C$2, "_OUT2")</f>
        <v>PR24QA_PR24CA28_OUT2</v>
      </c>
      <c r="C40" t="str">
        <f xml:space="preserve"> CONCATENATE("Name of Model - ", $C$2)</f>
        <v>Name of Model - PR24CA28</v>
      </c>
      <c r="D40" t="s">
        <v>443</v>
      </c>
      <c r="E40" t="s">
        <v>79</v>
      </c>
      <c r="F40" t="e">
        <f t="shared" ref="F40:M40" ca="1" si="9">MID(CELL("filename"),SEARCH("[",CELL("filename"))+1,SEARCH("]",CELL("filename"))-SEARCH("[",CELL("filename"))-1)</f>
        <v>#VALUE!</v>
      </c>
      <c r="G40" t="e">
        <f t="shared" ca="1" si="9"/>
        <v>#VALUE!</v>
      </c>
      <c r="H40" t="e">
        <f t="shared" ca="1" si="9"/>
        <v>#VALUE!</v>
      </c>
      <c r="I40" t="e">
        <f t="shared" ca="1" si="9"/>
        <v>#VALUE!</v>
      </c>
      <c r="J40" t="e">
        <f t="shared" ca="1" si="9"/>
        <v>#VALUE!</v>
      </c>
      <c r="K40" t="e">
        <f t="shared" ca="1" si="9"/>
        <v>#VALUE!</v>
      </c>
      <c r="L40" t="e">
        <f t="shared" ca="1" si="9"/>
        <v>#VALUE!</v>
      </c>
      <c r="M40" t="e">
        <f t="shared" ca="1" si="9"/>
        <v>#VALUE!</v>
      </c>
    </row>
    <row r="41" spans="1:13">
      <c r="A41" t="s">
        <v>111</v>
      </c>
      <c r="B41" t="str">
        <f xml:space="preserve"> CONCATENATE("PR24QA_",  $C$2, "_OUT3")</f>
        <v>PR24QA_PR24CA28_OUT3</v>
      </c>
      <c r="C41" t="str">
        <f xml:space="preserve"> CONCATENATE("F_Inputs time stamp - ", $C$2)</f>
        <v>F_Inputs time stamp - PR24CA28</v>
      </c>
      <c r="D41" t="s">
        <v>443</v>
      </c>
      <c r="E41" t="s">
        <v>79</v>
      </c>
      <c r="F41" t="str">
        <f>F_Inputs!$E$2</f>
        <v>Run on 05 Sep 2024 9:10</v>
      </c>
      <c r="G41" t="str">
        <f>F_Inputs!$E$2</f>
        <v>Run on 05 Sep 2024 9:10</v>
      </c>
      <c r="H41" t="str">
        <f>F_Inputs!$E$2</f>
        <v>Run on 05 Sep 2024 9:10</v>
      </c>
      <c r="I41" t="str">
        <f>F_Inputs!$E$2</f>
        <v>Run on 05 Sep 2024 9:10</v>
      </c>
      <c r="J41" t="str">
        <f>F_Inputs!$E$2</f>
        <v>Run on 05 Sep 2024 9:10</v>
      </c>
      <c r="K41" t="str">
        <f>F_Inputs!$E$2</f>
        <v>Run on 05 Sep 2024 9:10</v>
      </c>
      <c r="L41" t="str">
        <f>F_Inputs!$E$2</f>
        <v>Run on 05 Sep 2024 9:10</v>
      </c>
      <c r="M41" t="str">
        <f>F_Inputs!$E$2</f>
        <v>Run on 05 Sep 2024 9:10</v>
      </c>
    </row>
    <row r="42" spans="1:13">
      <c r="A42" t="s">
        <v>111</v>
      </c>
      <c r="B42" t="str">
        <f xml:space="preserve"> CONCATENATE("PR24QA_",  $C$2, "_OUT4")</f>
        <v>PR24QA_PR24CA28_OUT4</v>
      </c>
      <c r="C42" t="str">
        <f xml:space="preserve"> CONCATENATE("Model override switch for - ", $C$2)</f>
        <v>Model override switch for - PR24CA28</v>
      </c>
      <c r="D42" t="s">
        <v>99</v>
      </c>
      <c r="E42" t="s">
        <v>79</v>
      </c>
      <c r="F42">
        <f>IF(SUM('F_Input Override'!$E$5:$K$160)&gt;0,1,0)</f>
        <v>1</v>
      </c>
      <c r="G42">
        <f>IF(SUM('F_Input Override'!$E$5:$K$160)&gt;0,1,0)</f>
        <v>1</v>
      </c>
      <c r="H42">
        <f>IF(SUM('F_Input Override'!$E$5:$K$160)&gt;0,1,0)</f>
        <v>1</v>
      </c>
      <c r="I42">
        <f>IF(SUM('F_Input Override'!$E$5:$K$160)&gt;0,1,0)</f>
        <v>1</v>
      </c>
      <c r="J42">
        <f>IF(SUM('F_Input Override'!$E$5:$K$160)&gt;0,1,0)</f>
        <v>1</v>
      </c>
      <c r="K42">
        <f>IF(SUM('F_Input Override'!$E$5:$K$160)&gt;0,1,0)</f>
        <v>1</v>
      </c>
      <c r="L42">
        <f>IF(SUM('F_Input Override'!$E$5:$K$160)&gt;0,1,0)</f>
        <v>1</v>
      </c>
      <c r="M42">
        <f>IF(SUM('F_Input Override'!$E$5:$K$160)&gt;0,1,0)</f>
        <v>1</v>
      </c>
    </row>
    <row r="43" spans="1:13">
      <c r="A43" t="s">
        <v>111</v>
      </c>
      <c r="B43" t="str">
        <f>CONCATENATE("C_", $C$2, "_ENH_WW_ASSESSED")</f>
        <v>C_PR24CA28_ENH_WW_ASSESSED</v>
      </c>
      <c r="C43" t="str">
        <f>CONCATENATE("Total amount assessed - ", MID($C$4,31,200))</f>
        <v>Total amount assessed - Wastewater - MCERTS PS EO - Totex</v>
      </c>
      <c r="D43" s="37" t="s">
        <v>85</v>
      </c>
      <c r="E43" t="s">
        <v>79</v>
      </c>
      <c r="F43">
        <f ca="1" xml:space="preserve"> SUMIFS(Allowance!$E$13:$E$23, Allowance!$B$13:$B$23, A43)</f>
        <v>92.847000000000008</v>
      </c>
    </row>
    <row r="44" spans="1:13">
      <c r="A44" t="s">
        <v>109</v>
      </c>
      <c r="B44" t="str">
        <f>CONCATENATE("C_", $C$2, "_ENH_WW_TOT")</f>
        <v>C_PR24CA28_ENH_WW_TOT</v>
      </c>
      <c r="C44" t="str">
        <f xml:space="preserve"> $C$4</f>
        <v>Total enhancement allowance - Wastewater - MCERTS PS EO - Totex</v>
      </c>
      <c r="D44" t="s">
        <v>85</v>
      </c>
      <c r="E44" t="s">
        <v>79</v>
      </c>
      <c r="I44">
        <f ca="1" xml:space="preserve"> SUMIFS('Outputs to aggregator'!U$41:U$70, 'Outputs to aggregator'!$O$41:$O$70, $A44)</f>
        <v>2.4456396816332191</v>
      </c>
      <c r="J44">
        <f ca="1" xml:space="preserve"> SUMIFS('Outputs to aggregator'!V$41:V$70, 'Outputs to aggregator'!$O$41:$O$70, $A44)</f>
        <v>2.5956780450566521</v>
      </c>
      <c r="K44">
        <f ca="1" xml:space="preserve"> SUMIFS('Outputs to aggregator'!W$41:W$70, 'Outputs to aggregator'!$O$41:$O$70, $A44)</f>
        <v>4.0118995193230811</v>
      </c>
      <c r="L44">
        <f ca="1" xml:space="preserve"> SUMIFS('Outputs to aggregator'!X$41:X$70, 'Outputs to aggregator'!$O$41:$O$70, $A44)</f>
        <v>7.1805980452856897</v>
      </c>
      <c r="M44">
        <f ca="1" xml:space="preserve"> SUMIFS('Outputs to aggregator'!Y$41:Y$70, 'Outputs to aggregator'!$O$41:$O$70, $A44)</f>
        <v>9.963315354160132</v>
      </c>
    </row>
    <row r="45" spans="1:13">
      <c r="A45" t="s">
        <v>109</v>
      </c>
      <c r="B45" t="str">
        <f>CONCATENATE("C_", $C$2, "_ENH_WW_AP")</f>
        <v>C_PR24CA28_ENH_WW_AP</v>
      </c>
      <c r="C45" t="str">
        <f xml:space="preserve"> $C$5</f>
        <v>Total enhancement allowance - Wastewater - MCERTS PS EO - Accelerated programme</v>
      </c>
      <c r="D45" t="s">
        <v>85</v>
      </c>
      <c r="E45" t="s">
        <v>79</v>
      </c>
      <c r="G45">
        <f ca="1" xml:space="preserve"> SUMIFS('Outputs to aggregator'!$R$41:$R$52, 'Outputs to aggregator'!$O$41:$O$52, $A45)</f>
        <v>0</v>
      </c>
      <c r="H45">
        <f ca="1" xml:space="preserve"> SUMIFS('Outputs to aggregator'!$T$41:$T$52, 'Outputs to aggregator'!$O$41:$O$52, $A45)</f>
        <v>0</v>
      </c>
    </row>
    <row r="46" spans="1:13">
      <c r="A46" t="s">
        <v>109</v>
      </c>
      <c r="B46" t="str">
        <f>CONCATENATE("C_", $C$2, "_ENH_WW_TE")</f>
        <v>C_PR24CA28_ENH_WW_TE</v>
      </c>
      <c r="C46" t="str">
        <f xml:space="preserve"> $C$6</f>
        <v>Total enhancement allowance - Wastewater - MCERTS PS EO - Transition allowance</v>
      </c>
      <c r="D46" t="s">
        <v>85</v>
      </c>
      <c r="E46" t="s">
        <v>79</v>
      </c>
      <c r="G46">
        <f ca="1" xml:space="preserve"> SUMIFS('Outputs to aggregator'!$Q$41:$Q$52, 'Outputs to aggregator'!$O$41:$O$52, $A46)</f>
        <v>0</v>
      </c>
      <c r="H46">
        <f ca="1" xml:space="preserve"> SUMIFS('Outputs to aggregator'!$S$41:$S$52, 'Outputs to aggregator'!$O$41:$O$52, $A46)</f>
        <v>5.643126094345547E-2</v>
      </c>
    </row>
    <row r="47" spans="1:13">
      <c r="A47" t="s">
        <v>109</v>
      </c>
      <c r="B47" t="str">
        <f xml:space="preserve"> CONCATENATE("PR24QA_",  $C$2, "_OUT1")</f>
        <v>PR24QA_PR24CA28_OUT1</v>
      </c>
      <c r="C47" t="str">
        <f xml:space="preserve"> CONCATENATE("Date &amp; Time for Model - ", $C$2)</f>
        <v>Date &amp; Time for Model - PR24CA28</v>
      </c>
      <c r="D47" t="s">
        <v>443</v>
      </c>
      <c r="E47" t="s">
        <v>79</v>
      </c>
      <c r="F47" t="str">
        <f t="shared" ref="F47:M47" ca="1" si="10">CONCATENATE("[…]", TEXT(NOW(),"dd/mm/yyy hh:mm:ss"))</f>
        <v>[…]26/03/2025 10:07:56</v>
      </c>
      <c r="G47" t="str">
        <f t="shared" ca="1" si="10"/>
        <v>[…]26/03/2025 10:07:56</v>
      </c>
      <c r="H47" t="str">
        <f t="shared" ca="1" si="10"/>
        <v>[…]26/03/2025 10:07:56</v>
      </c>
      <c r="I47" t="str">
        <f t="shared" ca="1" si="10"/>
        <v>[…]26/03/2025 10:07:56</v>
      </c>
      <c r="J47" t="str">
        <f t="shared" ca="1" si="10"/>
        <v>[…]26/03/2025 10:07:56</v>
      </c>
      <c r="K47" t="str">
        <f t="shared" ca="1" si="10"/>
        <v>[…]26/03/2025 10:07:56</v>
      </c>
      <c r="L47" t="str">
        <f t="shared" ca="1" si="10"/>
        <v>[…]26/03/2025 10:07:56</v>
      </c>
      <c r="M47" t="str">
        <f t="shared" ca="1" si="10"/>
        <v>[…]26/03/2025 10:07:56</v>
      </c>
    </row>
    <row r="48" spans="1:13">
      <c r="A48" t="s">
        <v>109</v>
      </c>
      <c r="B48" t="str">
        <f xml:space="preserve"> CONCATENATE("PR24QA_",  $C$2, "_OUT2")</f>
        <v>PR24QA_PR24CA28_OUT2</v>
      </c>
      <c r="C48" t="str">
        <f xml:space="preserve"> CONCATENATE("Name of Model - ", $C$2)</f>
        <v>Name of Model - PR24CA28</v>
      </c>
      <c r="D48" t="s">
        <v>443</v>
      </c>
      <c r="E48" t="s">
        <v>79</v>
      </c>
      <c r="F48" t="e">
        <f t="shared" ref="F48:M48" ca="1" si="11">MID(CELL("filename"),SEARCH("[",CELL("filename"))+1,SEARCH("]",CELL("filename"))-SEARCH("[",CELL("filename"))-1)</f>
        <v>#VALUE!</v>
      </c>
      <c r="G48" t="e">
        <f t="shared" ca="1" si="11"/>
        <v>#VALUE!</v>
      </c>
      <c r="H48" t="e">
        <f t="shared" ca="1" si="11"/>
        <v>#VALUE!</v>
      </c>
      <c r="I48" t="e">
        <f t="shared" ca="1" si="11"/>
        <v>#VALUE!</v>
      </c>
      <c r="J48" t="e">
        <f t="shared" ca="1" si="11"/>
        <v>#VALUE!</v>
      </c>
      <c r="K48" t="e">
        <f t="shared" ca="1" si="11"/>
        <v>#VALUE!</v>
      </c>
      <c r="L48" t="e">
        <f t="shared" ca="1" si="11"/>
        <v>#VALUE!</v>
      </c>
      <c r="M48" t="e">
        <f t="shared" ca="1" si="11"/>
        <v>#VALUE!</v>
      </c>
    </row>
    <row r="49" spans="1:13">
      <c r="A49" t="s">
        <v>109</v>
      </c>
      <c r="B49" t="str">
        <f xml:space="preserve"> CONCATENATE("PR24QA_",  $C$2, "_OUT3")</f>
        <v>PR24QA_PR24CA28_OUT3</v>
      </c>
      <c r="C49" t="str">
        <f xml:space="preserve"> CONCATENATE("F_Inputs time stamp - ", $C$2)</f>
        <v>F_Inputs time stamp - PR24CA28</v>
      </c>
      <c r="D49" t="s">
        <v>443</v>
      </c>
      <c r="E49" t="s">
        <v>79</v>
      </c>
      <c r="F49" t="str">
        <f>F_Inputs!$E$2</f>
        <v>Run on 05 Sep 2024 9:10</v>
      </c>
      <c r="G49" t="str">
        <f>F_Inputs!$E$2</f>
        <v>Run on 05 Sep 2024 9:10</v>
      </c>
      <c r="H49" t="str">
        <f>F_Inputs!$E$2</f>
        <v>Run on 05 Sep 2024 9:10</v>
      </c>
      <c r="I49" t="str">
        <f>F_Inputs!$E$2</f>
        <v>Run on 05 Sep 2024 9:10</v>
      </c>
      <c r="J49" t="str">
        <f>F_Inputs!$E$2</f>
        <v>Run on 05 Sep 2024 9:10</v>
      </c>
      <c r="K49" t="str">
        <f>F_Inputs!$E$2</f>
        <v>Run on 05 Sep 2024 9:10</v>
      </c>
      <c r="L49" t="str">
        <f>F_Inputs!$E$2</f>
        <v>Run on 05 Sep 2024 9:10</v>
      </c>
      <c r="M49" t="str">
        <f>F_Inputs!$E$2</f>
        <v>Run on 05 Sep 2024 9:10</v>
      </c>
    </row>
    <row r="50" spans="1:13">
      <c r="A50" t="s">
        <v>109</v>
      </c>
      <c r="B50" t="str">
        <f xml:space="preserve"> CONCATENATE("PR24QA_",  $C$2, "_OUT4")</f>
        <v>PR24QA_PR24CA28_OUT4</v>
      </c>
      <c r="C50" t="str">
        <f xml:space="preserve"> CONCATENATE("Model override switch for - ", $C$2)</f>
        <v>Model override switch for - PR24CA28</v>
      </c>
      <c r="D50" t="s">
        <v>99</v>
      </c>
      <c r="E50" t="s">
        <v>79</v>
      </c>
      <c r="F50">
        <f>IF(SUM('F_Input Override'!$E$5:$K$160)&gt;0,1,0)</f>
        <v>1</v>
      </c>
      <c r="G50">
        <f>IF(SUM('F_Input Override'!$E$5:$K$160)&gt;0,1,0)</f>
        <v>1</v>
      </c>
      <c r="H50">
        <f>IF(SUM('F_Input Override'!$E$5:$K$160)&gt;0,1,0)</f>
        <v>1</v>
      </c>
      <c r="I50">
        <f>IF(SUM('F_Input Override'!$E$5:$K$160)&gt;0,1,0)</f>
        <v>1</v>
      </c>
      <c r="J50">
        <f>IF(SUM('F_Input Override'!$E$5:$K$160)&gt;0,1,0)</f>
        <v>1</v>
      </c>
      <c r="K50">
        <f>IF(SUM('F_Input Override'!$E$5:$K$160)&gt;0,1,0)</f>
        <v>1</v>
      </c>
      <c r="L50">
        <f>IF(SUM('F_Input Override'!$E$5:$K$160)&gt;0,1,0)</f>
        <v>1</v>
      </c>
      <c r="M50">
        <f>IF(SUM('F_Input Override'!$E$5:$K$160)&gt;0,1,0)</f>
        <v>1</v>
      </c>
    </row>
    <row r="51" spans="1:13">
      <c r="A51" t="s">
        <v>109</v>
      </c>
      <c r="B51" t="str">
        <f>CONCATENATE("C_", $C$2, "_ENH_WW_ASSESSED")</f>
        <v>C_PR24CA28_ENH_WW_ASSESSED</v>
      </c>
      <c r="C51" t="str">
        <f>CONCATENATE("Total amount assessed - ", MID($C$4,31,200))</f>
        <v>Total amount assessed - Wastewater - MCERTS PS EO - Totex</v>
      </c>
      <c r="D51" s="37" t="s">
        <v>85</v>
      </c>
      <c r="E51" t="s">
        <v>79</v>
      </c>
      <c r="F51">
        <f ca="1" xml:space="preserve"> SUMIFS(Allowance!$E$13:$E$23, Allowance!$B$13:$B$23, A51)</f>
        <v>26.253561906402226</v>
      </c>
    </row>
    <row r="52" spans="1:13">
      <c r="A52" t="s">
        <v>110</v>
      </c>
      <c r="B52" t="str">
        <f>CONCATENATE("C_", $C$2, "_ENH_WW_TOT")</f>
        <v>C_PR24CA28_ENH_WW_TOT</v>
      </c>
      <c r="C52" t="str">
        <f xml:space="preserve"> $C$4</f>
        <v>Total enhancement allowance - Wastewater - MCERTS PS EO - Totex</v>
      </c>
      <c r="D52" t="s">
        <v>85</v>
      </c>
      <c r="E52" t="s">
        <v>79</v>
      </c>
      <c r="I52">
        <f ca="1" xml:space="preserve"> SUMIFS('Outputs to aggregator'!U$41:U$70, 'Outputs to aggregator'!$O$41:$O$70, $A52)</f>
        <v>2.0196000000000001</v>
      </c>
      <c r="J52">
        <f ca="1" xml:space="preserve"> SUMIFS('Outputs to aggregator'!V$41:V$70, 'Outputs to aggregator'!$O$41:$O$70, $A52)</f>
        <v>2.0196000000000001</v>
      </c>
      <c r="K52">
        <f ca="1" xml:space="preserve"> SUMIFS('Outputs to aggregator'!W$41:W$70, 'Outputs to aggregator'!$O$41:$O$70, $A52)</f>
        <v>2.0196000000000001</v>
      </c>
      <c r="L52">
        <f ca="1" xml:space="preserve"> SUMIFS('Outputs to aggregator'!X$41:X$70, 'Outputs to aggregator'!$O$41:$O$70, $A52)</f>
        <v>2.0196000000000001</v>
      </c>
      <c r="M52">
        <f ca="1" xml:space="preserve"> SUMIFS('Outputs to aggregator'!Y$41:Y$70, 'Outputs to aggregator'!$O$41:$O$70, $A52)</f>
        <v>2.0196000000000001</v>
      </c>
    </row>
    <row r="53" spans="1:13">
      <c r="A53" t="s">
        <v>110</v>
      </c>
      <c r="B53" t="str">
        <f>CONCATENATE("C_", $C$2, "_ENH_WW_AP")</f>
        <v>C_PR24CA28_ENH_WW_AP</v>
      </c>
      <c r="C53" t="str">
        <f xml:space="preserve"> $C$5</f>
        <v>Total enhancement allowance - Wastewater - MCERTS PS EO - Accelerated programme</v>
      </c>
      <c r="D53" t="s">
        <v>85</v>
      </c>
      <c r="E53" t="s">
        <v>79</v>
      </c>
      <c r="G53">
        <f ca="1" xml:space="preserve"> SUMIFS('Outputs to aggregator'!$R$41:$R$52, 'Outputs to aggregator'!$O$41:$O$52, $A53)</f>
        <v>0</v>
      </c>
      <c r="H53">
        <f ca="1" xml:space="preserve"> SUMIFS('Outputs to aggregator'!$T$41:$T$52, 'Outputs to aggregator'!$O$41:$O$52, $A53)</f>
        <v>0</v>
      </c>
    </row>
    <row r="54" spans="1:13">
      <c r="A54" t="s">
        <v>110</v>
      </c>
      <c r="B54" t="str">
        <f>CONCATENATE("C_", $C$2, "_ENH_WW_TE")</f>
        <v>C_PR24CA28_ENH_WW_TE</v>
      </c>
      <c r="C54" t="str">
        <f xml:space="preserve"> $C$6</f>
        <v>Total enhancement allowance - Wastewater - MCERTS PS EO - Transition allowance</v>
      </c>
      <c r="D54" t="s">
        <v>85</v>
      </c>
      <c r="E54" t="s">
        <v>79</v>
      </c>
      <c r="G54">
        <f ca="1" xml:space="preserve"> SUMIFS('Outputs to aggregator'!$Q$41:$Q$52, 'Outputs to aggregator'!$O$41:$O$52, $A54)</f>
        <v>0</v>
      </c>
      <c r="H54">
        <f ca="1" xml:space="preserve"> SUMIFS('Outputs to aggregator'!$S$41:$S$52, 'Outputs to aggregator'!$O$41:$O$52, $A54)</f>
        <v>0</v>
      </c>
    </row>
    <row r="55" spans="1:13">
      <c r="A55" t="s">
        <v>110</v>
      </c>
      <c r="B55" t="str">
        <f xml:space="preserve"> CONCATENATE("PR24QA_",  $C$2, "_OUT1")</f>
        <v>PR24QA_PR24CA28_OUT1</v>
      </c>
      <c r="C55" t="str">
        <f xml:space="preserve"> CONCATENATE("Date &amp; Time for Model - ", $C$2)</f>
        <v>Date &amp; Time for Model - PR24CA28</v>
      </c>
      <c r="D55" t="s">
        <v>443</v>
      </c>
      <c r="E55" t="s">
        <v>79</v>
      </c>
      <c r="F55" t="str">
        <f t="shared" ref="F55:M55" ca="1" si="12">CONCATENATE("[…]", TEXT(NOW(),"dd/mm/yyy hh:mm:ss"))</f>
        <v>[…]26/03/2025 10:07:56</v>
      </c>
      <c r="G55" t="str">
        <f t="shared" ca="1" si="12"/>
        <v>[…]26/03/2025 10:07:56</v>
      </c>
      <c r="H55" t="str">
        <f t="shared" ca="1" si="12"/>
        <v>[…]26/03/2025 10:07:56</v>
      </c>
      <c r="I55" t="str">
        <f t="shared" ca="1" si="12"/>
        <v>[…]26/03/2025 10:07:56</v>
      </c>
      <c r="J55" t="str">
        <f t="shared" ca="1" si="12"/>
        <v>[…]26/03/2025 10:07:56</v>
      </c>
      <c r="K55" t="str">
        <f t="shared" ca="1" si="12"/>
        <v>[…]26/03/2025 10:07:56</v>
      </c>
      <c r="L55" t="str">
        <f t="shared" ca="1" si="12"/>
        <v>[…]26/03/2025 10:07:56</v>
      </c>
      <c r="M55" t="str">
        <f t="shared" ca="1" si="12"/>
        <v>[…]26/03/2025 10:07:56</v>
      </c>
    </row>
    <row r="56" spans="1:13">
      <c r="A56" t="s">
        <v>110</v>
      </c>
      <c r="B56" t="str">
        <f xml:space="preserve"> CONCATENATE("PR24QA_",  $C$2, "_OUT2")</f>
        <v>PR24QA_PR24CA28_OUT2</v>
      </c>
      <c r="C56" t="str">
        <f xml:space="preserve"> CONCATENATE("Name of Model - ", $C$2)</f>
        <v>Name of Model - PR24CA28</v>
      </c>
      <c r="D56" t="s">
        <v>443</v>
      </c>
      <c r="E56" t="s">
        <v>79</v>
      </c>
      <c r="F56" t="e">
        <f t="shared" ref="F56:M56" ca="1" si="13">MID(CELL("filename"),SEARCH("[",CELL("filename"))+1,SEARCH("]",CELL("filename"))-SEARCH("[",CELL("filename"))-1)</f>
        <v>#VALUE!</v>
      </c>
      <c r="G56" t="e">
        <f t="shared" ca="1" si="13"/>
        <v>#VALUE!</v>
      </c>
      <c r="H56" t="e">
        <f t="shared" ca="1" si="13"/>
        <v>#VALUE!</v>
      </c>
      <c r="I56" t="e">
        <f t="shared" ca="1" si="13"/>
        <v>#VALUE!</v>
      </c>
      <c r="J56" t="e">
        <f t="shared" ca="1" si="13"/>
        <v>#VALUE!</v>
      </c>
      <c r="K56" t="e">
        <f t="shared" ca="1" si="13"/>
        <v>#VALUE!</v>
      </c>
      <c r="L56" t="e">
        <f t="shared" ca="1" si="13"/>
        <v>#VALUE!</v>
      </c>
      <c r="M56" t="e">
        <f t="shared" ca="1" si="13"/>
        <v>#VALUE!</v>
      </c>
    </row>
    <row r="57" spans="1:13">
      <c r="A57" t="s">
        <v>110</v>
      </c>
      <c r="B57" t="str">
        <f xml:space="preserve"> CONCATENATE("PR24QA_",  $C$2, "_OUT3")</f>
        <v>PR24QA_PR24CA28_OUT3</v>
      </c>
      <c r="C57" t="str">
        <f xml:space="preserve"> CONCATENATE("F_Inputs time stamp - ", $C$2)</f>
        <v>F_Inputs time stamp - PR24CA28</v>
      </c>
      <c r="D57" t="s">
        <v>443</v>
      </c>
      <c r="E57" t="s">
        <v>79</v>
      </c>
      <c r="F57" t="str">
        <f>F_Inputs!$E$2</f>
        <v>Run on 05 Sep 2024 9:10</v>
      </c>
      <c r="G57" t="str">
        <f>F_Inputs!$E$2</f>
        <v>Run on 05 Sep 2024 9:10</v>
      </c>
      <c r="H57" t="str">
        <f>F_Inputs!$E$2</f>
        <v>Run on 05 Sep 2024 9:10</v>
      </c>
      <c r="I57" t="str">
        <f>F_Inputs!$E$2</f>
        <v>Run on 05 Sep 2024 9:10</v>
      </c>
      <c r="J57" t="str">
        <f>F_Inputs!$E$2</f>
        <v>Run on 05 Sep 2024 9:10</v>
      </c>
      <c r="K57" t="str">
        <f>F_Inputs!$E$2</f>
        <v>Run on 05 Sep 2024 9:10</v>
      </c>
      <c r="L57" t="str">
        <f>F_Inputs!$E$2</f>
        <v>Run on 05 Sep 2024 9:10</v>
      </c>
      <c r="M57" t="str">
        <f>F_Inputs!$E$2</f>
        <v>Run on 05 Sep 2024 9:10</v>
      </c>
    </row>
    <row r="58" spans="1:13">
      <c r="A58" t="s">
        <v>110</v>
      </c>
      <c r="B58" t="str">
        <f xml:space="preserve"> CONCATENATE("PR24QA_",  $C$2, "_OUT4")</f>
        <v>PR24QA_PR24CA28_OUT4</v>
      </c>
      <c r="C58" t="str">
        <f xml:space="preserve"> CONCATENATE("Model override switch for - ", $C$2)</f>
        <v>Model override switch for - PR24CA28</v>
      </c>
      <c r="D58" t="s">
        <v>99</v>
      </c>
      <c r="E58" t="s">
        <v>79</v>
      </c>
      <c r="F58">
        <f>IF(SUM('F_Input Override'!$E$5:$K$160)&gt;0,1,0)</f>
        <v>1</v>
      </c>
      <c r="G58">
        <f>IF(SUM('F_Input Override'!$E$5:$K$160)&gt;0,1,0)</f>
        <v>1</v>
      </c>
      <c r="H58">
        <f>IF(SUM('F_Input Override'!$E$5:$K$160)&gt;0,1,0)</f>
        <v>1</v>
      </c>
      <c r="I58">
        <f>IF(SUM('F_Input Override'!$E$5:$K$160)&gt;0,1,0)</f>
        <v>1</v>
      </c>
      <c r="J58">
        <f>IF(SUM('F_Input Override'!$E$5:$K$160)&gt;0,1,0)</f>
        <v>1</v>
      </c>
      <c r="K58">
        <f>IF(SUM('F_Input Override'!$E$5:$K$160)&gt;0,1,0)</f>
        <v>1</v>
      </c>
      <c r="L58">
        <f>IF(SUM('F_Input Override'!$E$5:$K$160)&gt;0,1,0)</f>
        <v>1</v>
      </c>
      <c r="M58">
        <f>IF(SUM('F_Input Override'!$E$5:$K$160)&gt;0,1,0)</f>
        <v>1</v>
      </c>
    </row>
    <row r="59" spans="1:13">
      <c r="A59" t="s">
        <v>110</v>
      </c>
      <c r="B59" t="str">
        <f>CONCATENATE("C_", $C$2, "_ENH_WW_ASSESSED")</f>
        <v>C_PR24CA28_ENH_WW_ASSESSED</v>
      </c>
      <c r="C59" t="str">
        <f>CONCATENATE("Total amount assessed - ", MID($C$4,31,200))</f>
        <v>Total amount assessed - Wastewater - MCERTS PS EO - Totex</v>
      </c>
      <c r="D59" s="37" t="s">
        <v>85</v>
      </c>
      <c r="E59" t="s">
        <v>79</v>
      </c>
      <c r="F59">
        <f ca="1" xml:space="preserve"> SUMIFS(Allowance!$E$13:$E$23, Allowance!$B$13:$B$23, A59)</f>
        <v>10.199999999999999</v>
      </c>
    </row>
    <row r="60" spans="1:13">
      <c r="A60" t="s">
        <v>112</v>
      </c>
      <c r="B60" t="str">
        <f>CONCATENATE("C_", $C$2, "_ENH_WW_TOT")</f>
        <v>C_PR24CA28_ENH_WW_TOT</v>
      </c>
      <c r="C60" t="str">
        <f xml:space="preserve"> $C$4</f>
        <v>Total enhancement allowance - Wastewater - MCERTS PS EO - Totex</v>
      </c>
      <c r="D60" t="s">
        <v>85</v>
      </c>
      <c r="E60" t="s">
        <v>79</v>
      </c>
      <c r="I60">
        <f ca="1" xml:space="preserve"> SUMIFS('Outputs to aggregator'!U$41:U$70, 'Outputs to aggregator'!$O$41:$O$70, $A60)</f>
        <v>3.7560000000000002</v>
      </c>
      <c r="J60">
        <f ca="1" xml:space="preserve"> SUMIFS('Outputs to aggregator'!V$41:V$70, 'Outputs to aggregator'!$O$41:$O$70, $A60)</f>
        <v>3.7728000000000002</v>
      </c>
      <c r="K60">
        <f ca="1" xml:space="preserve"> SUMIFS('Outputs to aggregator'!W$41:W$70, 'Outputs to aggregator'!$O$41:$O$70, $A60)</f>
        <v>0.94720000000000004</v>
      </c>
      <c r="L60">
        <f ca="1" xml:space="preserve"> SUMIFS('Outputs to aggregator'!X$41:X$70, 'Outputs to aggregator'!$O$41:$O$70, $A60)</f>
        <v>0.47599999999999998</v>
      </c>
      <c r="M60">
        <f ca="1" xml:space="preserve"> SUMIFS('Outputs to aggregator'!Y$41:Y$70, 'Outputs to aggregator'!$O$41:$O$70, $A60)</f>
        <v>0.47839999999999999</v>
      </c>
    </row>
    <row r="61" spans="1:13">
      <c r="A61" t="s">
        <v>112</v>
      </c>
      <c r="B61" t="str">
        <f>CONCATENATE("C_", $C$2, "_ENH_WW_AP")</f>
        <v>C_PR24CA28_ENH_WW_AP</v>
      </c>
      <c r="C61" t="str">
        <f xml:space="preserve"> $C$5</f>
        <v>Total enhancement allowance - Wastewater - MCERTS PS EO - Accelerated programme</v>
      </c>
      <c r="D61" t="s">
        <v>85</v>
      </c>
      <c r="E61" t="s">
        <v>79</v>
      </c>
      <c r="G61">
        <f ca="1" xml:space="preserve"> SUMIFS('Outputs to aggregator'!$R$41:$R$52, 'Outputs to aggregator'!$O$41:$O$52, $A61)</f>
        <v>0</v>
      </c>
      <c r="H61">
        <f ca="1" xml:space="preserve"> SUMIFS('Outputs to aggregator'!$T$41:$T$52, 'Outputs to aggregator'!$O$41:$O$52, $A61)</f>
        <v>0</v>
      </c>
    </row>
    <row r="62" spans="1:13">
      <c r="A62" t="s">
        <v>112</v>
      </c>
      <c r="B62" t="str">
        <f>CONCATENATE("C_", $C$2, "_ENH_WW_TE")</f>
        <v>C_PR24CA28_ENH_WW_TE</v>
      </c>
      <c r="C62" t="str">
        <f xml:space="preserve"> $C$6</f>
        <v>Total enhancement allowance - Wastewater - MCERTS PS EO - Transition allowance</v>
      </c>
      <c r="D62" t="s">
        <v>85</v>
      </c>
      <c r="E62" t="s">
        <v>79</v>
      </c>
      <c r="G62">
        <f ca="1" xml:space="preserve"> SUMIFS('Outputs to aggregator'!$Q$41:$Q$52, 'Outputs to aggregator'!$O$41:$O$52, $A62)</f>
        <v>0</v>
      </c>
      <c r="H62">
        <f ca="1" xml:space="preserve"> SUMIFS('Outputs to aggregator'!$S$41:$S$52, 'Outputs to aggregator'!$O$41:$O$52, $A62)</f>
        <v>0</v>
      </c>
    </row>
    <row r="63" spans="1:13">
      <c r="A63" t="s">
        <v>112</v>
      </c>
      <c r="B63" t="str">
        <f xml:space="preserve"> CONCATENATE("PR24QA_",  $C$2, "_OUT1")</f>
        <v>PR24QA_PR24CA28_OUT1</v>
      </c>
      <c r="C63" t="str">
        <f xml:space="preserve"> CONCATENATE("Date &amp; Time for Model - ", $C$2)</f>
        <v>Date &amp; Time for Model - PR24CA28</v>
      </c>
      <c r="D63" t="s">
        <v>443</v>
      </c>
      <c r="E63" t="s">
        <v>79</v>
      </c>
      <c r="F63" t="str">
        <f t="shared" ref="F63:M63" ca="1" si="14">CONCATENATE("[…]", TEXT(NOW(),"dd/mm/yyy hh:mm:ss"))</f>
        <v>[…]26/03/2025 10:07:56</v>
      </c>
      <c r="G63" t="str">
        <f t="shared" ca="1" si="14"/>
        <v>[…]26/03/2025 10:07:56</v>
      </c>
      <c r="H63" t="str">
        <f t="shared" ca="1" si="14"/>
        <v>[…]26/03/2025 10:07:56</v>
      </c>
      <c r="I63" t="str">
        <f t="shared" ca="1" si="14"/>
        <v>[…]26/03/2025 10:07:56</v>
      </c>
      <c r="J63" t="str">
        <f t="shared" ca="1" si="14"/>
        <v>[…]26/03/2025 10:07:56</v>
      </c>
      <c r="K63" t="str">
        <f t="shared" ca="1" si="14"/>
        <v>[…]26/03/2025 10:07:56</v>
      </c>
      <c r="L63" t="str">
        <f t="shared" ca="1" si="14"/>
        <v>[…]26/03/2025 10:07:56</v>
      </c>
      <c r="M63" t="str">
        <f t="shared" ca="1" si="14"/>
        <v>[…]26/03/2025 10:07:56</v>
      </c>
    </row>
    <row r="64" spans="1:13">
      <c r="A64" t="s">
        <v>112</v>
      </c>
      <c r="B64" t="str">
        <f xml:space="preserve"> CONCATENATE("PR24QA_",  $C$2, "_OUT2")</f>
        <v>PR24QA_PR24CA28_OUT2</v>
      </c>
      <c r="C64" t="str">
        <f xml:space="preserve"> CONCATENATE("Name of Model - ", $C$2)</f>
        <v>Name of Model - PR24CA28</v>
      </c>
      <c r="D64" t="s">
        <v>443</v>
      </c>
      <c r="E64" t="s">
        <v>79</v>
      </c>
      <c r="F64" t="e">
        <f t="shared" ref="F64:M64" ca="1" si="15">MID(CELL("filename"),SEARCH("[",CELL("filename"))+1,SEARCH("]",CELL("filename"))-SEARCH("[",CELL("filename"))-1)</f>
        <v>#VALUE!</v>
      </c>
      <c r="G64" t="e">
        <f t="shared" ca="1" si="15"/>
        <v>#VALUE!</v>
      </c>
      <c r="H64" t="e">
        <f t="shared" ca="1" si="15"/>
        <v>#VALUE!</v>
      </c>
      <c r="I64" t="e">
        <f t="shared" ca="1" si="15"/>
        <v>#VALUE!</v>
      </c>
      <c r="J64" t="e">
        <f t="shared" ca="1" si="15"/>
        <v>#VALUE!</v>
      </c>
      <c r="K64" t="e">
        <f t="shared" ca="1" si="15"/>
        <v>#VALUE!</v>
      </c>
      <c r="L64" t="e">
        <f t="shared" ca="1" si="15"/>
        <v>#VALUE!</v>
      </c>
      <c r="M64" t="e">
        <f t="shared" ca="1" si="15"/>
        <v>#VALUE!</v>
      </c>
    </row>
    <row r="65" spans="1:13">
      <c r="A65" t="s">
        <v>112</v>
      </c>
      <c r="B65" t="str">
        <f xml:space="preserve"> CONCATENATE("PR24QA_",  $C$2, "_OUT3")</f>
        <v>PR24QA_PR24CA28_OUT3</v>
      </c>
      <c r="C65" t="str">
        <f xml:space="preserve"> CONCATENATE("F_Inputs time stamp - ", $C$2)</f>
        <v>F_Inputs time stamp - PR24CA28</v>
      </c>
      <c r="D65" t="s">
        <v>443</v>
      </c>
      <c r="E65" t="s">
        <v>79</v>
      </c>
      <c r="F65" t="str">
        <f>F_Inputs!$E$2</f>
        <v>Run on 05 Sep 2024 9:10</v>
      </c>
      <c r="G65" t="str">
        <f>F_Inputs!$E$2</f>
        <v>Run on 05 Sep 2024 9:10</v>
      </c>
      <c r="H65" t="str">
        <f>F_Inputs!$E$2</f>
        <v>Run on 05 Sep 2024 9:10</v>
      </c>
      <c r="I65" t="str">
        <f>F_Inputs!$E$2</f>
        <v>Run on 05 Sep 2024 9:10</v>
      </c>
      <c r="J65" t="str">
        <f>F_Inputs!$E$2</f>
        <v>Run on 05 Sep 2024 9:10</v>
      </c>
      <c r="K65" t="str">
        <f>F_Inputs!$E$2</f>
        <v>Run on 05 Sep 2024 9:10</v>
      </c>
      <c r="L65" t="str">
        <f>F_Inputs!$E$2</f>
        <v>Run on 05 Sep 2024 9:10</v>
      </c>
      <c r="M65" t="str">
        <f>F_Inputs!$E$2</f>
        <v>Run on 05 Sep 2024 9:10</v>
      </c>
    </row>
    <row r="66" spans="1:13">
      <c r="A66" t="s">
        <v>112</v>
      </c>
      <c r="B66" t="str">
        <f xml:space="preserve"> CONCATENATE("PR24QA_",  $C$2, "_OUT4")</f>
        <v>PR24QA_PR24CA28_OUT4</v>
      </c>
      <c r="C66" t="str">
        <f xml:space="preserve"> CONCATENATE("Model override switch for - ", $C$2)</f>
        <v>Model override switch for - PR24CA28</v>
      </c>
      <c r="D66" t="s">
        <v>99</v>
      </c>
      <c r="E66" t="s">
        <v>79</v>
      </c>
      <c r="F66">
        <f>IF(SUM('F_Input Override'!$E$5:$K$160)&gt;0,1,0)</f>
        <v>1</v>
      </c>
      <c r="G66">
        <f>IF(SUM('F_Input Override'!$E$5:$K$160)&gt;0,1,0)</f>
        <v>1</v>
      </c>
      <c r="H66">
        <f>IF(SUM('F_Input Override'!$E$5:$K$160)&gt;0,1,0)</f>
        <v>1</v>
      </c>
      <c r="I66">
        <f>IF(SUM('F_Input Override'!$E$5:$K$160)&gt;0,1,0)</f>
        <v>1</v>
      </c>
      <c r="J66">
        <f>IF(SUM('F_Input Override'!$E$5:$K$160)&gt;0,1,0)</f>
        <v>1</v>
      </c>
      <c r="K66">
        <f>IF(SUM('F_Input Override'!$E$5:$K$160)&gt;0,1,0)</f>
        <v>1</v>
      </c>
      <c r="L66">
        <f>IF(SUM('F_Input Override'!$E$5:$K$160)&gt;0,1,0)</f>
        <v>1</v>
      </c>
      <c r="M66">
        <f>IF(SUM('F_Input Override'!$E$5:$K$160)&gt;0,1,0)</f>
        <v>1</v>
      </c>
    </row>
    <row r="67" spans="1:13">
      <c r="A67" t="s">
        <v>112</v>
      </c>
      <c r="B67" t="str">
        <f>CONCATENATE("C_", $C$2, "_ENH_WW_ASSESSED")</f>
        <v>C_PR24CA28_ENH_WW_ASSESSED</v>
      </c>
      <c r="C67" t="str">
        <f>CONCATENATE("Total amount assessed - ", MID($C$4,31,200))</f>
        <v>Total amount assessed - Wastewater - MCERTS PS EO - Totex</v>
      </c>
      <c r="D67" s="37" t="s">
        <v>85</v>
      </c>
      <c r="E67" t="s">
        <v>79</v>
      </c>
      <c r="F67">
        <f ca="1" xml:space="preserve"> SUMIFS(Allowance!$E$13:$E$23, Allowance!$B$13:$B$23, A67)</f>
        <v>11.788000000000002</v>
      </c>
    </row>
    <row r="68" spans="1:13">
      <c r="A68" t="s">
        <v>106</v>
      </c>
      <c r="B68" t="str">
        <f>CONCATENATE("C_", $C$2, "_ENH_WW_TOT")</f>
        <v>C_PR24CA28_ENH_WW_TOT</v>
      </c>
      <c r="C68" t="str">
        <f xml:space="preserve"> $C$4</f>
        <v>Total enhancement allowance - Wastewater - MCERTS PS EO - Totex</v>
      </c>
      <c r="D68" t="s">
        <v>85</v>
      </c>
      <c r="E68" t="s">
        <v>79</v>
      </c>
      <c r="I68">
        <f ca="1" xml:space="preserve"> SUMIFS('Outputs to aggregator'!U$41:U$70, 'Outputs to aggregator'!$O$41:$O$70, $A68)</f>
        <v>3.1856000000000004</v>
      </c>
      <c r="J68">
        <f ca="1" xml:space="preserve"> SUMIFS('Outputs to aggregator'!V$41:V$70, 'Outputs to aggregator'!$O$41:$O$70, $A68)</f>
        <v>4.7744000000000009</v>
      </c>
      <c r="K68">
        <f ca="1" xml:space="preserve"> SUMIFS('Outputs to aggregator'!W$41:W$70, 'Outputs to aggregator'!$O$41:$O$70, $A68)</f>
        <v>4.8736000000000006</v>
      </c>
      <c r="L68">
        <f ca="1" xml:space="preserve"> SUMIFS('Outputs to aggregator'!X$41:X$70, 'Outputs to aggregator'!$O$41:$O$70, $A68)</f>
        <v>3.5488</v>
      </c>
      <c r="M68">
        <f ca="1" xml:space="preserve"> SUMIFS('Outputs to aggregator'!Y$41:Y$70, 'Outputs to aggregator'!$O$41:$O$70, $A68)</f>
        <v>0.57120000000000004</v>
      </c>
    </row>
    <row r="69" spans="1:13">
      <c r="A69" t="s">
        <v>106</v>
      </c>
      <c r="B69" t="str">
        <f>CONCATENATE("C_", $C$2, "_ENH_WW_AP")</f>
        <v>C_PR24CA28_ENH_WW_AP</v>
      </c>
      <c r="C69" t="str">
        <f xml:space="preserve"> $C$5</f>
        <v>Total enhancement allowance - Wastewater - MCERTS PS EO - Accelerated programme</v>
      </c>
      <c r="D69" t="s">
        <v>85</v>
      </c>
      <c r="E69" t="s">
        <v>79</v>
      </c>
      <c r="G69">
        <f ca="1" xml:space="preserve"> SUMIFS('Outputs to aggregator'!$R$41:$R$52, 'Outputs to aggregator'!$O$41:$O$52, $A69)</f>
        <v>0</v>
      </c>
      <c r="H69">
        <f ca="1" xml:space="preserve"> SUMIFS('Outputs to aggregator'!$T$41:$T$52, 'Outputs to aggregator'!$O$41:$O$52, $A69)</f>
        <v>0</v>
      </c>
    </row>
    <row r="70" spans="1:13">
      <c r="A70" t="s">
        <v>106</v>
      </c>
      <c r="B70" t="str">
        <f>CONCATENATE("C_", $C$2, "_ENH_WW_TE")</f>
        <v>C_PR24CA28_ENH_WW_TE</v>
      </c>
      <c r="C70" t="str">
        <f xml:space="preserve"> $C$6</f>
        <v>Total enhancement allowance - Wastewater - MCERTS PS EO - Transition allowance</v>
      </c>
      <c r="D70" t="s">
        <v>85</v>
      </c>
      <c r="E70" t="s">
        <v>79</v>
      </c>
      <c r="G70">
        <f ca="1" xml:space="preserve"> SUMIFS('Outputs to aggregator'!$Q$41:$Q$52, 'Outputs to aggregator'!$O$41:$O$52, $A70)</f>
        <v>0</v>
      </c>
      <c r="H70">
        <f ca="1" xml:space="preserve"> SUMIFS('Outputs to aggregator'!$S$41:$S$52, 'Outputs to aggregator'!$O$41:$O$52, $A70)</f>
        <v>0</v>
      </c>
    </row>
    <row r="71" spans="1:13">
      <c r="A71" t="s">
        <v>106</v>
      </c>
      <c r="B71" t="str">
        <f xml:space="preserve"> CONCATENATE("PR24QA_",  $C$2, "_OUT1")</f>
        <v>PR24QA_PR24CA28_OUT1</v>
      </c>
      <c r="C71" t="str">
        <f xml:space="preserve"> CONCATENATE("Date &amp; Time for Model - ", $C$2)</f>
        <v>Date &amp; Time for Model - PR24CA28</v>
      </c>
      <c r="D71" t="s">
        <v>443</v>
      </c>
      <c r="E71" t="s">
        <v>79</v>
      </c>
      <c r="F71" t="str">
        <f t="shared" ref="F71:M71" ca="1" si="16">CONCATENATE("[…]", TEXT(NOW(),"dd/mm/yyy hh:mm:ss"))</f>
        <v>[…]26/03/2025 10:07:56</v>
      </c>
      <c r="G71" t="str">
        <f t="shared" ca="1" si="16"/>
        <v>[…]26/03/2025 10:07:56</v>
      </c>
      <c r="H71" t="str">
        <f t="shared" ca="1" si="16"/>
        <v>[…]26/03/2025 10:07:56</v>
      </c>
      <c r="I71" t="str">
        <f t="shared" ca="1" si="16"/>
        <v>[…]26/03/2025 10:07:56</v>
      </c>
      <c r="J71" t="str">
        <f t="shared" ca="1" si="16"/>
        <v>[…]26/03/2025 10:07:56</v>
      </c>
      <c r="K71" t="str">
        <f t="shared" ca="1" si="16"/>
        <v>[…]26/03/2025 10:07:56</v>
      </c>
      <c r="L71" t="str">
        <f t="shared" ca="1" si="16"/>
        <v>[…]26/03/2025 10:07:56</v>
      </c>
      <c r="M71" t="str">
        <f t="shared" ca="1" si="16"/>
        <v>[…]26/03/2025 10:07:56</v>
      </c>
    </row>
    <row r="72" spans="1:13">
      <c r="A72" t="s">
        <v>106</v>
      </c>
      <c r="B72" t="str">
        <f xml:space="preserve"> CONCATENATE("PR24QA_",  $C$2, "_OUT2")</f>
        <v>PR24QA_PR24CA28_OUT2</v>
      </c>
      <c r="C72" t="str">
        <f xml:space="preserve"> CONCATENATE("Name of Model - ", $C$2)</f>
        <v>Name of Model - PR24CA28</v>
      </c>
      <c r="D72" t="s">
        <v>443</v>
      </c>
      <c r="E72" t="s">
        <v>79</v>
      </c>
      <c r="F72" t="e">
        <f t="shared" ref="F72:M72" ca="1" si="17">MID(CELL("filename"),SEARCH("[",CELL("filename"))+1,SEARCH("]",CELL("filename"))-SEARCH("[",CELL("filename"))-1)</f>
        <v>#VALUE!</v>
      </c>
      <c r="G72" t="e">
        <f t="shared" ca="1" si="17"/>
        <v>#VALUE!</v>
      </c>
      <c r="H72" t="e">
        <f t="shared" ca="1" si="17"/>
        <v>#VALUE!</v>
      </c>
      <c r="I72" t="e">
        <f t="shared" ca="1" si="17"/>
        <v>#VALUE!</v>
      </c>
      <c r="J72" t="e">
        <f t="shared" ca="1" si="17"/>
        <v>#VALUE!</v>
      </c>
      <c r="K72" t="e">
        <f t="shared" ca="1" si="17"/>
        <v>#VALUE!</v>
      </c>
      <c r="L72" t="e">
        <f t="shared" ca="1" si="17"/>
        <v>#VALUE!</v>
      </c>
      <c r="M72" t="e">
        <f t="shared" ca="1" si="17"/>
        <v>#VALUE!</v>
      </c>
    </row>
    <row r="73" spans="1:13">
      <c r="A73" t="s">
        <v>106</v>
      </c>
      <c r="B73" t="str">
        <f xml:space="preserve"> CONCATENATE("PR24QA_",  $C$2, "_OUT3")</f>
        <v>PR24QA_PR24CA28_OUT3</v>
      </c>
      <c r="C73" t="str">
        <f xml:space="preserve"> CONCATENATE("F_Inputs time stamp - ", $C$2)</f>
        <v>F_Inputs time stamp - PR24CA28</v>
      </c>
      <c r="D73" t="s">
        <v>443</v>
      </c>
      <c r="E73" t="s">
        <v>79</v>
      </c>
      <c r="F73" t="str">
        <f>F_Inputs!$E$2</f>
        <v>Run on 05 Sep 2024 9:10</v>
      </c>
      <c r="G73" t="str">
        <f>F_Inputs!$E$2</f>
        <v>Run on 05 Sep 2024 9:10</v>
      </c>
      <c r="H73" t="str">
        <f>F_Inputs!$E$2</f>
        <v>Run on 05 Sep 2024 9:10</v>
      </c>
      <c r="I73" t="str">
        <f>F_Inputs!$E$2</f>
        <v>Run on 05 Sep 2024 9:10</v>
      </c>
      <c r="J73" t="str">
        <f>F_Inputs!$E$2</f>
        <v>Run on 05 Sep 2024 9:10</v>
      </c>
      <c r="K73" t="str">
        <f>F_Inputs!$E$2</f>
        <v>Run on 05 Sep 2024 9:10</v>
      </c>
      <c r="L73" t="str">
        <f>F_Inputs!$E$2</f>
        <v>Run on 05 Sep 2024 9:10</v>
      </c>
      <c r="M73" t="str">
        <f>F_Inputs!$E$2</f>
        <v>Run on 05 Sep 2024 9:10</v>
      </c>
    </row>
    <row r="74" spans="1:13">
      <c r="A74" t="s">
        <v>106</v>
      </c>
      <c r="B74" t="str">
        <f xml:space="preserve"> CONCATENATE("PR24QA_",  $C$2, "_OUT4")</f>
        <v>PR24QA_PR24CA28_OUT4</v>
      </c>
      <c r="C74" t="str">
        <f xml:space="preserve"> CONCATENATE("Model override switch for - ", $C$2)</f>
        <v>Model override switch for - PR24CA28</v>
      </c>
      <c r="D74" t="s">
        <v>99</v>
      </c>
      <c r="E74" t="s">
        <v>79</v>
      </c>
      <c r="F74">
        <f>IF(SUM('F_Input Override'!$E$5:$K$160)&gt;0,1,0)</f>
        <v>1</v>
      </c>
      <c r="G74">
        <f>IF(SUM('F_Input Override'!$E$5:$K$160)&gt;0,1,0)</f>
        <v>1</v>
      </c>
      <c r="H74">
        <f>IF(SUM('F_Input Override'!$E$5:$K$160)&gt;0,1,0)</f>
        <v>1</v>
      </c>
      <c r="I74">
        <f>IF(SUM('F_Input Override'!$E$5:$K$160)&gt;0,1,0)</f>
        <v>1</v>
      </c>
      <c r="J74">
        <f>IF(SUM('F_Input Override'!$E$5:$K$160)&gt;0,1,0)</f>
        <v>1</v>
      </c>
      <c r="K74">
        <f>IF(SUM('F_Input Override'!$E$5:$K$160)&gt;0,1,0)</f>
        <v>1</v>
      </c>
      <c r="L74">
        <f>IF(SUM('F_Input Override'!$E$5:$K$160)&gt;0,1,0)</f>
        <v>1</v>
      </c>
      <c r="M74">
        <f>IF(SUM('F_Input Override'!$E$5:$K$160)&gt;0,1,0)</f>
        <v>1</v>
      </c>
    </row>
    <row r="75" spans="1:13">
      <c r="A75" t="s">
        <v>106</v>
      </c>
      <c r="B75" t="str">
        <f>CONCATENATE("C_", $C$2, "_ENH_WW_ASSESSED")</f>
        <v>C_PR24CA28_ENH_WW_ASSESSED</v>
      </c>
      <c r="C75" t="str">
        <f>CONCATENATE("Total amount assessed - ", MID($C$4,31,200))</f>
        <v>Total amount assessed - Wastewater - MCERTS PS EO - Totex</v>
      </c>
      <c r="D75" s="37" t="s">
        <v>85</v>
      </c>
      <c r="E75" t="s">
        <v>79</v>
      </c>
      <c r="F75">
        <f ca="1" xml:space="preserve"> SUMIFS(Allowance!$E$13:$E$23, Allowance!$B$13:$B$23, A75)</f>
        <v>21.192</v>
      </c>
    </row>
    <row r="76" spans="1:13">
      <c r="A76" t="s">
        <v>114</v>
      </c>
      <c r="B76" t="str">
        <f>CONCATENATE("C_", $C$2, "_ENH_WW_TOT")</f>
        <v>C_PR24CA28_ENH_WW_TOT</v>
      </c>
      <c r="C76" t="str">
        <f xml:space="preserve"> $C$4</f>
        <v>Total enhancement allowance - Wastewater - MCERTS PS EO - Totex</v>
      </c>
      <c r="D76" t="s">
        <v>85</v>
      </c>
      <c r="E76" t="s">
        <v>79</v>
      </c>
      <c r="I76">
        <f ca="1" xml:space="preserve"> SUMIFS('Outputs to aggregator'!U$41:U$70, 'Outputs to aggregator'!$O$41:$O$70, $A76)</f>
        <v>3.3440496</v>
      </c>
      <c r="J76">
        <f ca="1" xml:space="preserve"> SUMIFS('Outputs to aggregator'!V$41:V$70, 'Outputs to aggregator'!$O$41:$O$70, $A76)</f>
        <v>3.4504185999999999</v>
      </c>
      <c r="K76">
        <f ca="1" xml:space="preserve"> SUMIFS('Outputs to aggregator'!W$41:W$70, 'Outputs to aggregator'!$O$41:$O$70, $A76)</f>
        <v>4.3470070999999999</v>
      </c>
      <c r="L76">
        <f ca="1" xml:space="preserve"> SUMIFS('Outputs to aggregator'!X$41:X$70, 'Outputs to aggregator'!$O$41:$O$70, $A76)</f>
        <v>4.3691122</v>
      </c>
      <c r="M76">
        <f ca="1" xml:space="preserve"> SUMIFS('Outputs to aggregator'!Y$41:Y$70, 'Outputs to aggregator'!$O$41:$O$70, $A76)</f>
        <v>4.4644124999999999</v>
      </c>
    </row>
    <row r="77" spans="1:13">
      <c r="A77" t="s">
        <v>114</v>
      </c>
      <c r="B77" t="str">
        <f>CONCATENATE("C_", $C$2, "_ENH_WW_AP")</f>
        <v>C_PR24CA28_ENH_WW_AP</v>
      </c>
      <c r="C77" t="str">
        <f xml:space="preserve"> $C$5</f>
        <v>Total enhancement allowance - Wastewater - MCERTS PS EO - Accelerated programme</v>
      </c>
      <c r="D77" t="s">
        <v>85</v>
      </c>
      <c r="E77" t="s">
        <v>79</v>
      </c>
      <c r="G77">
        <f ca="1" xml:space="preserve"> SUMIFS('Outputs to aggregator'!$R$41:$R$52, 'Outputs to aggregator'!$O$41:$O$52, $A77)</f>
        <v>0</v>
      </c>
      <c r="H77">
        <f ca="1" xml:space="preserve"> SUMIFS('Outputs to aggregator'!$T$41:$T$52, 'Outputs to aggregator'!$O$41:$O$52, $A77)</f>
        <v>0</v>
      </c>
    </row>
    <row r="78" spans="1:13">
      <c r="A78" t="s">
        <v>114</v>
      </c>
      <c r="B78" t="str">
        <f>CONCATENATE("C_", $C$2, "_ENH_WW_TE")</f>
        <v>C_PR24CA28_ENH_WW_TE</v>
      </c>
      <c r="C78" t="str">
        <f xml:space="preserve"> $C$6</f>
        <v>Total enhancement allowance - Wastewater - MCERTS PS EO - Transition allowance</v>
      </c>
      <c r="D78" t="s">
        <v>85</v>
      </c>
      <c r="E78" t="s">
        <v>79</v>
      </c>
      <c r="G78">
        <f ca="1" xml:space="preserve"> SUMIFS('Outputs to aggregator'!$Q$41:$Q$52, 'Outputs to aggregator'!$O$41:$O$52, $A78)</f>
        <v>0</v>
      </c>
      <c r="H78">
        <f ca="1" xml:space="preserve"> SUMIFS('Outputs to aggregator'!$S$41:$S$52, 'Outputs to aggregator'!$O$41:$O$52, $A78)</f>
        <v>0</v>
      </c>
    </row>
    <row r="79" spans="1:13">
      <c r="A79" t="s">
        <v>114</v>
      </c>
      <c r="B79" t="str">
        <f xml:space="preserve"> CONCATENATE("PR24QA_",  $C$2, "_OUT1")</f>
        <v>PR24QA_PR24CA28_OUT1</v>
      </c>
      <c r="C79" t="str">
        <f xml:space="preserve"> CONCATENATE("Date &amp; Time for Model - ", $C$2)</f>
        <v>Date &amp; Time for Model - PR24CA28</v>
      </c>
      <c r="D79" t="s">
        <v>443</v>
      </c>
      <c r="E79" t="s">
        <v>79</v>
      </c>
      <c r="F79" t="str">
        <f t="shared" ref="F79:M79" ca="1" si="18">CONCATENATE("[…]", TEXT(NOW(),"dd/mm/yyy hh:mm:ss"))</f>
        <v>[…]26/03/2025 10:07:56</v>
      </c>
      <c r="G79" t="str">
        <f t="shared" ca="1" si="18"/>
        <v>[…]26/03/2025 10:07:56</v>
      </c>
      <c r="H79" t="str">
        <f t="shared" ca="1" si="18"/>
        <v>[…]26/03/2025 10:07:56</v>
      </c>
      <c r="I79" t="str">
        <f t="shared" ca="1" si="18"/>
        <v>[…]26/03/2025 10:07:56</v>
      </c>
      <c r="J79" t="str">
        <f t="shared" ca="1" si="18"/>
        <v>[…]26/03/2025 10:07:56</v>
      </c>
      <c r="K79" t="str">
        <f t="shared" ca="1" si="18"/>
        <v>[…]26/03/2025 10:07:56</v>
      </c>
      <c r="L79" t="str">
        <f t="shared" ca="1" si="18"/>
        <v>[…]26/03/2025 10:07:56</v>
      </c>
      <c r="M79" t="str">
        <f t="shared" ca="1" si="18"/>
        <v>[…]26/03/2025 10:07:56</v>
      </c>
    </row>
    <row r="80" spans="1:13">
      <c r="A80" t="s">
        <v>114</v>
      </c>
      <c r="B80" t="str">
        <f xml:space="preserve"> CONCATENATE("PR24QA_",  $C$2, "_OUT2")</f>
        <v>PR24QA_PR24CA28_OUT2</v>
      </c>
      <c r="C80" t="str">
        <f xml:space="preserve"> CONCATENATE("Name of Model - ", $C$2)</f>
        <v>Name of Model - PR24CA28</v>
      </c>
      <c r="D80" t="s">
        <v>443</v>
      </c>
      <c r="E80" t="s">
        <v>79</v>
      </c>
      <c r="F80" t="e">
        <f t="shared" ref="F80:M80" ca="1" si="19">MID(CELL("filename"),SEARCH("[",CELL("filename"))+1,SEARCH("]",CELL("filename"))-SEARCH("[",CELL("filename"))-1)</f>
        <v>#VALUE!</v>
      </c>
      <c r="G80" t="e">
        <f t="shared" ca="1" si="19"/>
        <v>#VALUE!</v>
      </c>
      <c r="H80" t="e">
        <f t="shared" ca="1" si="19"/>
        <v>#VALUE!</v>
      </c>
      <c r="I80" t="e">
        <f t="shared" ca="1" si="19"/>
        <v>#VALUE!</v>
      </c>
      <c r="J80" t="e">
        <f t="shared" ca="1" si="19"/>
        <v>#VALUE!</v>
      </c>
      <c r="K80" t="e">
        <f t="shared" ca="1" si="19"/>
        <v>#VALUE!</v>
      </c>
      <c r="L80" t="e">
        <f t="shared" ca="1" si="19"/>
        <v>#VALUE!</v>
      </c>
      <c r="M80" t="e">
        <f t="shared" ca="1" si="19"/>
        <v>#VALUE!</v>
      </c>
    </row>
    <row r="81" spans="1:13">
      <c r="A81" t="s">
        <v>114</v>
      </c>
      <c r="B81" t="str">
        <f xml:space="preserve"> CONCATENATE("PR24QA_",  $C$2, "_OUT3")</f>
        <v>PR24QA_PR24CA28_OUT3</v>
      </c>
      <c r="C81" t="str">
        <f xml:space="preserve"> CONCATENATE("F_Inputs time stamp - ", $C$2)</f>
        <v>F_Inputs time stamp - PR24CA28</v>
      </c>
      <c r="D81" t="s">
        <v>443</v>
      </c>
      <c r="E81" t="s">
        <v>79</v>
      </c>
      <c r="F81" t="str">
        <f>F_Inputs!$E$2</f>
        <v>Run on 05 Sep 2024 9:10</v>
      </c>
      <c r="G81" t="str">
        <f>F_Inputs!$E$2</f>
        <v>Run on 05 Sep 2024 9:10</v>
      </c>
      <c r="H81" t="str">
        <f>F_Inputs!$E$2</f>
        <v>Run on 05 Sep 2024 9:10</v>
      </c>
      <c r="I81" t="str">
        <f>F_Inputs!$E$2</f>
        <v>Run on 05 Sep 2024 9:10</v>
      </c>
      <c r="J81" t="str">
        <f>F_Inputs!$E$2</f>
        <v>Run on 05 Sep 2024 9:10</v>
      </c>
      <c r="K81" t="str">
        <f>F_Inputs!$E$2</f>
        <v>Run on 05 Sep 2024 9:10</v>
      </c>
      <c r="L81" t="str">
        <f>F_Inputs!$E$2</f>
        <v>Run on 05 Sep 2024 9:10</v>
      </c>
      <c r="M81" t="str">
        <f>F_Inputs!$E$2</f>
        <v>Run on 05 Sep 2024 9:10</v>
      </c>
    </row>
    <row r="82" spans="1:13">
      <c r="A82" t="s">
        <v>114</v>
      </c>
      <c r="B82" t="str">
        <f xml:space="preserve"> CONCATENATE("PR24QA_",  $C$2, "_OUT4")</f>
        <v>PR24QA_PR24CA28_OUT4</v>
      </c>
      <c r="C82" t="str">
        <f xml:space="preserve"> CONCATENATE("Model override switch for - ", $C$2)</f>
        <v>Model override switch for - PR24CA28</v>
      </c>
      <c r="D82" t="s">
        <v>99</v>
      </c>
      <c r="E82" t="s">
        <v>79</v>
      </c>
      <c r="F82">
        <f>IF(SUM('F_Input Override'!$E$5:$K$160)&gt;0,1,0)</f>
        <v>1</v>
      </c>
      <c r="G82">
        <f>IF(SUM('F_Input Override'!$E$5:$K$160)&gt;0,1,0)</f>
        <v>1</v>
      </c>
      <c r="H82">
        <f>IF(SUM('F_Input Override'!$E$5:$K$160)&gt;0,1,0)</f>
        <v>1</v>
      </c>
      <c r="I82">
        <f>IF(SUM('F_Input Override'!$E$5:$K$160)&gt;0,1,0)</f>
        <v>1</v>
      </c>
      <c r="J82">
        <f>IF(SUM('F_Input Override'!$E$5:$K$160)&gt;0,1,0)</f>
        <v>1</v>
      </c>
      <c r="K82">
        <f>IF(SUM('F_Input Override'!$E$5:$K$160)&gt;0,1,0)</f>
        <v>1</v>
      </c>
      <c r="L82">
        <f>IF(SUM('F_Input Override'!$E$5:$K$160)&gt;0,1,0)</f>
        <v>1</v>
      </c>
      <c r="M82">
        <f>IF(SUM('F_Input Override'!$E$5:$K$160)&gt;0,1,0)</f>
        <v>1</v>
      </c>
    </row>
    <row r="83" spans="1:13">
      <c r="A83" t="s">
        <v>114</v>
      </c>
      <c r="B83" t="str">
        <f>CONCATENATE("C_", $C$2, "_ENH_WW_ASSESSED")</f>
        <v>C_PR24CA28_ENH_WW_ASSESSED</v>
      </c>
      <c r="C83" t="str">
        <f>CONCATENATE("Total amount assessed - ", MID($C$4,31,200))</f>
        <v>Total amount assessed - Wastewater - MCERTS PS EO - Totex</v>
      </c>
      <c r="D83" s="37" t="s">
        <v>85</v>
      </c>
      <c r="E83" t="s">
        <v>79</v>
      </c>
      <c r="F83">
        <f ca="1" xml:space="preserve"> SUMIFS(Allowance!$E$13:$E$23, Allowance!$B$13:$B$23, A83)</f>
        <v>19.975000000000001</v>
      </c>
    </row>
    <row r="84" spans="1:13">
      <c r="A84" t="s">
        <v>115</v>
      </c>
      <c r="B84" t="str">
        <f>CONCATENATE("C_", $C$2, "_ENH_WW_TOT")</f>
        <v>C_PR24CA28_ENH_WW_TOT</v>
      </c>
      <c r="C84" t="str">
        <f xml:space="preserve"> $C$4</f>
        <v>Total enhancement allowance - Wastewater - MCERTS PS EO - Totex</v>
      </c>
      <c r="D84" t="s">
        <v>85</v>
      </c>
      <c r="E84" t="s">
        <v>79</v>
      </c>
      <c r="I84">
        <f ca="1" xml:space="preserve"> SUMIFS('Outputs to aggregator'!U$41:U$70, 'Outputs to aggregator'!$O$41:$O$70, $A84)</f>
        <v>6.6800070000000007</v>
      </c>
      <c r="J84">
        <f ca="1" xml:space="preserve"> SUMIFS('Outputs to aggregator'!V$41:V$70, 'Outputs to aggregator'!$O$41:$O$70, $A84)</f>
        <v>8.998875</v>
      </c>
      <c r="K84">
        <f ca="1" xml:space="preserve"> SUMIFS('Outputs to aggregator'!W$41:W$70, 'Outputs to aggregator'!$O$41:$O$70, $A84)</f>
        <v>9.3815639999999991</v>
      </c>
      <c r="L84">
        <f ca="1" xml:space="preserve"> SUMIFS('Outputs to aggregator'!X$41:X$70, 'Outputs to aggregator'!$O$41:$O$70, $A84)</f>
        <v>7.8545970000000009</v>
      </c>
      <c r="M84">
        <f ca="1" xml:space="preserve"> SUMIFS('Outputs to aggregator'!Y$41:Y$70, 'Outputs to aggregator'!$O$41:$O$70, $A84)</f>
        <v>5.3411680000000006</v>
      </c>
    </row>
    <row r="85" spans="1:13">
      <c r="A85" t="s">
        <v>115</v>
      </c>
      <c r="B85" t="str">
        <f>CONCATENATE("C_", $C$2, "_ENH_WW_AP")</f>
        <v>C_PR24CA28_ENH_WW_AP</v>
      </c>
      <c r="C85" t="str">
        <f xml:space="preserve"> $C$5</f>
        <v>Total enhancement allowance - Wastewater - MCERTS PS EO - Accelerated programme</v>
      </c>
      <c r="D85" t="s">
        <v>85</v>
      </c>
      <c r="E85" t="s">
        <v>79</v>
      </c>
      <c r="G85">
        <f ca="1" xml:space="preserve"> SUMIFS('Outputs to aggregator'!$R$41:$R$52, 'Outputs to aggregator'!$O$41:$O$52, $A85)</f>
        <v>0</v>
      </c>
      <c r="H85">
        <f ca="1" xml:space="preserve"> SUMIFS('Outputs to aggregator'!$T$41:$T$52, 'Outputs to aggregator'!$O$41:$O$52, $A85)</f>
        <v>0</v>
      </c>
    </row>
    <row r="86" spans="1:13">
      <c r="A86" t="s">
        <v>115</v>
      </c>
      <c r="B86" t="str">
        <f>CONCATENATE("C_", $C$2, "_ENH_WW_TE")</f>
        <v>C_PR24CA28_ENH_WW_TE</v>
      </c>
      <c r="C86" t="str">
        <f xml:space="preserve"> $C$6</f>
        <v>Total enhancement allowance - Wastewater - MCERTS PS EO - Transition allowance</v>
      </c>
      <c r="D86" t="s">
        <v>85</v>
      </c>
      <c r="E86" t="s">
        <v>79</v>
      </c>
      <c r="G86">
        <f ca="1" xml:space="preserve"> SUMIFS('Outputs to aggregator'!$Q$41:$Q$52, 'Outputs to aggregator'!$O$41:$O$52, $A86)</f>
        <v>0</v>
      </c>
      <c r="H86">
        <f ca="1" xml:space="preserve"> SUMIFS('Outputs to aggregator'!$S$41:$S$52, 'Outputs to aggregator'!$O$41:$O$52, $A86)</f>
        <v>0</v>
      </c>
    </row>
    <row r="87" spans="1:13">
      <c r="A87" t="s">
        <v>115</v>
      </c>
      <c r="B87" t="str">
        <f xml:space="preserve"> CONCATENATE("PR24QA_",  $C$2, "_OUT1")</f>
        <v>PR24QA_PR24CA28_OUT1</v>
      </c>
      <c r="C87" t="str">
        <f xml:space="preserve"> CONCATENATE("Date &amp; Time for Model - ", $C$2)</f>
        <v>Date &amp; Time for Model - PR24CA28</v>
      </c>
      <c r="D87" t="s">
        <v>443</v>
      </c>
      <c r="E87" t="s">
        <v>79</v>
      </c>
      <c r="F87" t="str">
        <f t="shared" ref="F87:M87" ca="1" si="20">CONCATENATE("[…]", TEXT(NOW(),"dd/mm/yyy hh:mm:ss"))</f>
        <v>[…]26/03/2025 10:07:56</v>
      </c>
      <c r="G87" t="str">
        <f t="shared" ca="1" si="20"/>
        <v>[…]26/03/2025 10:07:56</v>
      </c>
      <c r="H87" t="str">
        <f t="shared" ca="1" si="20"/>
        <v>[…]26/03/2025 10:07:56</v>
      </c>
      <c r="I87" t="str">
        <f t="shared" ca="1" si="20"/>
        <v>[…]26/03/2025 10:07:56</v>
      </c>
      <c r="J87" t="str">
        <f t="shared" ca="1" si="20"/>
        <v>[…]26/03/2025 10:07:56</v>
      </c>
      <c r="K87" t="str">
        <f t="shared" ca="1" si="20"/>
        <v>[…]26/03/2025 10:07:56</v>
      </c>
      <c r="L87" t="str">
        <f t="shared" ca="1" si="20"/>
        <v>[…]26/03/2025 10:07:56</v>
      </c>
      <c r="M87" t="str">
        <f t="shared" ca="1" si="20"/>
        <v>[…]26/03/2025 10:07:56</v>
      </c>
    </row>
    <row r="88" spans="1:13">
      <c r="A88" t="s">
        <v>115</v>
      </c>
      <c r="B88" t="str">
        <f xml:space="preserve"> CONCATENATE("PR24QA_",  $C$2, "_OUT2")</f>
        <v>PR24QA_PR24CA28_OUT2</v>
      </c>
      <c r="C88" t="str">
        <f xml:space="preserve"> CONCATENATE("Name of Model - ", $C$2)</f>
        <v>Name of Model - PR24CA28</v>
      </c>
      <c r="D88" t="s">
        <v>443</v>
      </c>
      <c r="E88" t="s">
        <v>79</v>
      </c>
      <c r="F88" t="e">
        <f t="shared" ref="F88:M88" ca="1" si="21">MID(CELL("filename"),SEARCH("[",CELL("filename"))+1,SEARCH("]",CELL("filename"))-SEARCH("[",CELL("filename"))-1)</f>
        <v>#VALUE!</v>
      </c>
      <c r="G88" t="e">
        <f t="shared" ca="1" si="21"/>
        <v>#VALUE!</v>
      </c>
      <c r="H88" t="e">
        <f t="shared" ca="1" si="21"/>
        <v>#VALUE!</v>
      </c>
      <c r="I88" t="e">
        <f t="shared" ca="1" si="21"/>
        <v>#VALUE!</v>
      </c>
      <c r="J88" t="e">
        <f t="shared" ca="1" si="21"/>
        <v>#VALUE!</v>
      </c>
      <c r="K88" t="e">
        <f t="shared" ca="1" si="21"/>
        <v>#VALUE!</v>
      </c>
      <c r="L88" t="e">
        <f t="shared" ca="1" si="21"/>
        <v>#VALUE!</v>
      </c>
      <c r="M88" t="e">
        <f t="shared" ca="1" si="21"/>
        <v>#VALUE!</v>
      </c>
    </row>
    <row r="89" spans="1:13">
      <c r="A89" t="s">
        <v>115</v>
      </c>
      <c r="B89" t="str">
        <f xml:space="preserve"> CONCATENATE("PR24QA_",  $C$2, "_OUT3")</f>
        <v>PR24QA_PR24CA28_OUT3</v>
      </c>
      <c r="C89" t="str">
        <f xml:space="preserve"> CONCATENATE("F_Inputs time stamp - ", $C$2)</f>
        <v>F_Inputs time stamp - PR24CA28</v>
      </c>
      <c r="D89" t="s">
        <v>443</v>
      </c>
      <c r="E89" t="s">
        <v>79</v>
      </c>
      <c r="F89" t="str">
        <f>F_Inputs!$E$2</f>
        <v>Run on 05 Sep 2024 9:10</v>
      </c>
      <c r="G89" t="str">
        <f>F_Inputs!$E$2</f>
        <v>Run on 05 Sep 2024 9:10</v>
      </c>
      <c r="H89" t="str">
        <f>F_Inputs!$E$2</f>
        <v>Run on 05 Sep 2024 9:10</v>
      </c>
      <c r="I89" t="str">
        <f>F_Inputs!$E$2</f>
        <v>Run on 05 Sep 2024 9:10</v>
      </c>
      <c r="J89" t="str">
        <f>F_Inputs!$E$2</f>
        <v>Run on 05 Sep 2024 9:10</v>
      </c>
      <c r="K89" t="str">
        <f>F_Inputs!$E$2</f>
        <v>Run on 05 Sep 2024 9:10</v>
      </c>
      <c r="L89" t="str">
        <f>F_Inputs!$E$2</f>
        <v>Run on 05 Sep 2024 9:10</v>
      </c>
      <c r="M89" t="str">
        <f>F_Inputs!$E$2</f>
        <v>Run on 05 Sep 2024 9:10</v>
      </c>
    </row>
    <row r="90" spans="1:13">
      <c r="A90" t="s">
        <v>115</v>
      </c>
      <c r="B90" t="str">
        <f xml:space="preserve"> CONCATENATE("PR24QA_",  $C$2, "_OUT4")</f>
        <v>PR24QA_PR24CA28_OUT4</v>
      </c>
      <c r="C90" t="str">
        <f xml:space="preserve"> CONCATENATE("Model override switch for - ", $C$2)</f>
        <v>Model override switch for - PR24CA28</v>
      </c>
      <c r="D90" t="s">
        <v>99</v>
      </c>
      <c r="E90" t="s">
        <v>79</v>
      </c>
      <c r="F90">
        <f>IF(SUM('F_Input Override'!$E$5:$K$160)&gt;0,1,0)</f>
        <v>1</v>
      </c>
      <c r="G90">
        <f>IF(SUM('F_Input Override'!$E$5:$K$160)&gt;0,1,0)</f>
        <v>1</v>
      </c>
      <c r="H90">
        <f>IF(SUM('F_Input Override'!$E$5:$K$160)&gt;0,1,0)</f>
        <v>1</v>
      </c>
      <c r="I90">
        <f>IF(SUM('F_Input Override'!$E$5:$K$160)&gt;0,1,0)</f>
        <v>1</v>
      </c>
      <c r="J90">
        <f>IF(SUM('F_Input Override'!$E$5:$K$160)&gt;0,1,0)</f>
        <v>1</v>
      </c>
      <c r="K90">
        <f>IF(SUM('F_Input Override'!$E$5:$K$160)&gt;0,1,0)</f>
        <v>1</v>
      </c>
      <c r="L90">
        <f>IF(SUM('F_Input Override'!$E$5:$K$160)&gt;0,1,0)</f>
        <v>1</v>
      </c>
      <c r="M90">
        <f>IF(SUM('F_Input Override'!$E$5:$K$160)&gt;0,1,0)</f>
        <v>1</v>
      </c>
    </row>
    <row r="91" spans="1:13">
      <c r="A91" t="s">
        <v>115</v>
      </c>
      <c r="B91" t="str">
        <f>CONCATENATE("C_", $C$2, "_ENH_WW_ASSESSED")</f>
        <v>C_PR24CA28_ENH_WW_ASSESSED</v>
      </c>
      <c r="C91" t="str">
        <f>CONCATENATE("Total amount assessed - ", MID($C$4,31,200))</f>
        <v>Total amount assessed - Wastewater - MCERTS PS EO - Totex</v>
      </c>
      <c r="D91" s="37" t="s">
        <v>85</v>
      </c>
      <c r="E91" t="s">
        <v>79</v>
      </c>
      <c r="F91">
        <f ca="1" xml:space="preserve"> SUMIFS(Allowance!$E$13:$E$23, Allowance!$B$13:$B$23, A91)</f>
        <v>38.256211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E4DE-FB57-4655-806D-22D3B2A5B5E8}">
  <sheetPr>
    <tabColor rgb="FFCCCCCE"/>
    <outlinePr summaryBelow="0" summaryRight="0"/>
  </sheetPr>
  <dimension ref="A1:AM49"/>
  <sheetViews>
    <sheetView showGridLines="0" zoomScale="80" zoomScaleNormal="80" zoomScaleSheetLayoutView="80" workbookViewId="0"/>
  </sheetViews>
  <sheetFormatPr defaultColWidth="0" defaultRowHeight="12.95" customHeight="1" zeroHeight="1"/>
  <cols>
    <col min="1" max="4" width="1.42578125" style="81" customWidth="1"/>
    <col min="5" max="5" width="2.5703125" style="81" customWidth="1"/>
    <col min="6" max="6" width="4.42578125" style="81" customWidth="1"/>
    <col min="7" max="7" width="2.5703125" style="81" customWidth="1"/>
    <col min="8" max="8" width="30.5703125" style="81" customWidth="1"/>
    <col min="9" max="9" width="2.5703125" style="81" customWidth="1"/>
    <col min="10" max="10" width="4.42578125" style="81" customWidth="1"/>
    <col min="11" max="11" width="2.5703125" style="81" customWidth="1"/>
    <col min="12" max="12" width="30.5703125" style="81" customWidth="1"/>
    <col min="13" max="13" width="2.5703125" style="81" customWidth="1"/>
    <col min="14" max="14" width="4.42578125" style="81" customWidth="1"/>
    <col min="15" max="16" width="2.5703125" style="81" customWidth="1"/>
    <col min="17" max="17" width="30.5703125" style="81" customWidth="1"/>
    <col min="18" max="18" width="38.85546875" style="81" customWidth="1"/>
    <col min="19" max="20" width="2.5703125" style="70" customWidth="1"/>
    <col min="21" max="21" width="4.42578125" style="70" customWidth="1"/>
    <col min="22" max="22" width="2.5703125" style="70" customWidth="1"/>
    <col min="23" max="23" width="30.5703125" style="70" customWidth="1"/>
    <col min="24" max="24" width="2.5703125" style="70" customWidth="1"/>
    <col min="25" max="25" width="4.42578125" style="70" customWidth="1"/>
    <col min="26" max="26" width="2.5703125" style="70" customWidth="1"/>
    <col min="27" max="27" width="30.5703125" style="70" customWidth="1"/>
    <col min="28" max="28" width="2.5703125" style="70" customWidth="1"/>
    <col min="29" max="29" width="4.42578125" style="70" customWidth="1"/>
    <col min="30" max="30" width="5.5703125" style="70" customWidth="1"/>
    <col min="31" max="32" width="2.5703125" style="70" customWidth="1"/>
    <col min="33" max="33" width="30.5703125" style="70" customWidth="1"/>
    <col min="34" max="34" width="2.5703125" style="70" customWidth="1"/>
    <col min="35" max="35" width="5.5703125" style="70" customWidth="1"/>
    <col min="36" max="36" width="2.5703125" style="70" customWidth="1"/>
    <col min="37" max="37" width="30.5703125" style="70" customWidth="1"/>
    <col min="38" max="39" width="2.5703125" style="70" customWidth="1"/>
    <col min="40" max="16384" width="7" style="70" hidden="1"/>
  </cols>
  <sheetData>
    <row r="1" spans="1:18" ht="47.65">
      <c r="A1" s="290" t="e">
        <f ca="1" xml:space="preserve"> RIGHT(CELL("filename", A1), LEN(CELL("filename", A1)) - SEARCH("]", CELL("filename", A1)))</f>
        <v>#VALUE!</v>
      </c>
      <c r="B1" s="69"/>
      <c r="C1" s="69"/>
      <c r="D1" s="69"/>
      <c r="E1" s="69"/>
      <c r="F1" s="69"/>
      <c r="G1" s="69"/>
      <c r="H1" s="69"/>
      <c r="I1" s="69"/>
      <c r="J1" s="69"/>
      <c r="K1" s="69"/>
      <c r="L1" s="69"/>
      <c r="M1" s="69"/>
      <c r="N1" s="69"/>
      <c r="O1" s="69"/>
      <c r="P1" s="69"/>
      <c r="Q1" s="69"/>
      <c r="R1" s="69"/>
    </row>
    <row r="2" spans="1:18" ht="20.25">
      <c r="A2" s="71"/>
      <c r="B2" s="72"/>
      <c r="C2" s="72"/>
      <c r="D2" s="72"/>
      <c r="E2" s="72"/>
      <c r="F2" s="72"/>
      <c r="G2" s="72"/>
      <c r="H2" s="73"/>
      <c r="I2" s="72"/>
      <c r="J2" s="72"/>
      <c r="K2" s="72"/>
      <c r="L2" s="72"/>
      <c r="M2" s="72"/>
      <c r="N2" s="72"/>
      <c r="O2" s="72"/>
      <c r="P2" s="72"/>
      <c r="Q2" s="72"/>
      <c r="R2" s="72"/>
    </row>
    <row r="3" spans="1:18" s="74" customFormat="1" ht="13.15">
      <c r="A3" s="74" t="s">
        <v>13</v>
      </c>
    </row>
    <row r="4" spans="1:18" ht="20.25">
      <c r="A4" s="71"/>
      <c r="B4" s="72"/>
      <c r="C4" s="72"/>
      <c r="D4" s="72"/>
      <c r="E4" s="72"/>
      <c r="F4" s="72"/>
      <c r="G4" s="72"/>
      <c r="H4" s="73"/>
      <c r="I4" s="72"/>
      <c r="J4" s="72"/>
      <c r="K4" s="72"/>
      <c r="L4" s="72"/>
      <c r="M4" s="72"/>
      <c r="N4" s="72"/>
      <c r="O4" s="72"/>
      <c r="P4" s="72"/>
      <c r="Q4" s="72"/>
      <c r="R4" s="72"/>
    </row>
    <row r="5" spans="1:18" ht="20.25">
      <c r="A5" s="75"/>
      <c r="B5" s="76"/>
      <c r="C5" s="76"/>
      <c r="D5" s="76"/>
      <c r="E5" s="76"/>
      <c r="F5" s="77"/>
      <c r="G5" s="78"/>
      <c r="H5" s="78"/>
      <c r="I5" s="78"/>
      <c r="J5" s="78"/>
      <c r="K5" s="79"/>
      <c r="L5" s="77"/>
      <c r="M5" s="79"/>
      <c r="N5" s="79"/>
      <c r="O5" s="79"/>
      <c r="P5" s="78"/>
      <c r="Q5" s="78"/>
      <c r="R5" s="78"/>
    </row>
    <row r="6" spans="1:18" ht="20.25">
      <c r="A6" s="71"/>
      <c r="B6" s="72"/>
      <c r="C6" s="72"/>
      <c r="D6" s="72"/>
      <c r="E6" s="72"/>
      <c r="F6" s="72"/>
      <c r="G6" s="72"/>
      <c r="H6" s="72"/>
      <c r="I6" s="72"/>
      <c r="J6" s="72"/>
      <c r="K6" s="72"/>
      <c r="L6" s="73"/>
      <c r="M6" s="72"/>
      <c r="N6" s="72"/>
      <c r="O6" s="72"/>
      <c r="P6" s="72"/>
      <c r="Q6" s="72"/>
      <c r="R6" s="72"/>
    </row>
    <row r="7" spans="1:18" ht="20.25">
      <c r="A7" s="71"/>
      <c r="B7" s="72"/>
      <c r="C7" s="72"/>
      <c r="D7" s="72"/>
      <c r="E7" s="72"/>
      <c r="F7" s="72"/>
      <c r="G7" s="72"/>
      <c r="H7" s="72"/>
      <c r="I7" s="72"/>
      <c r="J7" s="72"/>
      <c r="K7" s="72"/>
      <c r="L7" s="73"/>
      <c r="M7" s="72"/>
      <c r="N7" s="72"/>
      <c r="O7" s="72"/>
      <c r="P7" s="72"/>
      <c r="Q7" s="72"/>
      <c r="R7" s="72"/>
    </row>
    <row r="8" spans="1:18" ht="20.25">
      <c r="A8" s="71"/>
      <c r="B8" s="72"/>
      <c r="C8" s="72"/>
      <c r="D8" s="72"/>
      <c r="E8" s="72"/>
      <c r="F8" s="72"/>
      <c r="G8" s="72"/>
      <c r="H8" s="80"/>
      <c r="I8" s="72"/>
      <c r="J8" s="72"/>
      <c r="K8" s="72"/>
      <c r="L8" s="73"/>
      <c r="M8" s="72"/>
      <c r="N8" s="72"/>
      <c r="O8" s="72"/>
      <c r="P8" s="72"/>
      <c r="Q8" s="80"/>
      <c r="R8" s="72"/>
    </row>
    <row r="9" spans="1:18" ht="20.25">
      <c r="A9" s="71"/>
      <c r="B9" s="72"/>
      <c r="C9" s="72"/>
      <c r="D9" s="72"/>
      <c r="E9" s="72"/>
      <c r="F9" s="72"/>
      <c r="G9" s="72"/>
      <c r="H9" s="72"/>
      <c r="I9" s="72"/>
      <c r="J9" s="72"/>
      <c r="K9" s="72"/>
      <c r="L9" s="73"/>
      <c r="M9" s="72"/>
      <c r="N9" s="72"/>
      <c r="O9" s="72"/>
      <c r="P9" s="72"/>
      <c r="Q9" s="72"/>
      <c r="R9" s="72"/>
    </row>
    <row r="10" spans="1:18" ht="20.25">
      <c r="A10" s="71"/>
      <c r="B10" s="72"/>
      <c r="C10" s="72"/>
      <c r="D10" s="72"/>
      <c r="E10" s="72"/>
      <c r="F10" s="72"/>
      <c r="G10" s="72"/>
      <c r="H10" s="72"/>
      <c r="I10" s="72"/>
      <c r="J10" s="72"/>
      <c r="K10" s="72"/>
      <c r="L10" s="73"/>
      <c r="M10" s="72"/>
      <c r="N10" s="72"/>
      <c r="O10" s="72"/>
      <c r="P10" s="72"/>
      <c r="Q10" s="72"/>
      <c r="R10" s="72"/>
    </row>
    <row r="11" spans="1:18" ht="20.25">
      <c r="A11" s="71"/>
      <c r="B11" s="72"/>
      <c r="C11" s="72"/>
      <c r="D11" s="72"/>
      <c r="E11" s="72"/>
      <c r="F11" s="72"/>
      <c r="G11" s="72"/>
      <c r="H11" s="72"/>
      <c r="I11" s="72"/>
      <c r="J11" s="72"/>
      <c r="K11" s="72"/>
      <c r="L11" s="73"/>
      <c r="M11" s="72"/>
      <c r="N11" s="72"/>
      <c r="O11" s="72"/>
      <c r="P11" s="72"/>
      <c r="Q11" s="72"/>
      <c r="R11" s="72"/>
    </row>
    <row r="12" spans="1:18" ht="20.25">
      <c r="A12" s="71"/>
      <c r="B12" s="72"/>
      <c r="C12" s="72"/>
      <c r="D12" s="72"/>
      <c r="E12" s="72"/>
      <c r="F12" s="72"/>
      <c r="G12" s="72"/>
      <c r="H12" s="72"/>
      <c r="I12" s="72"/>
      <c r="J12" s="72"/>
      <c r="K12" s="72"/>
      <c r="L12" s="73"/>
      <c r="M12" s="72"/>
      <c r="N12" s="72"/>
      <c r="O12" s="72"/>
      <c r="Q12" s="72"/>
      <c r="R12" s="72"/>
    </row>
    <row r="13" spans="1:18" ht="20.25">
      <c r="A13" s="75"/>
      <c r="B13" s="76"/>
      <c r="C13" s="76"/>
      <c r="D13" s="76"/>
      <c r="E13" s="76"/>
      <c r="F13" s="82"/>
      <c r="G13" s="83"/>
      <c r="H13" s="83"/>
      <c r="I13" s="83"/>
      <c r="J13" s="83"/>
      <c r="K13" s="83"/>
      <c r="L13" s="82"/>
      <c r="M13" s="83"/>
      <c r="N13" s="83"/>
      <c r="O13" s="83"/>
      <c r="P13" s="72"/>
      <c r="Q13" s="83"/>
      <c r="R13" s="83"/>
    </row>
    <row r="14" spans="1:18" ht="20.25">
      <c r="A14" s="75"/>
      <c r="B14" s="76"/>
      <c r="C14" s="76"/>
      <c r="D14" s="76"/>
      <c r="E14" s="76"/>
      <c r="F14" s="82"/>
      <c r="G14" s="83"/>
      <c r="H14" s="83"/>
      <c r="I14" s="83"/>
      <c r="J14" s="83"/>
      <c r="K14" s="83"/>
      <c r="L14" s="82"/>
      <c r="M14" s="83"/>
      <c r="N14" s="83"/>
      <c r="O14" s="83"/>
      <c r="P14" s="72"/>
      <c r="Q14" s="83"/>
      <c r="R14" s="83"/>
    </row>
    <row r="15" spans="1:18" ht="20.25">
      <c r="A15" s="75"/>
      <c r="B15" s="76"/>
      <c r="C15" s="76"/>
      <c r="D15" s="76"/>
      <c r="E15" s="76"/>
      <c r="F15" s="82"/>
      <c r="G15" s="83"/>
      <c r="H15" s="83"/>
      <c r="I15" s="83"/>
      <c r="J15" s="83"/>
      <c r="K15" s="83"/>
      <c r="L15" s="82"/>
      <c r="M15" s="83"/>
      <c r="N15" s="83"/>
      <c r="O15" s="83"/>
      <c r="P15" s="72"/>
      <c r="Q15" s="83"/>
      <c r="R15" s="83"/>
    </row>
    <row r="16" spans="1:18" ht="20.25">
      <c r="A16" s="71"/>
      <c r="B16" s="72"/>
      <c r="C16" s="72"/>
      <c r="D16" s="72"/>
      <c r="E16" s="72"/>
      <c r="F16" s="72"/>
      <c r="G16" s="72"/>
      <c r="H16" s="72"/>
      <c r="I16" s="72"/>
      <c r="J16" s="72"/>
      <c r="K16" s="72"/>
      <c r="L16" s="73"/>
      <c r="M16" s="72"/>
      <c r="N16" s="72"/>
      <c r="O16" s="72"/>
      <c r="P16" s="72"/>
      <c r="Q16" s="72"/>
      <c r="R16" s="72"/>
    </row>
    <row r="17" spans="1:18" ht="20.25">
      <c r="A17" s="71"/>
      <c r="B17" s="72"/>
      <c r="C17" s="72"/>
      <c r="D17" s="72"/>
      <c r="E17" s="72"/>
      <c r="F17" s="72"/>
      <c r="G17" s="72"/>
      <c r="H17" s="72"/>
      <c r="I17" s="72"/>
      <c r="J17" s="72"/>
      <c r="K17" s="72"/>
      <c r="L17" s="73"/>
      <c r="M17" s="72"/>
      <c r="N17" s="72"/>
      <c r="O17" s="72"/>
      <c r="P17" s="72"/>
      <c r="Q17" s="72"/>
      <c r="R17" s="72"/>
    </row>
    <row r="18" spans="1:18" ht="20.25">
      <c r="A18" s="71"/>
      <c r="B18" s="72"/>
      <c r="C18" s="72"/>
      <c r="D18" s="72"/>
      <c r="E18" s="72"/>
      <c r="F18" s="72"/>
      <c r="G18" s="72"/>
      <c r="H18" s="72"/>
      <c r="I18" s="72"/>
      <c r="J18" s="72"/>
      <c r="K18" s="72"/>
      <c r="L18" s="73"/>
      <c r="M18" s="72"/>
      <c r="N18" s="72"/>
      <c r="O18" s="72"/>
      <c r="P18" s="72"/>
      <c r="Q18" s="72"/>
      <c r="R18" s="72"/>
    </row>
    <row r="19" spans="1:18" ht="20.25">
      <c r="A19" s="71"/>
      <c r="B19" s="72"/>
      <c r="C19" s="72"/>
      <c r="D19" s="72"/>
      <c r="E19" s="72"/>
      <c r="F19" s="72"/>
      <c r="G19" s="72"/>
      <c r="H19" s="72"/>
      <c r="I19" s="72"/>
      <c r="J19" s="72"/>
      <c r="K19" s="72"/>
      <c r="L19" s="73"/>
      <c r="M19" s="72"/>
      <c r="N19" s="72"/>
      <c r="O19" s="72"/>
      <c r="P19" s="72"/>
      <c r="Q19" s="72"/>
      <c r="R19" s="72"/>
    </row>
    <row r="20" spans="1:18" ht="20.25">
      <c r="A20" s="71"/>
      <c r="B20" s="72"/>
      <c r="C20" s="72"/>
      <c r="D20" s="72"/>
      <c r="E20" s="72"/>
      <c r="F20" s="72"/>
      <c r="G20" s="72"/>
      <c r="H20" s="72"/>
      <c r="I20" s="72"/>
      <c r="J20" s="72"/>
      <c r="K20" s="72"/>
      <c r="L20" s="72"/>
      <c r="M20" s="72"/>
      <c r="N20" s="72"/>
      <c r="O20" s="72"/>
      <c r="P20" s="72"/>
      <c r="Q20" s="72"/>
      <c r="R20" s="72"/>
    </row>
    <row r="21" spans="1:18" ht="20.25">
      <c r="A21" s="71"/>
      <c r="B21" s="72"/>
      <c r="C21" s="72"/>
      <c r="D21" s="72"/>
      <c r="E21" s="72"/>
      <c r="F21" s="72"/>
      <c r="G21" s="72"/>
      <c r="H21" s="72"/>
      <c r="I21" s="72"/>
      <c r="J21" s="72"/>
      <c r="K21" s="72"/>
      <c r="L21" s="72"/>
      <c r="M21" s="72"/>
      <c r="N21" s="72"/>
      <c r="O21" s="72"/>
      <c r="P21" s="72"/>
      <c r="Q21" s="72"/>
      <c r="R21" s="72"/>
    </row>
    <row r="22" spans="1:18" ht="20.25">
      <c r="A22" s="71"/>
      <c r="B22" s="72"/>
      <c r="C22" s="72"/>
      <c r="D22" s="72"/>
      <c r="E22" s="72"/>
      <c r="F22" s="72"/>
      <c r="G22" s="72"/>
      <c r="H22" s="80"/>
      <c r="I22" s="72"/>
      <c r="J22" s="72"/>
      <c r="K22" s="72"/>
      <c r="L22" s="80"/>
      <c r="M22" s="72"/>
      <c r="N22" s="72"/>
      <c r="O22" s="72"/>
      <c r="P22" s="72"/>
      <c r="Q22" s="80"/>
      <c r="R22" s="72"/>
    </row>
    <row r="23" spans="1:18" ht="20.25">
      <c r="A23" s="71"/>
      <c r="B23" s="72"/>
      <c r="C23" s="72"/>
      <c r="D23" s="72"/>
      <c r="E23" s="72"/>
      <c r="F23" s="72"/>
      <c r="G23" s="72"/>
      <c r="H23" s="72"/>
      <c r="I23" s="72"/>
      <c r="J23" s="72"/>
      <c r="K23" s="72"/>
      <c r="L23" s="72"/>
      <c r="M23" s="72"/>
      <c r="N23" s="72"/>
      <c r="O23" s="72"/>
      <c r="P23" s="72"/>
      <c r="Q23" s="72"/>
      <c r="R23" s="72"/>
    </row>
    <row r="24" spans="1:18" ht="20.25">
      <c r="A24" s="71"/>
      <c r="B24" s="72"/>
      <c r="C24" s="72"/>
      <c r="D24" s="72"/>
      <c r="E24" s="72"/>
      <c r="F24" s="72"/>
      <c r="G24" s="72"/>
      <c r="H24" s="72"/>
      <c r="I24" s="72"/>
      <c r="J24" s="72"/>
      <c r="K24" s="72"/>
      <c r="L24" s="73"/>
      <c r="M24" s="72"/>
      <c r="N24" s="72"/>
      <c r="O24" s="72"/>
      <c r="P24" s="72"/>
      <c r="Q24" s="72"/>
      <c r="R24" s="72"/>
    </row>
    <row r="25" spans="1:18" ht="20.25">
      <c r="A25" s="71"/>
      <c r="B25" s="72"/>
      <c r="C25" s="72"/>
      <c r="D25" s="72"/>
      <c r="E25" s="72"/>
      <c r="F25" s="72"/>
      <c r="G25" s="72"/>
      <c r="H25" s="72"/>
      <c r="I25" s="72"/>
      <c r="J25" s="72"/>
      <c r="K25" s="72"/>
      <c r="L25" s="73"/>
      <c r="M25" s="72"/>
      <c r="N25" s="72"/>
      <c r="O25" s="72"/>
      <c r="P25" s="72"/>
      <c r="Q25" s="72"/>
      <c r="R25" s="72"/>
    </row>
    <row r="26" spans="1:18" ht="20.25">
      <c r="A26" s="71"/>
      <c r="B26" s="72"/>
      <c r="C26" s="72"/>
      <c r="D26" s="72"/>
      <c r="E26" s="72"/>
      <c r="F26" s="72"/>
      <c r="G26" s="72"/>
      <c r="H26" s="72"/>
      <c r="I26" s="72"/>
      <c r="J26" s="72"/>
      <c r="K26" s="72"/>
      <c r="L26" s="73"/>
      <c r="M26" s="72"/>
      <c r="N26" s="72"/>
      <c r="O26" s="72"/>
      <c r="P26" s="72"/>
      <c r="Q26" s="72"/>
      <c r="R26" s="72"/>
    </row>
    <row r="27" spans="1:18" ht="20.25">
      <c r="A27" s="71"/>
      <c r="B27" s="72"/>
      <c r="C27" s="72"/>
      <c r="D27" s="72"/>
      <c r="E27" s="72"/>
      <c r="F27" s="72"/>
      <c r="G27" s="72"/>
      <c r="H27" s="72"/>
      <c r="I27" s="72"/>
      <c r="J27" s="72"/>
      <c r="K27" s="72"/>
      <c r="L27" s="73"/>
      <c r="M27" s="72"/>
      <c r="N27" s="72"/>
      <c r="O27" s="72"/>
      <c r="P27" s="72"/>
      <c r="Q27" s="72"/>
      <c r="R27" s="72"/>
    </row>
    <row r="28" spans="1:18" ht="20.25">
      <c r="A28" s="71"/>
      <c r="B28" s="72"/>
      <c r="C28" s="72"/>
      <c r="D28" s="72"/>
      <c r="E28" s="72"/>
      <c r="F28" s="72"/>
      <c r="G28" s="72"/>
      <c r="H28" s="72"/>
      <c r="I28" s="72"/>
      <c r="J28" s="72"/>
      <c r="K28" s="72"/>
      <c r="L28" s="73"/>
      <c r="M28" s="72"/>
      <c r="N28" s="72"/>
      <c r="O28" s="72"/>
      <c r="P28" s="72"/>
      <c r="Q28" s="72"/>
      <c r="R28" s="72"/>
    </row>
    <row r="29" spans="1:18" ht="20.25">
      <c r="A29" s="71"/>
      <c r="B29" s="72"/>
      <c r="C29" s="72"/>
      <c r="D29" s="72"/>
      <c r="E29" s="72"/>
      <c r="F29" s="72"/>
      <c r="G29" s="72"/>
      <c r="H29" s="72"/>
      <c r="I29" s="72"/>
      <c r="J29" s="72"/>
      <c r="K29" s="72"/>
      <c r="L29" s="73"/>
      <c r="M29" s="72"/>
      <c r="N29" s="72"/>
      <c r="O29" s="72"/>
      <c r="P29" s="72"/>
      <c r="Q29" s="72"/>
      <c r="R29" s="72"/>
    </row>
    <row r="30" spans="1:18" ht="20.25">
      <c r="A30" s="71"/>
      <c r="B30" s="72"/>
      <c r="C30" s="72"/>
      <c r="D30" s="72"/>
      <c r="E30" s="72"/>
      <c r="F30" s="72"/>
      <c r="G30" s="72"/>
      <c r="H30" s="72"/>
      <c r="I30" s="72"/>
      <c r="J30" s="72"/>
      <c r="K30" s="72"/>
      <c r="L30" s="73"/>
      <c r="M30" s="72"/>
      <c r="N30" s="72"/>
      <c r="O30" s="72"/>
      <c r="P30" s="72"/>
      <c r="Q30" s="72"/>
      <c r="R30" s="72"/>
    </row>
    <row r="31" spans="1:18" ht="20.25">
      <c r="A31" s="71"/>
      <c r="B31" s="72"/>
      <c r="C31" s="72"/>
      <c r="D31" s="72"/>
      <c r="E31" s="72"/>
      <c r="F31" s="72"/>
      <c r="G31" s="72"/>
      <c r="H31" s="72"/>
      <c r="I31" s="72"/>
      <c r="J31" s="72"/>
      <c r="K31" s="72"/>
      <c r="L31" s="73"/>
      <c r="M31" s="72"/>
      <c r="N31" s="72"/>
      <c r="O31" s="72"/>
      <c r="P31" s="72"/>
      <c r="Q31" s="72"/>
      <c r="R31" s="72"/>
    </row>
    <row r="32" spans="1:18" ht="20.25">
      <c r="A32" s="71"/>
      <c r="B32" s="72"/>
      <c r="C32" s="72"/>
      <c r="D32" s="72"/>
      <c r="E32" s="72"/>
      <c r="F32" s="72"/>
      <c r="G32" s="72"/>
      <c r="H32" s="72"/>
      <c r="I32" s="72"/>
      <c r="J32" s="72"/>
      <c r="K32" s="72"/>
      <c r="L32" s="73"/>
      <c r="M32" s="72"/>
      <c r="N32" s="72"/>
      <c r="O32" s="72"/>
      <c r="P32" s="72"/>
      <c r="Q32" s="72"/>
      <c r="R32" s="72"/>
    </row>
    <row r="33" spans="1:18" ht="20.25">
      <c r="A33" s="71"/>
      <c r="B33" s="72"/>
      <c r="C33" s="72"/>
      <c r="D33" s="72"/>
      <c r="E33" s="72"/>
      <c r="F33" s="72"/>
      <c r="G33" s="72"/>
      <c r="H33" s="72"/>
      <c r="I33" s="72"/>
      <c r="J33" s="72"/>
      <c r="K33" s="72"/>
      <c r="L33" s="73"/>
      <c r="M33" s="72"/>
      <c r="N33" s="72"/>
      <c r="O33" s="72"/>
      <c r="P33" s="72"/>
      <c r="Q33" s="72"/>
      <c r="R33" s="72"/>
    </row>
    <row r="34" spans="1:18" ht="20.25">
      <c r="A34" s="71"/>
      <c r="B34" s="72"/>
      <c r="C34" s="72"/>
      <c r="D34" s="72"/>
      <c r="E34" s="72"/>
      <c r="F34" s="72"/>
      <c r="G34" s="72"/>
      <c r="H34" s="72"/>
      <c r="I34" s="72"/>
      <c r="J34" s="72"/>
      <c r="K34" s="72"/>
      <c r="L34" s="73"/>
      <c r="M34" s="72"/>
      <c r="N34" s="72"/>
      <c r="O34" s="72"/>
      <c r="P34" s="72"/>
      <c r="Q34" s="72"/>
      <c r="R34" s="72"/>
    </row>
    <row r="35" spans="1:18" ht="20.25">
      <c r="A35" s="71"/>
      <c r="B35" s="72"/>
      <c r="C35" s="72"/>
      <c r="D35" s="72"/>
      <c r="E35" s="72"/>
      <c r="F35" s="72"/>
      <c r="G35" s="72"/>
      <c r="H35" s="72"/>
      <c r="I35" s="72"/>
      <c r="J35" s="72"/>
      <c r="K35" s="72"/>
      <c r="L35" s="73"/>
      <c r="M35" s="72"/>
      <c r="N35" s="72"/>
      <c r="O35" s="72"/>
      <c r="P35" s="72"/>
      <c r="Q35" s="72"/>
      <c r="R35" s="72"/>
    </row>
    <row r="36" spans="1:18" ht="20.25">
      <c r="A36" s="71"/>
      <c r="B36" s="72"/>
      <c r="C36" s="72"/>
      <c r="D36" s="72"/>
      <c r="E36" s="72"/>
      <c r="F36" s="72"/>
      <c r="G36" s="72"/>
      <c r="H36" s="72"/>
      <c r="I36" s="72"/>
      <c r="J36" s="72"/>
      <c r="K36" s="72"/>
      <c r="L36" s="73"/>
      <c r="M36" s="72"/>
      <c r="N36" s="72"/>
      <c r="O36" s="72"/>
      <c r="P36" s="72"/>
      <c r="Q36" s="72"/>
      <c r="R36" s="72"/>
    </row>
    <row r="37" spans="1:18" ht="20.25">
      <c r="A37" s="71"/>
      <c r="B37" s="72"/>
      <c r="C37" s="72"/>
      <c r="D37" s="72"/>
      <c r="E37" s="72"/>
      <c r="F37" s="72"/>
      <c r="G37" s="72"/>
      <c r="H37" s="72"/>
      <c r="I37" s="72"/>
      <c r="J37" s="72"/>
      <c r="K37" s="72"/>
      <c r="L37" s="73"/>
      <c r="M37" s="72"/>
      <c r="N37" s="72"/>
      <c r="O37" s="72"/>
      <c r="P37" s="72"/>
      <c r="Q37" s="72"/>
      <c r="R37" s="72"/>
    </row>
    <row r="38" spans="1:18" ht="20.25">
      <c r="A38" s="71"/>
      <c r="B38" s="72"/>
      <c r="C38" s="72"/>
      <c r="D38" s="72"/>
      <c r="E38" s="72"/>
      <c r="F38" s="72"/>
      <c r="G38" s="72"/>
      <c r="H38" s="72"/>
      <c r="I38" s="72"/>
      <c r="J38" s="72"/>
      <c r="K38" s="72"/>
      <c r="L38" s="73"/>
      <c r="M38" s="72"/>
      <c r="N38" s="72"/>
      <c r="O38" s="72"/>
      <c r="P38" s="72"/>
      <c r="Q38" s="72"/>
      <c r="R38" s="72"/>
    </row>
    <row r="39" spans="1:18" ht="20.25">
      <c r="A39" s="71"/>
      <c r="B39" s="72"/>
      <c r="C39" s="72"/>
      <c r="D39" s="72"/>
      <c r="E39" s="72"/>
      <c r="F39" s="72"/>
      <c r="G39" s="72"/>
      <c r="H39" s="72"/>
      <c r="I39" s="72"/>
      <c r="J39" s="72"/>
      <c r="K39" s="72"/>
      <c r="L39" s="73"/>
      <c r="M39" s="72"/>
      <c r="N39" s="72"/>
      <c r="O39" s="72"/>
      <c r="P39" s="72"/>
      <c r="Q39" s="72"/>
      <c r="R39" s="72"/>
    </row>
    <row r="40" spans="1:18" ht="20.25">
      <c r="A40" s="71"/>
      <c r="B40" s="72"/>
      <c r="C40" s="72"/>
      <c r="D40" s="72"/>
      <c r="E40" s="72"/>
      <c r="F40" s="72"/>
      <c r="G40" s="72"/>
      <c r="H40" s="72"/>
      <c r="I40" s="72"/>
      <c r="J40" s="72"/>
      <c r="K40" s="72"/>
      <c r="L40" s="73"/>
      <c r="M40" s="72"/>
      <c r="N40" s="72"/>
      <c r="O40" s="72"/>
      <c r="P40" s="72"/>
      <c r="Q40" s="72"/>
      <c r="R40" s="72"/>
    </row>
    <row r="41" spans="1:18" ht="20.25">
      <c r="A41" s="71"/>
      <c r="B41" s="72"/>
      <c r="C41" s="72"/>
      <c r="D41" s="72"/>
      <c r="E41" s="72"/>
      <c r="F41" s="72"/>
      <c r="G41" s="72"/>
      <c r="H41" s="72"/>
      <c r="I41" s="72"/>
      <c r="J41" s="72"/>
      <c r="K41" s="72"/>
      <c r="L41" s="73"/>
      <c r="M41" s="72"/>
      <c r="N41" s="72"/>
      <c r="O41" s="72"/>
      <c r="P41" s="72"/>
      <c r="Q41" s="72"/>
      <c r="R41" s="72"/>
    </row>
    <row r="42" spans="1:18" ht="20.25">
      <c r="A42" s="71"/>
      <c r="B42" s="72"/>
      <c r="C42" s="72"/>
      <c r="D42" s="72"/>
      <c r="E42" s="72"/>
      <c r="F42" s="72"/>
      <c r="G42" s="72"/>
      <c r="H42" s="72"/>
      <c r="I42" s="72"/>
      <c r="J42" s="72"/>
      <c r="K42" s="72"/>
      <c r="L42" s="73"/>
      <c r="M42" s="72"/>
      <c r="N42" s="72"/>
      <c r="O42" s="72"/>
      <c r="P42" s="72"/>
      <c r="Q42" s="72"/>
      <c r="R42" s="72"/>
    </row>
    <row r="43" spans="1:18" ht="20.25">
      <c r="A43" s="71"/>
      <c r="B43" s="72"/>
      <c r="C43" s="72"/>
      <c r="D43" s="72"/>
      <c r="E43" s="72"/>
      <c r="F43" s="72"/>
      <c r="G43" s="72"/>
      <c r="H43" s="72"/>
      <c r="I43" s="72"/>
      <c r="J43" s="72"/>
      <c r="K43" s="72"/>
      <c r="L43" s="73"/>
      <c r="M43" s="72"/>
      <c r="N43" s="72"/>
      <c r="O43" s="72"/>
      <c r="P43" s="72"/>
      <c r="Q43" s="72"/>
      <c r="R43" s="72"/>
    </row>
    <row r="44" spans="1:18" ht="20.25">
      <c r="A44" s="71"/>
      <c r="B44" s="72"/>
      <c r="C44" s="72"/>
      <c r="D44" s="72"/>
      <c r="E44" s="72"/>
      <c r="F44" s="72"/>
      <c r="G44" s="72"/>
      <c r="H44" s="72"/>
      <c r="I44" s="72"/>
      <c r="J44" s="72"/>
      <c r="K44" s="72"/>
      <c r="L44" s="73"/>
      <c r="M44" s="72"/>
      <c r="N44" s="72"/>
      <c r="O44" s="72"/>
      <c r="P44" s="72"/>
      <c r="Q44" s="72"/>
      <c r="R44" s="72"/>
    </row>
    <row r="45" spans="1:18" ht="20.25">
      <c r="A45" s="71"/>
      <c r="B45" s="72"/>
      <c r="C45" s="72"/>
      <c r="D45" s="72"/>
      <c r="E45" s="72"/>
      <c r="F45" s="72"/>
      <c r="G45" s="72"/>
      <c r="H45" s="72"/>
      <c r="I45" s="72"/>
      <c r="J45" s="72"/>
      <c r="K45" s="72"/>
      <c r="L45" s="73"/>
      <c r="M45" s="72"/>
      <c r="N45" s="72"/>
      <c r="O45" s="72"/>
      <c r="P45" s="72"/>
      <c r="Q45" s="72"/>
      <c r="R45" s="72"/>
    </row>
    <row r="46" spans="1:18" ht="20.25">
      <c r="A46" s="71"/>
      <c r="B46" s="72"/>
      <c r="C46" s="72"/>
      <c r="D46" s="72"/>
      <c r="E46" s="72"/>
      <c r="F46" s="72"/>
      <c r="G46" s="72"/>
      <c r="H46" s="72"/>
      <c r="I46" s="72"/>
      <c r="J46" s="72"/>
      <c r="K46" s="72"/>
      <c r="L46" s="73"/>
      <c r="M46" s="72"/>
      <c r="N46" s="72"/>
      <c r="O46" s="72"/>
      <c r="P46" s="72"/>
      <c r="Q46" s="72"/>
      <c r="R46" s="72"/>
    </row>
    <row r="47" spans="1:18" ht="20.25">
      <c r="A47" s="71"/>
      <c r="B47" s="72"/>
      <c r="C47" s="72"/>
      <c r="D47" s="72"/>
      <c r="E47" s="72"/>
      <c r="F47" s="72"/>
      <c r="G47" s="72"/>
      <c r="H47" s="72"/>
      <c r="I47" s="72"/>
      <c r="J47" s="72"/>
      <c r="K47" s="72"/>
      <c r="L47" s="73"/>
      <c r="M47" s="72"/>
      <c r="N47" s="72"/>
      <c r="O47" s="72"/>
      <c r="P47" s="72"/>
      <c r="Q47" s="72"/>
      <c r="R47" s="72"/>
    </row>
    <row r="48" spans="1:18" ht="20.25">
      <c r="A48" s="71"/>
      <c r="B48" s="72"/>
      <c r="C48" s="72"/>
      <c r="D48" s="72"/>
      <c r="E48" s="72"/>
      <c r="F48" s="72"/>
      <c r="G48" s="72"/>
      <c r="H48" s="72"/>
      <c r="I48" s="72"/>
      <c r="J48" s="72"/>
      <c r="K48" s="72"/>
      <c r="L48" s="73"/>
      <c r="M48" s="72"/>
      <c r="N48" s="72"/>
      <c r="O48" s="72"/>
      <c r="P48" s="72"/>
      <c r="Q48" s="72"/>
      <c r="R48" s="72"/>
    </row>
    <row r="49" spans="1:18" ht="20.25">
      <c r="A49" s="84" t="s">
        <v>64</v>
      </c>
      <c r="B49" s="84"/>
      <c r="C49" s="85"/>
      <c r="D49" s="86"/>
      <c r="E49" s="85"/>
      <c r="F49" s="87"/>
      <c r="G49" s="84"/>
      <c r="H49" s="84"/>
      <c r="I49" s="84"/>
      <c r="J49" s="84"/>
      <c r="K49" s="84"/>
      <c r="L49" s="84"/>
      <c r="M49" s="84"/>
      <c r="N49" s="84"/>
      <c r="O49" s="84"/>
      <c r="P49" s="84"/>
      <c r="Q49" s="84"/>
      <c r="R49" s="84"/>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0A2C-0D80-45B8-B268-9D06D56123FB}">
  <sheetPr>
    <tabColor rgb="FF98C561"/>
  </sheetPr>
  <dimension ref="A1:AX21"/>
  <sheetViews>
    <sheetView showGridLines="0" zoomScale="80" zoomScaleNormal="80" workbookViewId="0"/>
  </sheetViews>
  <sheetFormatPr defaultRowHeight="12.75" customHeight="1"/>
  <cols>
    <col min="1" max="1" width="2.7109375" customWidth="1"/>
    <col min="2" max="2" width="11.85546875" customWidth="1"/>
    <col min="3" max="3" width="10.7109375" customWidth="1"/>
    <col min="4" max="5" width="10.42578125" customWidth="1"/>
    <col min="6" max="6" width="12.28515625" customWidth="1"/>
    <col min="7" max="7" width="8.5703125" customWidth="1"/>
    <col min="8" max="8" width="9.5703125" customWidth="1"/>
    <col min="9" max="9" width="13.140625" customWidth="1"/>
    <col min="10" max="10" width="13.7109375" customWidth="1"/>
    <col min="11" max="11" width="9.5703125" customWidth="1"/>
    <col min="12" max="12" width="10.140625" customWidth="1"/>
    <col min="13" max="13" width="35.28515625" customWidth="1"/>
    <col min="14" max="17" width="9.42578125" customWidth="1"/>
    <col min="18" max="19" width="8.85546875" customWidth="1"/>
    <col min="20" max="20" width="7.42578125" customWidth="1"/>
    <col min="21" max="23" width="8.5703125" customWidth="1"/>
    <col min="24" max="24" width="10.28515625" customWidth="1"/>
    <col min="25" max="25" width="8.5703125" customWidth="1"/>
    <col min="26" max="26" width="11.28515625" customWidth="1"/>
    <col min="27" max="27" width="5.42578125" customWidth="1"/>
    <col min="28" max="32" width="11.28515625" customWidth="1"/>
    <col min="33" max="33" width="6.28515625" customWidth="1"/>
    <col min="34" max="35" width="9.85546875" bestFit="1" customWidth="1"/>
    <col min="37" max="37" width="9.85546875" bestFit="1" customWidth="1"/>
    <col min="43" max="43" width="11.5703125" customWidth="1"/>
    <col min="46" max="47" width="12" bestFit="1" customWidth="1"/>
    <col min="48" max="48" width="11" bestFit="1" customWidth="1"/>
    <col min="49" max="49" width="12" bestFit="1" customWidth="1"/>
    <col min="50" max="50" width="11" bestFit="1" customWidth="1"/>
  </cols>
  <sheetData>
    <row r="1" spans="1:50" s="2" customFormat="1" ht="30.75">
      <c r="A1" s="1" t="e">
        <f ca="1" xml:space="preserve"> RIGHT(CELL("filename", $A$1), LEN(CELL("filename", $A$1)) - SEARCH("]", CELL("filename", $A$1)))</f>
        <v>#VALUE!</v>
      </c>
      <c r="B1" s="1"/>
      <c r="C1" s="1"/>
      <c r="D1" s="1"/>
      <c r="E1" s="1"/>
      <c r="F1" s="1"/>
      <c r="G1" s="1"/>
      <c r="H1" s="1"/>
      <c r="I1" s="1"/>
      <c r="J1" s="1"/>
      <c r="K1" s="1"/>
      <c r="L1" s="1"/>
      <c r="M1" s="1"/>
      <c r="N1" s="1"/>
      <c r="O1" s="1"/>
      <c r="P1" s="1"/>
      <c r="Q1" s="1"/>
      <c r="R1" s="1"/>
      <c r="S1" s="1"/>
      <c r="T1" s="1"/>
      <c r="U1" s="1"/>
      <c r="V1" s="1"/>
      <c r="W1" s="1"/>
      <c r="X1" s="1"/>
      <c r="Y1" s="1"/>
    </row>
    <row r="3" spans="1:50">
      <c r="B3" t="s">
        <v>444</v>
      </c>
    </row>
    <row r="5" spans="1:50"/>
    <row r="6" spans="1:50" ht="23.25" customHeight="1">
      <c r="N6" s="20"/>
      <c r="O6" s="20"/>
      <c r="P6" s="20"/>
      <c r="Q6" s="20"/>
    </row>
    <row r="7" spans="1:50" ht="30.75" customHeight="1">
      <c r="H7" s="5" t="s">
        <v>163</v>
      </c>
      <c r="N7" s="274"/>
      <c r="O7" s="274"/>
      <c r="P7" s="274"/>
      <c r="Q7" s="274"/>
    </row>
    <row r="8" spans="1:50" ht="51" customHeight="1">
      <c r="D8" s="417" t="s">
        <v>445</v>
      </c>
      <c r="E8" s="418"/>
      <c r="F8" s="418"/>
      <c r="G8" s="418"/>
      <c r="H8" s="418"/>
      <c r="I8" s="418"/>
      <c r="J8" s="418"/>
      <c r="K8" s="418"/>
      <c r="L8" s="418"/>
      <c r="M8" s="271"/>
      <c r="N8" s="275"/>
      <c r="O8" s="422" t="s">
        <v>446</v>
      </c>
      <c r="P8" s="422"/>
      <c r="Q8" s="422"/>
      <c r="R8" s="422"/>
      <c r="S8" s="422"/>
      <c r="T8" s="275"/>
      <c r="U8" s="422" t="s">
        <v>447</v>
      </c>
      <c r="V8" s="422"/>
      <c r="W8" s="422"/>
      <c r="X8" s="422"/>
      <c r="Y8" s="422"/>
      <c r="Z8" s="23"/>
      <c r="AA8" s="23"/>
      <c r="AB8" s="422" t="s">
        <v>448</v>
      </c>
      <c r="AC8" s="422"/>
      <c r="AD8" s="422"/>
      <c r="AE8" s="422"/>
      <c r="AF8" s="422"/>
      <c r="AG8" s="23"/>
      <c r="AH8" s="422" t="s">
        <v>449</v>
      </c>
      <c r="AI8" s="422"/>
      <c r="AJ8" s="422"/>
      <c r="AK8" s="422"/>
      <c r="AL8" s="422"/>
      <c r="AM8" s="23"/>
      <c r="AN8" s="414" t="s">
        <v>450</v>
      </c>
      <c r="AO8" s="415"/>
      <c r="AP8" s="415"/>
      <c r="AQ8" s="415"/>
      <c r="AR8" s="416"/>
    </row>
    <row r="9" spans="1:50" ht="76.5" customHeight="1">
      <c r="A9" s="61"/>
      <c r="B9" s="62" t="s">
        <v>148</v>
      </c>
      <c r="C9" s="63" t="s">
        <v>451</v>
      </c>
      <c r="D9" s="63" t="s">
        <v>452</v>
      </c>
      <c r="E9" s="63" t="s">
        <v>301</v>
      </c>
      <c r="F9" s="63" t="s">
        <v>453</v>
      </c>
      <c r="G9" s="278" t="s">
        <v>454</v>
      </c>
      <c r="H9" s="63" t="s">
        <v>455</v>
      </c>
      <c r="I9" s="63" t="s">
        <v>456</v>
      </c>
      <c r="J9" s="63" t="s">
        <v>457</v>
      </c>
      <c r="K9" s="63" t="s">
        <v>458</v>
      </c>
      <c r="L9" s="279" t="s">
        <v>459</v>
      </c>
      <c r="M9" s="284" t="s">
        <v>460</v>
      </c>
      <c r="N9" s="275"/>
      <c r="O9" s="276" t="s">
        <v>257</v>
      </c>
      <c r="P9" s="276" t="s">
        <v>461</v>
      </c>
      <c r="Q9" s="276" t="s">
        <v>462</v>
      </c>
      <c r="R9" s="276" t="s">
        <v>463</v>
      </c>
      <c r="S9" s="276" t="s">
        <v>464</v>
      </c>
      <c r="T9" s="275"/>
      <c r="U9" s="276" t="s">
        <v>257</v>
      </c>
      <c r="V9" s="276" t="s">
        <v>461</v>
      </c>
      <c r="W9" s="276" t="s">
        <v>462</v>
      </c>
      <c r="X9" s="276" t="s">
        <v>463</v>
      </c>
      <c r="Y9" s="287" t="s">
        <v>464</v>
      </c>
      <c r="Z9" s="276" t="s">
        <v>465</v>
      </c>
      <c r="AA9" s="275"/>
      <c r="AB9" s="276" t="s">
        <v>257</v>
      </c>
      <c r="AC9" s="276" t="s">
        <v>461</v>
      </c>
      <c r="AD9" s="276" t="s">
        <v>462</v>
      </c>
      <c r="AE9" s="276" t="s">
        <v>463</v>
      </c>
      <c r="AF9" s="276" t="s">
        <v>464</v>
      </c>
      <c r="AH9" s="276" t="s">
        <v>257</v>
      </c>
      <c r="AI9" s="276" t="s">
        <v>461</v>
      </c>
      <c r="AJ9" s="276" t="s">
        <v>462</v>
      </c>
      <c r="AK9" s="276" t="s">
        <v>463</v>
      </c>
      <c r="AL9" s="276" t="s">
        <v>464</v>
      </c>
      <c r="AN9" s="276" t="s">
        <v>257</v>
      </c>
      <c r="AO9" s="276" t="s">
        <v>461</v>
      </c>
      <c r="AP9" s="276" t="s">
        <v>462</v>
      </c>
      <c r="AQ9" s="276" t="s">
        <v>463</v>
      </c>
      <c r="AR9" s="276" t="s">
        <v>464</v>
      </c>
    </row>
    <row r="10" spans="1:50" ht="17.25" customHeight="1">
      <c r="B10" s="64" t="s">
        <v>82</v>
      </c>
      <c r="C10" s="67">
        <f ca="1">Allowance!C13</f>
        <v>48.026999999999994</v>
      </c>
      <c r="D10" s="67">
        <f ca="1">_xlfn.XLOOKUP(B10,Allowance!B13:B23,Allowance!I13:I23)</f>
        <v>24.013499999999997</v>
      </c>
      <c r="E10" s="173">
        <f>_xlfn.XLOOKUP(B10,'Modelled costs_FD'!A7:A17,'Modelled costs_FD'!S7:S17)/2</f>
        <v>709.5</v>
      </c>
      <c r="F10" s="67">
        <f>'Materiality &amp; shallow dive'!C7</f>
        <v>6050.1790000000001</v>
      </c>
      <c r="G10" s="174">
        <f t="shared" ref="G10:G20" ca="1" si="0">D10/F10</f>
        <v>3.9690561221411794E-3</v>
      </c>
      <c r="H10" s="116" t="s">
        <v>466</v>
      </c>
      <c r="I10" s="142" cm="1">
        <f t="array" ref="I10">_xlfn.XLOOKUP($B10&amp;H$7,'Post Adj &amp; FS Allowances'!$A$5:$A$735&amp;'Post Adj &amp; FS Allowances'!$B$5:$B$735,'Post Adj &amp; FS Allowances'!$M$5:$M$735)</f>
        <v>23.450753671013821</v>
      </c>
      <c r="J10" s="174">
        <f t="shared" ref="J10:J20" ca="1" si="1">I10/D10</f>
        <v>0.97656541824448018</v>
      </c>
      <c r="K10" s="116" t="s">
        <v>467</v>
      </c>
      <c r="L10" s="171" t="s">
        <v>468</v>
      </c>
      <c r="M10" s="419" t="s">
        <v>469</v>
      </c>
      <c r="N10" s="155"/>
      <c r="O10" s="66">
        <f>_xlfn.XLOOKUP(B10,'Modelled costs_FD'!A7:A17,'Modelled costs_FD'!E7:E17)/2</f>
        <v>460</v>
      </c>
      <c r="P10" s="66">
        <f>_xlfn.XLOOKUP(B10,'Modelled costs_FD'!A7:A17,'Modelled costs_FD'!H7:H17)</f>
        <v>0</v>
      </c>
      <c r="Q10" s="66">
        <f>_xlfn.XLOOKUP(B10,'Modelled costs_FD'!A7:A17,'Modelled costs_FD'!K7:K17)</f>
        <v>0</v>
      </c>
      <c r="R10" s="66">
        <f>ROUND(_xlfn.XLOOKUP(B10,'Modelled costs_FD'!A7:A17,'Modelled costs_FD'!N7:N17)/2,0)</f>
        <v>250</v>
      </c>
      <c r="S10" s="66">
        <f>_xlfn.XLOOKUP(B10,'Modelled costs_FD'!A7:A17,'Modelled costs_FD'!Q7:Q17)</f>
        <v>0</v>
      </c>
      <c r="T10" s="155"/>
      <c r="U10" s="277">
        <f>_xlfn.XLOOKUP($B10,'Modelled costs_FD'!$A$7:$A$17,'Modelled costs_FD'!$F$7:$F$17)</f>
        <v>14.634</v>
      </c>
      <c r="V10" s="277">
        <f>_xlfn.XLOOKUP($B10,'Modelled costs_FD'!$A$7:$A$17,'Modelled costs_FD'!$I$7:$I$17)</f>
        <v>0</v>
      </c>
      <c r="W10" s="277">
        <f>_xlfn.XLOOKUP($B10,'Modelled costs_FD'!$A$7:$A$17,'Modelled costs_FD'!$L$7:$L$17)</f>
        <v>0</v>
      </c>
      <c r="X10" s="277">
        <f>_xlfn.XLOOKUP($B10,'Modelled costs_FD'!$A$7:$A$17,'Modelled costs_FD'!$O$7:$O$17)</f>
        <v>33.392000000000003</v>
      </c>
      <c r="Y10" s="286">
        <f>_xlfn.XLOOKUP($B10,'Modelled costs_FD'!$A$7:$A$17,'Modelled costs_FD'!$R$7:$R$17)</f>
        <v>0</v>
      </c>
      <c r="Z10" s="288">
        <f>SUM(U10:Y10)</f>
        <v>48.026000000000003</v>
      </c>
      <c r="AA10" s="252"/>
      <c r="AB10" s="289">
        <f>U10/$Z10</f>
        <v>0.30470994877774538</v>
      </c>
      <c r="AC10" s="289">
        <f t="shared" ref="AC10:AF20" si="2">V10/$Z10</f>
        <v>0</v>
      </c>
      <c r="AD10" s="289">
        <f t="shared" si="2"/>
        <v>0</v>
      </c>
      <c r="AE10" s="289">
        <f t="shared" si="2"/>
        <v>0.69529005122225462</v>
      </c>
      <c r="AF10" s="289">
        <f t="shared" si="2"/>
        <v>0</v>
      </c>
      <c r="AG10" s="252"/>
      <c r="AH10" s="285">
        <f>AB10*$I10</f>
        <v>7.1456779498941456</v>
      </c>
      <c r="AI10" s="285">
        <f t="shared" ref="AI10:AL20" si="3">AC10*$I10</f>
        <v>0</v>
      </c>
      <c r="AJ10" s="285">
        <f t="shared" si="3"/>
        <v>0</v>
      </c>
      <c r="AK10" s="285">
        <f t="shared" si="3"/>
        <v>16.305075721119675</v>
      </c>
      <c r="AL10" s="285">
        <f t="shared" si="3"/>
        <v>0</v>
      </c>
      <c r="AN10" s="10">
        <f>AH10/O10</f>
        <v>1.5534082499769881E-2</v>
      </c>
      <c r="AO10" s="10"/>
      <c r="AP10" s="10"/>
      <c r="AQ10" s="10">
        <f t="shared" ref="AQ10:AQ20" si="4">AK10/R10</f>
        <v>6.5220302884478693E-2</v>
      </c>
      <c r="AR10" s="10"/>
      <c r="AT10" s="252"/>
      <c r="AU10" s="252"/>
      <c r="AV10" s="252"/>
      <c r="AW10" s="252"/>
      <c r="AX10" s="252"/>
    </row>
    <row r="11" spans="1:50" ht="17.25" customHeight="1">
      <c r="A11" s="3"/>
      <c r="B11" s="64" t="s">
        <v>106</v>
      </c>
      <c r="C11" s="67">
        <f ca="1">Allowance!C14</f>
        <v>21.192</v>
      </c>
      <c r="D11" s="67">
        <f ca="1">_xlfn.XLOOKUP(B11,Allowance!B14:B24,Allowance!I14:I24)</f>
        <v>16.953600000000002</v>
      </c>
      <c r="E11" s="173">
        <f>_xlfn.XLOOKUP(B11,'Modelled costs_FD'!A8:A18,'Modelled costs_FD'!S8:S18)</f>
        <v>813</v>
      </c>
      <c r="F11" s="67">
        <f>'Materiality &amp; shallow dive'!C8</f>
        <v>3318.1689999999999</v>
      </c>
      <c r="G11" s="174">
        <f t="shared" ca="1" si="0"/>
        <v>5.1093238469770534E-3</v>
      </c>
      <c r="H11" s="116" t="s">
        <v>466</v>
      </c>
      <c r="I11" s="142" cm="1">
        <f t="array" ref="I11">_xlfn.XLOOKUP($B11&amp;H$7,'Post Adj &amp; FS Allowances'!$A$5:$A$735&amp;'Post Adj &amp; FS Allowances'!$B$5:$B$735,'Post Adj &amp; FS Allowances'!$M$5:$M$735)</f>
        <v>16.631292426583521</v>
      </c>
      <c r="J11" s="174">
        <f t="shared" ca="1" si="1"/>
        <v>0.98098884169636646</v>
      </c>
      <c r="K11" s="116" t="s">
        <v>467</v>
      </c>
      <c r="L11" s="171" t="s">
        <v>468</v>
      </c>
      <c r="M11" s="420"/>
      <c r="N11" s="155"/>
      <c r="O11" s="66">
        <f>_xlfn.XLOOKUP(B11,'Modelled costs_FD'!A8:A18,'Modelled costs_FD'!E8:E18)</f>
        <v>806</v>
      </c>
      <c r="P11" s="66">
        <f>_xlfn.XLOOKUP(B11,'Modelled costs_FD'!A8:A18,'Modelled costs_FD'!H8:H18)</f>
        <v>0</v>
      </c>
      <c r="Q11" s="66">
        <f>_xlfn.XLOOKUP(B11,'Modelled costs_FD'!A8:A18,'Modelled costs_FD'!K8:K18)</f>
        <v>1</v>
      </c>
      <c r="R11" s="66">
        <f>_xlfn.XLOOKUP(B11,'Modelled costs_FD'!A8:A18,'Modelled costs_FD'!N8:N18)</f>
        <v>6</v>
      </c>
      <c r="S11" s="66">
        <f>_xlfn.XLOOKUP(B11,'Modelled costs_FD'!A8:A18,'Modelled costs_FD'!Q8:Q18)</f>
        <v>0</v>
      </c>
      <c r="T11" s="155"/>
      <c r="U11" s="277">
        <f>_xlfn.XLOOKUP($B11,'Modelled costs_FD'!$A$7:$A$17,'Modelled costs_FD'!$F$7:$F$17)</f>
        <v>20.562000000000001</v>
      </c>
      <c r="V11" s="277">
        <f>_xlfn.XLOOKUP($B11,'Modelled costs_FD'!$A$7:$A$17,'Modelled costs_FD'!$I$7:$I$17)</f>
        <v>0</v>
      </c>
      <c r="W11" s="277">
        <f>_xlfn.XLOOKUP($B11,'Modelled costs_FD'!$A$7:$A$17,'Modelled costs_FD'!$L$7:$L$17)</f>
        <v>6.7000000000000004E-2</v>
      </c>
      <c r="X11" s="277">
        <f>_xlfn.XLOOKUP($B11,'Modelled costs_FD'!$A$7:$A$17,'Modelled costs_FD'!$O$7:$O$17)</f>
        <v>0.56200000000000006</v>
      </c>
      <c r="Y11" s="286">
        <f>_xlfn.XLOOKUP($B11,'Modelled costs_FD'!$A$7:$A$17,'Modelled costs_FD'!$R$7:$R$17)</f>
        <v>0</v>
      </c>
      <c r="Z11" s="285">
        <f t="shared" ref="Z11:Z20" si="5">SUM(U11:Y11)</f>
        <v>21.191000000000003</v>
      </c>
      <c r="AA11" s="252"/>
      <c r="AB11" s="289">
        <f t="shared" ref="AB11:AB20" si="6">U11/$Z11</f>
        <v>0.97031758765513654</v>
      </c>
      <c r="AC11" s="289">
        <f t="shared" si="2"/>
        <v>0</v>
      </c>
      <c r="AD11" s="289">
        <f t="shared" si="2"/>
        <v>3.1617195979425227E-3</v>
      </c>
      <c r="AE11" s="289">
        <f t="shared" si="2"/>
        <v>2.652069274692086E-2</v>
      </c>
      <c r="AF11" s="289">
        <f t="shared" si="2"/>
        <v>0</v>
      </c>
      <c r="AG11" s="252"/>
      <c r="AH11" s="285">
        <f t="shared" ref="AH11:AH20" si="7">AB11*$I11</f>
        <v>16.137635546949664</v>
      </c>
      <c r="AI11" s="285">
        <f t="shared" si="3"/>
        <v>0</v>
      </c>
      <c r="AJ11" s="285">
        <f t="shared" si="3"/>
        <v>5.2583483204242172E-2</v>
      </c>
      <c r="AK11" s="285">
        <f t="shared" si="3"/>
        <v>0.44107339642961341</v>
      </c>
      <c r="AL11" s="285">
        <f t="shared" si="3"/>
        <v>0</v>
      </c>
      <c r="AN11" s="10">
        <f>AH11/O11</f>
        <v>2.0021880331203057E-2</v>
      </c>
      <c r="AO11" s="10"/>
      <c r="AP11" s="10">
        <f>AJ11/Q11</f>
        <v>5.2583483204242172E-2</v>
      </c>
      <c r="AQ11" s="10">
        <f t="shared" si="4"/>
        <v>7.3512232738268901E-2</v>
      </c>
      <c r="AR11" s="10"/>
      <c r="AT11" s="252"/>
      <c r="AU11" s="252"/>
      <c r="AV11" s="252"/>
      <c r="AW11" s="252"/>
      <c r="AX11" s="252"/>
    </row>
    <row r="12" spans="1:50" ht="17.25" customHeight="1">
      <c r="B12" s="64" t="s">
        <v>107</v>
      </c>
      <c r="C12" s="67">
        <f ca="1">Allowance!C15</f>
        <v>0.56600000000000006</v>
      </c>
      <c r="D12" s="67">
        <f ca="1">_xlfn.XLOOKUP(B12,Allowance!B15:B25,Allowance!I15:I25)</f>
        <v>0.56600000000000006</v>
      </c>
      <c r="E12" s="173">
        <f>_xlfn.XLOOKUP(B12,'Modelled costs_FD'!A9:A19,'Modelled costs_FD'!S9:S19)</f>
        <v>13</v>
      </c>
      <c r="F12" s="67">
        <f>'Materiality &amp; shallow dive'!C9</f>
        <v>61.302999999999997</v>
      </c>
      <c r="G12" s="174">
        <f t="shared" ca="1" si="0"/>
        <v>9.2328271047093964E-3</v>
      </c>
      <c r="H12" s="116" t="s">
        <v>470</v>
      </c>
      <c r="I12" s="142" cm="1">
        <f t="array" ref="I12">_xlfn.XLOOKUP($B12&amp;H$7,'Post Adj &amp; FS Allowances'!$A$5:$A$735&amp;'Post Adj &amp; FS Allowances'!$B$5:$B$735,'Post Adj &amp; FS Allowances'!$M$5:$M$735)</f>
        <v>0.55193794361680426</v>
      </c>
      <c r="J12" s="174">
        <f t="shared" ca="1" si="1"/>
        <v>0.97515537741484837</v>
      </c>
      <c r="K12" s="116" t="s">
        <v>467</v>
      </c>
      <c r="L12" s="171" t="s">
        <v>468</v>
      </c>
      <c r="M12" s="420"/>
      <c r="N12" s="272"/>
      <c r="O12" s="66">
        <f>_xlfn.XLOOKUP(B12,'Modelled costs_FD'!A9:A19,'Modelled costs_FD'!E9:E19)</f>
        <v>6</v>
      </c>
      <c r="P12" s="66">
        <f>_xlfn.XLOOKUP(B12,'Modelled costs_FD'!A9:A19,'Modelled costs_FD'!H9:H19)</f>
        <v>0</v>
      </c>
      <c r="Q12" s="66">
        <f>_xlfn.XLOOKUP(B12,'Modelled costs_FD'!A9:A19,'Modelled costs_FD'!K9:K19)</f>
        <v>0</v>
      </c>
      <c r="R12" s="66">
        <f>_xlfn.XLOOKUP(B12,'Modelled costs_FD'!A9:A19,'Modelled costs_FD'!N9:N19)</f>
        <v>7</v>
      </c>
      <c r="S12" s="66">
        <f>_xlfn.XLOOKUP(B12,'Modelled costs_FD'!A9:A19,'Modelled costs_FD'!Q9:Q19)</f>
        <v>0</v>
      </c>
      <c r="T12" s="155"/>
      <c r="U12" s="277">
        <f>_xlfn.XLOOKUP($B12,'Modelled costs_FD'!$A$7:$A$17,'Modelled costs_FD'!$F$7:$F$17)</f>
        <v>4.8000000000000001E-2</v>
      </c>
      <c r="V12" s="277">
        <f>_xlfn.XLOOKUP($B12,'Modelled costs_FD'!$A$7:$A$17,'Modelled costs_FD'!$I$7:$I$17)</f>
        <v>0</v>
      </c>
      <c r="W12" s="277">
        <f>_xlfn.XLOOKUP($B12,'Modelled costs_FD'!$A$7:$A$17,'Modelled costs_FD'!$L$7:$L$17)</f>
        <v>0</v>
      </c>
      <c r="X12" s="277">
        <f>_xlfn.XLOOKUP($B12,'Modelled costs_FD'!$A$7:$A$17,'Modelled costs_FD'!$O$7:$O$17)</f>
        <v>0.51900000000000002</v>
      </c>
      <c r="Y12" s="286">
        <f>_xlfn.XLOOKUP($B12,'Modelled costs_FD'!$A$7:$A$17,'Modelled costs_FD'!$R$7:$R$17)</f>
        <v>0</v>
      </c>
      <c r="Z12" s="285">
        <f t="shared" si="5"/>
        <v>0.56700000000000006</v>
      </c>
      <c r="AA12" s="252"/>
      <c r="AB12" s="289">
        <f t="shared" si="6"/>
        <v>8.4656084656084651E-2</v>
      </c>
      <c r="AC12" s="289">
        <f t="shared" si="2"/>
        <v>0</v>
      </c>
      <c r="AD12" s="289">
        <f t="shared" si="2"/>
        <v>0</v>
      </c>
      <c r="AE12" s="289">
        <f t="shared" si="2"/>
        <v>0.91534391534391524</v>
      </c>
      <c r="AF12" s="289">
        <f t="shared" si="2"/>
        <v>0</v>
      </c>
      <c r="AG12" s="252"/>
      <c r="AH12" s="285">
        <f t="shared" si="7"/>
        <v>4.6724905279729459E-2</v>
      </c>
      <c r="AI12" s="285">
        <f t="shared" si="3"/>
        <v>0</v>
      </c>
      <c r="AJ12" s="285">
        <f t="shared" si="3"/>
        <v>0</v>
      </c>
      <c r="AK12" s="285">
        <f t="shared" si="3"/>
        <v>0.50521303833707476</v>
      </c>
      <c r="AL12" s="285">
        <f t="shared" si="3"/>
        <v>0</v>
      </c>
      <c r="AN12" s="10">
        <f>AH12/O12</f>
        <v>7.7874842132882429E-3</v>
      </c>
      <c r="AO12" s="10"/>
      <c r="AP12" s="10"/>
      <c r="AQ12" s="10">
        <f t="shared" si="4"/>
        <v>7.217329119101068E-2</v>
      </c>
      <c r="AR12" s="10"/>
      <c r="AT12" s="252"/>
      <c r="AU12" s="252"/>
      <c r="AV12" s="252"/>
      <c r="AW12" s="252"/>
      <c r="AX12" s="252"/>
    </row>
    <row r="13" spans="1:50" ht="17.25" customHeight="1">
      <c r="A13" s="3"/>
      <c r="B13" s="64" t="s">
        <v>108</v>
      </c>
      <c r="C13" s="67">
        <f ca="1">Allowance!C16*0.25</f>
        <v>9.770500000000002</v>
      </c>
      <c r="D13" s="67">
        <f ca="1">_xlfn.XLOOKUP(B13,Allowance!B16:B26,Allowance!I16:I26)</f>
        <v>31.265600000000006</v>
      </c>
      <c r="E13" s="173">
        <f>_xlfn.XLOOKUP(B13,'Modelled costs_FD'!A10:A20,'Modelled costs_FD'!S10:S20)</f>
        <v>299</v>
      </c>
      <c r="F13" s="67">
        <f>'Materiality &amp; shallow dive'!C10</f>
        <v>3207.9270000000001</v>
      </c>
      <c r="G13" s="174">
        <f t="shared" ca="1" si="0"/>
        <v>9.7463564476373693E-3</v>
      </c>
      <c r="H13" s="116" t="s">
        <v>470</v>
      </c>
      <c r="I13" s="142" cm="1">
        <f t="array" ref="I13">_xlfn.XLOOKUP("NES"&amp;H$7,'Post Adj &amp; FS Allowances'!$A$5:$A$735&amp;'Post Adj &amp; FS Allowances'!$B$5:$B$735,'Post Adj &amp; FS Allowances'!$M$5:$M$735)</f>
        <v>30.578862735263243</v>
      </c>
      <c r="J13" s="174">
        <f t="shared" ca="1" si="1"/>
        <v>0.97803537227058612</v>
      </c>
      <c r="K13" s="116" t="s">
        <v>467</v>
      </c>
      <c r="L13" s="171" t="s">
        <v>468</v>
      </c>
      <c r="M13" s="420"/>
      <c r="N13" s="272"/>
      <c r="O13" s="66">
        <f>_xlfn.XLOOKUP(B13,'Modelled costs_FD'!A10:A20,'Modelled costs_FD'!E10:E20)</f>
        <v>0</v>
      </c>
      <c r="P13" s="66">
        <f>_xlfn.XLOOKUP(B13,'Modelled costs_FD'!A10:A20,'Modelled costs_FD'!H10:H20)</f>
        <v>158</v>
      </c>
      <c r="Q13" s="66">
        <f>_xlfn.XLOOKUP(B13,'Modelled costs_FD'!A10:A20,'Modelled costs_FD'!K10:K20)</f>
        <v>0</v>
      </c>
      <c r="R13" s="66">
        <f>_xlfn.XLOOKUP(B13,'Modelled costs_FD'!A10:A20,'Modelled costs_FD'!N10:N20)</f>
        <v>141</v>
      </c>
      <c r="S13" s="66">
        <f>_xlfn.XLOOKUP(B13,'Modelled costs_FD'!A10:A20,'Modelled costs_FD'!Q10:Q20)</f>
        <v>0</v>
      </c>
      <c r="T13" s="155"/>
      <c r="U13" s="277">
        <f>_xlfn.XLOOKUP($B13,'Modelled costs_FD'!$A$7:$A$17,'Modelled costs_FD'!$F$7:$F$17)</f>
        <v>0</v>
      </c>
      <c r="V13" s="277">
        <f>_xlfn.XLOOKUP($B13,'Modelled costs_FD'!$A$7:$A$17,'Modelled costs_FD'!$I$7:$I$17)</f>
        <v>12.795</v>
      </c>
      <c r="W13" s="277">
        <f>_xlfn.XLOOKUP($B13,'Modelled costs_FD'!$A$7:$A$17,'Modelled costs_FD'!$L$7:$L$17)</f>
        <v>0</v>
      </c>
      <c r="X13" s="277">
        <f>_xlfn.XLOOKUP($B13,'Modelled costs_FD'!$A$7:$A$17,'Modelled costs_FD'!$O$7:$O$17)</f>
        <v>26.286999999999999</v>
      </c>
      <c r="Y13" s="286">
        <f>_xlfn.XLOOKUP($B13,'Modelled costs_FD'!$A$7:$A$17,'Modelled costs_FD'!$R$7:$R$17)</f>
        <v>0</v>
      </c>
      <c r="Z13" s="285">
        <f t="shared" si="5"/>
        <v>39.082000000000001</v>
      </c>
      <c r="AA13" s="252"/>
      <c r="AB13" s="289">
        <f t="shared" si="6"/>
        <v>0</v>
      </c>
      <c r="AC13" s="289">
        <f t="shared" si="2"/>
        <v>0.32738856762704055</v>
      </c>
      <c r="AD13" s="289">
        <f t="shared" si="2"/>
        <v>0</v>
      </c>
      <c r="AE13" s="289">
        <f t="shared" si="2"/>
        <v>0.67261143237295939</v>
      </c>
      <c r="AF13" s="289">
        <f t="shared" si="2"/>
        <v>0</v>
      </c>
      <c r="AG13" s="252"/>
      <c r="AH13" s="285">
        <f t="shared" si="7"/>
        <v>0</v>
      </c>
      <c r="AI13" s="285">
        <f t="shared" si="3"/>
        <v>10.01117007056172</v>
      </c>
      <c r="AJ13" s="285">
        <f t="shared" si="3"/>
        <v>0</v>
      </c>
      <c r="AK13" s="285">
        <f t="shared" si="3"/>
        <v>20.567692664701521</v>
      </c>
      <c r="AL13" s="285">
        <f t="shared" si="3"/>
        <v>0</v>
      </c>
      <c r="AN13" s="10"/>
      <c r="AO13" s="10">
        <f>AI13/P13</f>
        <v>6.3361835889631138E-2</v>
      </c>
      <c r="AP13" s="10"/>
      <c r="AQ13" s="10">
        <f t="shared" si="4"/>
        <v>0.14587016074256398</v>
      </c>
      <c r="AR13" s="10"/>
      <c r="AT13" s="252"/>
      <c r="AU13" s="252"/>
      <c r="AV13" s="252"/>
      <c r="AW13" s="252"/>
      <c r="AX13" s="252"/>
    </row>
    <row r="14" spans="1:50" ht="17.25" customHeight="1">
      <c r="A14" s="3"/>
      <c r="B14" s="64" t="s">
        <v>109</v>
      </c>
      <c r="C14" s="67">
        <f ca="1">Allowance!C17</f>
        <v>26.253561906402226</v>
      </c>
      <c r="D14" s="67">
        <f ca="1">_xlfn.XLOOKUP(B14,Allowance!B17:B27,Allowance!I17:I27)</f>
        <v>26.253561906402226</v>
      </c>
      <c r="E14" s="173">
        <f>_xlfn.XLOOKUP(B14,'Modelled costs_FD'!A11:A21,'Modelled costs_FD'!S11:S21)</f>
        <v>653</v>
      </c>
      <c r="F14" s="67">
        <f>'Materiality &amp; shallow dive'!C11</f>
        <v>8618.7119999999995</v>
      </c>
      <c r="G14" s="174">
        <f t="shared" ca="1" si="0"/>
        <v>3.0461119836005923E-3</v>
      </c>
      <c r="H14" s="116" t="s">
        <v>466</v>
      </c>
      <c r="I14" s="142" cm="1">
        <f t="array" ref="I14">_xlfn.XLOOKUP($B14&amp;H$7,'Post Adj &amp; FS Allowances'!$A$5:$A$735&amp;'Post Adj &amp; FS Allowances'!$B$5:$B$735,'Post Adj &amp; FS Allowances'!$M$5:$M$735)</f>
        <v>25.563688217537056</v>
      </c>
      <c r="J14" s="174">
        <f t="shared" ca="1" si="1"/>
        <v>0.97372266318282186</v>
      </c>
      <c r="K14" s="116" t="s">
        <v>467</v>
      </c>
      <c r="L14" s="171" t="s">
        <v>468</v>
      </c>
      <c r="M14" s="420"/>
      <c r="N14" s="155"/>
      <c r="O14" s="66">
        <f>_xlfn.XLOOKUP(B14,'Modelled costs_FD'!A11:A21,'Modelled costs_FD'!E11:E21)</f>
        <v>378</v>
      </c>
      <c r="P14" s="66">
        <f>_xlfn.XLOOKUP(B14,'Modelled costs_FD'!A11:A21,'Modelled costs_FD'!H11:H21)</f>
        <v>13</v>
      </c>
      <c r="Q14" s="66">
        <f>_xlfn.XLOOKUP(B14,'Modelled costs_FD'!A11:A21,'Modelled costs_FD'!K11:K21)</f>
        <v>0</v>
      </c>
      <c r="R14" s="66">
        <f>_xlfn.XLOOKUP(B14,'Modelled costs_FD'!A11:A21,'Modelled costs_FD'!N11:N21)</f>
        <v>262</v>
      </c>
      <c r="S14" s="66">
        <f>_xlfn.XLOOKUP(B14,'Modelled costs_FD'!A11:A21,'Modelled costs_FD'!Q11:Q21)</f>
        <v>0</v>
      </c>
      <c r="T14" s="155"/>
      <c r="U14" s="277">
        <f>_xlfn.XLOOKUP($B14,'Modelled costs_FD'!$A$7:$A$17,'Modelled costs_FD'!$F$7:$F$17)</f>
        <v>4.3949999999999996</v>
      </c>
      <c r="V14" s="277">
        <f>_xlfn.XLOOKUP($B14,'Modelled costs_FD'!$A$7:$A$17,'Modelled costs_FD'!$I$7:$I$17)</f>
        <v>0.79800000000000004</v>
      </c>
      <c r="W14" s="277">
        <f>_xlfn.XLOOKUP($B14,'Modelled costs_FD'!$A$7:$A$17,'Modelled costs_FD'!$L$7:$L$17)</f>
        <v>0</v>
      </c>
      <c r="X14" s="277">
        <f>_xlfn.XLOOKUP($B14,'Modelled costs_FD'!$A$7:$A$17,'Modelled costs_FD'!$O$7:$O$17)</f>
        <v>21.059000000000001</v>
      </c>
      <c r="Y14" s="286">
        <f>_xlfn.XLOOKUP($B14,'Modelled costs_FD'!$A$7:$A$17,'Modelled costs_FD'!$R$7:$R$17)</f>
        <v>0</v>
      </c>
      <c r="Z14" s="285">
        <f t="shared" si="5"/>
        <v>26.252000000000002</v>
      </c>
      <c r="AA14" s="252"/>
      <c r="AB14" s="289">
        <f t="shared" si="6"/>
        <v>0.16741581593783328</v>
      </c>
      <c r="AC14" s="289">
        <f t="shared" si="2"/>
        <v>3.039768398598202E-2</v>
      </c>
      <c r="AD14" s="289">
        <f t="shared" si="2"/>
        <v>0</v>
      </c>
      <c r="AE14" s="289">
        <f t="shared" si="2"/>
        <v>0.80218650007618464</v>
      </c>
      <c r="AF14" s="289">
        <f t="shared" si="2"/>
        <v>0</v>
      </c>
      <c r="AG14" s="252"/>
      <c r="AH14" s="285">
        <f t="shared" si="7"/>
        <v>4.2797657213193414</v>
      </c>
      <c r="AI14" s="285">
        <f t="shared" si="3"/>
        <v>0.77707691595286343</v>
      </c>
      <c r="AJ14" s="285">
        <f t="shared" si="3"/>
        <v>0</v>
      </c>
      <c r="AK14" s="285">
        <f t="shared" si="3"/>
        <v>20.506845580264851</v>
      </c>
      <c r="AL14" s="285">
        <f t="shared" si="3"/>
        <v>0</v>
      </c>
      <c r="AN14" s="10">
        <f>AH14/O14</f>
        <v>1.1322131537881856E-2</v>
      </c>
      <c r="AO14" s="10">
        <f>AI14/P14</f>
        <v>5.9775147380989498E-2</v>
      </c>
      <c r="AP14" s="10"/>
      <c r="AQ14" s="10">
        <f t="shared" si="4"/>
        <v>7.8270402978110123E-2</v>
      </c>
      <c r="AR14" s="10"/>
      <c r="AT14" s="252"/>
      <c r="AU14" s="252"/>
      <c r="AV14" s="252"/>
      <c r="AW14" s="252"/>
      <c r="AX14" s="252"/>
    </row>
    <row r="15" spans="1:50" ht="17.25" customHeight="1">
      <c r="B15" s="64" t="s">
        <v>110</v>
      </c>
      <c r="C15" s="67">
        <f ca="1">Allowance!C18</f>
        <v>10.199999999999999</v>
      </c>
      <c r="D15" s="67">
        <f ca="1">_xlfn.XLOOKUP(B15,Allowance!B18:B28,Allowance!I18:I28)</f>
        <v>10.097999999999999</v>
      </c>
      <c r="E15" s="173">
        <f>_xlfn.XLOOKUP(B15,'Modelled costs_FD'!A12:A22,'Modelled costs_FD'!S12:S22)</f>
        <v>193</v>
      </c>
      <c r="F15" s="67">
        <f>'Materiality &amp; shallow dive'!C12</f>
        <v>2220.3789999999999</v>
      </c>
      <c r="G15" s="174">
        <f t="shared" ca="1" si="0"/>
        <v>4.5478722326233491E-3</v>
      </c>
      <c r="H15" s="116" t="s">
        <v>466</v>
      </c>
      <c r="I15" s="142" cm="1">
        <f t="array" ref="I15">_xlfn.XLOOKUP($B15&amp;H$7,'Post Adj &amp; FS Allowances'!$A$5:$A$735&amp;'Post Adj &amp; FS Allowances'!$B$5:$B$735,'Post Adj &amp; FS Allowances'!$M$5:$M$735)</f>
        <v>9.8804566722726506</v>
      </c>
      <c r="J15" s="174">
        <f t="shared" ca="1" si="1"/>
        <v>0.97845679067861469</v>
      </c>
      <c r="K15" s="116" t="s">
        <v>467</v>
      </c>
      <c r="L15" s="171" t="s">
        <v>468</v>
      </c>
      <c r="M15" s="420"/>
      <c r="N15" s="155"/>
      <c r="O15" s="66">
        <f>_xlfn.XLOOKUP(B15,'Modelled costs_FD'!A12:A22,'Modelled costs_FD'!E12:E22)</f>
        <v>0</v>
      </c>
      <c r="P15" s="66">
        <f>_xlfn.XLOOKUP(B15,'Modelled costs_FD'!A12:A22,'Modelled costs_FD'!H12:H22)</f>
        <v>8</v>
      </c>
      <c r="Q15" s="66">
        <f>_xlfn.XLOOKUP(B15,'Modelled costs_FD'!A12:A22,'Modelled costs_FD'!K12:K22)</f>
        <v>0</v>
      </c>
      <c r="R15" s="66">
        <f>_xlfn.XLOOKUP(B15,'Modelled costs_FD'!A12:A22,'Modelled costs_FD'!N12:N22)</f>
        <v>185</v>
      </c>
      <c r="S15" s="66">
        <f>_xlfn.XLOOKUP(B15,'Modelled costs_FD'!A12:A22,'Modelled costs_FD'!Q12:Q22)</f>
        <v>0</v>
      </c>
      <c r="T15" s="155"/>
      <c r="U15" s="277">
        <f>_xlfn.XLOOKUP($B15,'Modelled costs_FD'!$A$7:$A$17,'Modelled costs_FD'!$F$7:$F$17)</f>
        <v>0.20899999999999999</v>
      </c>
      <c r="V15" s="277">
        <f>_xlfn.XLOOKUP($B15,'Modelled costs_FD'!$A$7:$A$17,'Modelled costs_FD'!$I$7:$I$17)</f>
        <v>0.24</v>
      </c>
      <c r="W15" s="277">
        <f>_xlfn.XLOOKUP($B15,'Modelled costs_FD'!$A$7:$A$17,'Modelled costs_FD'!$L$7:$L$17)</f>
        <v>0.27800000000000002</v>
      </c>
      <c r="X15" s="277">
        <f>_xlfn.XLOOKUP($B15,'Modelled costs_FD'!$A$7:$A$17,'Modelled costs_FD'!$O$7:$O$17)</f>
        <v>9.2780000000000005</v>
      </c>
      <c r="Y15" s="286">
        <f>_xlfn.XLOOKUP($B15,'Modelled costs_FD'!$A$7:$A$17,'Modelled costs_FD'!$R$7:$R$17)</f>
        <v>0.19500000000000001</v>
      </c>
      <c r="Z15" s="285">
        <f t="shared" si="5"/>
        <v>10.200000000000001</v>
      </c>
      <c r="AA15" s="252"/>
      <c r="AB15" s="289">
        <f t="shared" si="6"/>
        <v>2.0490196078431371E-2</v>
      </c>
      <c r="AC15" s="289">
        <f t="shared" si="2"/>
        <v>2.3529411764705879E-2</v>
      </c>
      <c r="AD15" s="289">
        <f t="shared" si="2"/>
        <v>2.7254901960784315E-2</v>
      </c>
      <c r="AE15" s="289">
        <f t="shared" si="2"/>
        <v>0.90960784313725485</v>
      </c>
      <c r="AF15" s="289">
        <f t="shared" si="2"/>
        <v>1.9117647058823527E-2</v>
      </c>
      <c r="AG15" s="252"/>
      <c r="AH15" s="285">
        <f t="shared" si="7"/>
        <v>0.20245249455931214</v>
      </c>
      <c r="AI15" s="285">
        <f t="shared" si="3"/>
        <v>0.2324813334652388</v>
      </c>
      <c r="AJ15" s="285">
        <f t="shared" si="3"/>
        <v>0.26929087793056833</v>
      </c>
      <c r="AK15" s="285">
        <f t="shared" si="3"/>
        <v>8.9873408828770245</v>
      </c>
      <c r="AL15" s="285">
        <f t="shared" si="3"/>
        <v>0.18889108344050654</v>
      </c>
      <c r="AN15" s="10"/>
      <c r="AO15" s="10">
        <f>AI15/P15</f>
        <v>2.9060166683154851E-2</v>
      </c>
      <c r="AP15" s="10"/>
      <c r="AQ15" s="10">
        <f t="shared" si="4"/>
        <v>4.8580220988524457E-2</v>
      </c>
      <c r="AR15" s="10"/>
      <c r="AT15" s="252"/>
      <c r="AU15" s="252"/>
      <c r="AV15" s="252"/>
      <c r="AW15" s="252"/>
      <c r="AX15" s="252"/>
    </row>
    <row r="16" spans="1:50" ht="17.25" customHeight="1">
      <c r="B16" s="64" t="s">
        <v>111</v>
      </c>
      <c r="C16" s="67">
        <f ca="1">Allowance!C19</f>
        <v>92.847000000000008</v>
      </c>
      <c r="D16" s="67">
        <f ca="1">_xlfn.XLOOKUP(B16,Allowance!B19:B29,Allowance!I19:I29)</f>
        <v>64.992900000000006</v>
      </c>
      <c r="E16" s="173">
        <f>_xlfn.XLOOKUP(B16,'Modelled costs_FD'!A13:A23,'Modelled costs_FD'!S13:S23)</f>
        <v>251</v>
      </c>
      <c r="F16" s="67">
        <f>'Materiality &amp; shallow dive'!C13</f>
        <v>5114.1959999999999</v>
      </c>
      <c r="G16" s="174">
        <f t="shared" ca="1" si="0"/>
        <v>1.2708331866827162E-2</v>
      </c>
      <c r="H16" s="116" t="s">
        <v>470</v>
      </c>
      <c r="I16" s="142" cm="1">
        <f t="array" ref="I16">_xlfn.XLOOKUP($B16&amp;H$7,'Post Adj &amp; FS Allowances'!$A$5:$A$735&amp;'Post Adj &amp; FS Allowances'!$B$5:$B$735,'Post Adj &amp; FS Allowances'!$M$5:$M$735)</f>
        <v>63.337540630179689</v>
      </c>
      <c r="J16" s="174">
        <f t="shared" ca="1" si="1"/>
        <v>0.97453015068076176</v>
      </c>
      <c r="K16" s="116" t="s">
        <v>467</v>
      </c>
      <c r="L16" s="171" t="s">
        <v>468</v>
      </c>
      <c r="M16" s="420"/>
      <c r="N16" s="272"/>
      <c r="O16" s="66">
        <f>_xlfn.XLOOKUP(B16,'Modelled costs_FD'!A13:A23,'Modelled costs_FD'!E13:E23)</f>
        <v>45</v>
      </c>
      <c r="P16" s="66">
        <f>_xlfn.XLOOKUP(B16,'Modelled costs_FD'!A13:A23,'Modelled costs_FD'!H13:H23)</f>
        <v>15</v>
      </c>
      <c r="Q16" s="66">
        <f>_xlfn.XLOOKUP(B16,'Modelled costs_FD'!A13:A23,'Modelled costs_FD'!K13:K23)</f>
        <v>0</v>
      </c>
      <c r="R16" s="66">
        <f>_xlfn.XLOOKUP(B16,'Modelled costs_FD'!A13:A23,'Modelled costs_FD'!N13:N23)</f>
        <v>191</v>
      </c>
      <c r="S16" s="66">
        <f>_xlfn.XLOOKUP(B16,'Modelled costs_FD'!A13:A23,'Modelled costs_FD'!Q13:Q23)</f>
        <v>0</v>
      </c>
      <c r="T16" s="155"/>
      <c r="U16" s="277">
        <f>_xlfn.XLOOKUP($B16,'Modelled costs_FD'!$A$7:$A$17,'Modelled costs_FD'!$F$7:$F$17)</f>
        <v>0.67700000000000005</v>
      </c>
      <c r="V16" s="277">
        <f>_xlfn.XLOOKUP($B16,'Modelled costs_FD'!$A$7:$A$17,'Modelled costs_FD'!$I$7:$I$17)</f>
        <v>0.67800000000000005</v>
      </c>
      <c r="W16" s="277">
        <f>_xlfn.XLOOKUP($B16,'Modelled costs_FD'!$A$7:$A$17,'Modelled costs_FD'!$L$7:$L$17)</f>
        <v>0</v>
      </c>
      <c r="X16" s="277">
        <f>_xlfn.XLOOKUP($B16,'Modelled costs_FD'!$A$7:$A$17,'Modelled costs_FD'!$O$7:$O$17)</f>
        <v>91.492000000000004</v>
      </c>
      <c r="Y16" s="286">
        <f>_xlfn.XLOOKUP($B16,'Modelled costs_FD'!$A$7:$A$17,'Modelled costs_FD'!$R$7:$R$17)</f>
        <v>0</v>
      </c>
      <c r="Z16" s="285">
        <f t="shared" si="5"/>
        <v>92.847000000000008</v>
      </c>
      <c r="AA16" s="252"/>
      <c r="AB16" s="289">
        <f t="shared" si="6"/>
        <v>7.2915656940988937E-3</v>
      </c>
      <c r="AC16" s="289">
        <f t="shared" si="2"/>
        <v>7.3023361013279907E-3</v>
      </c>
      <c r="AD16" s="289">
        <f t="shared" si="2"/>
        <v>0</v>
      </c>
      <c r="AE16" s="289">
        <f t="shared" si="2"/>
        <v>0.98540609820457303</v>
      </c>
      <c r="AF16" s="289">
        <f t="shared" si="2"/>
        <v>0</v>
      </c>
      <c r="AG16" s="252"/>
      <c r="AH16" s="285">
        <f t="shared" si="7"/>
        <v>0.46182983840761305</v>
      </c>
      <c r="AI16" s="285">
        <f t="shared" si="3"/>
        <v>0.46251200951308957</v>
      </c>
      <c r="AJ16" s="285">
        <f t="shared" si="3"/>
        <v>0</v>
      </c>
      <c r="AK16" s="285">
        <f t="shared" si="3"/>
        <v>62.413198782258981</v>
      </c>
      <c r="AL16" s="285">
        <f t="shared" si="3"/>
        <v>0</v>
      </c>
      <c r="AN16" s="10">
        <f>AH16/O16</f>
        <v>1.0262885297946956E-2</v>
      </c>
      <c r="AO16" s="10">
        <f>AI16/P16</f>
        <v>3.0834133967539305E-2</v>
      </c>
      <c r="AP16" s="10"/>
      <c r="AQ16" s="10">
        <f t="shared" si="4"/>
        <v>0.32677067425266482</v>
      </c>
      <c r="AR16" s="10"/>
      <c r="AT16" s="252"/>
      <c r="AU16" s="252"/>
      <c r="AV16" s="252"/>
      <c r="AW16" s="252"/>
      <c r="AX16" s="252"/>
    </row>
    <row r="17" spans="2:50" ht="17.25" customHeight="1">
      <c r="B17" s="64" t="s">
        <v>112</v>
      </c>
      <c r="C17" s="67">
        <f ca="1">Allowance!C20</f>
        <v>11.788000000000002</v>
      </c>
      <c r="D17" s="67">
        <f ca="1">_xlfn.XLOOKUP(B17,Allowance!B20:B30,Allowance!I20:I30)</f>
        <v>9.4304000000000023</v>
      </c>
      <c r="E17" s="173">
        <f>_xlfn.XLOOKUP(B17,'Modelled costs_FD'!A14:A24,'Modelled costs_FD'!S14:S24)</f>
        <v>48</v>
      </c>
      <c r="F17" s="67">
        <f>'Materiality &amp; shallow dive'!C14</f>
        <v>12775.474</v>
      </c>
      <c r="G17" s="174">
        <f t="shared" ca="1" si="0"/>
        <v>7.3816439217832565E-4</v>
      </c>
      <c r="H17" s="116" t="s">
        <v>466</v>
      </c>
      <c r="I17" s="142" cm="1">
        <f t="array" ref="I17">_xlfn.XLOOKUP($B17&amp;H$7,'Post Adj &amp; FS Allowances'!$A$5:$A$735&amp;'Post Adj &amp; FS Allowances'!$B$5:$B$735,'Post Adj &amp; FS Allowances'!$M$5:$M$735)</f>
        <v>9.288916308197523</v>
      </c>
      <c r="J17" s="174">
        <f t="shared" ca="1" si="1"/>
        <v>0.9849970635601375</v>
      </c>
      <c r="K17" s="116" t="s">
        <v>467</v>
      </c>
      <c r="L17" s="171" t="s">
        <v>468</v>
      </c>
      <c r="M17" s="420"/>
      <c r="N17" s="155"/>
      <c r="O17" s="66">
        <f>_xlfn.XLOOKUP(B17,'Modelled costs_FD'!A14:A24,'Modelled costs_FD'!E14:E24)</f>
        <v>26</v>
      </c>
      <c r="P17" s="66">
        <f>_xlfn.XLOOKUP(B17,'Modelled costs_FD'!A14:A24,'Modelled costs_FD'!H14:H24)</f>
        <v>0</v>
      </c>
      <c r="Q17" s="66">
        <f>_xlfn.XLOOKUP(B17,'Modelled costs_FD'!A14:A24,'Modelled costs_FD'!K14:K24)</f>
        <v>0</v>
      </c>
      <c r="R17" s="66">
        <f>_xlfn.XLOOKUP(B17,'Modelled costs_FD'!A14:A24,'Modelled costs_FD'!N14:N24)</f>
        <v>22</v>
      </c>
      <c r="S17" s="66">
        <f>_xlfn.XLOOKUP(B17,'Modelled costs_FD'!A14:A24,'Modelled costs_FD'!Q14:Q24)</f>
        <v>0</v>
      </c>
      <c r="T17" s="155"/>
      <c r="U17" s="277">
        <f>_xlfn.XLOOKUP($B17,'Modelled costs_FD'!$A$7:$A$17,'Modelled costs_FD'!$F$7:$F$17)</f>
        <v>4.7160000000000002</v>
      </c>
      <c r="V17" s="277">
        <f>_xlfn.XLOOKUP($B17,'Modelled costs_FD'!$A$7:$A$17,'Modelled costs_FD'!$I$7:$I$17)</f>
        <v>0</v>
      </c>
      <c r="W17" s="277">
        <f>_xlfn.XLOOKUP($B17,'Modelled costs_FD'!$A$7:$A$17,'Modelled costs_FD'!$L$7:$L$17)</f>
        <v>0</v>
      </c>
      <c r="X17" s="277">
        <f>_xlfn.XLOOKUP($B17,'Modelled costs_FD'!$A$7:$A$17,'Modelled costs_FD'!$O$7:$O$17)</f>
        <v>7.0720000000000001</v>
      </c>
      <c r="Y17" s="286">
        <f>_xlfn.XLOOKUP($B17,'Modelled costs_FD'!$A$7:$A$17,'Modelled costs_FD'!$R$7:$R$17)</f>
        <v>0</v>
      </c>
      <c r="Z17" s="285">
        <f t="shared" si="5"/>
        <v>11.788</v>
      </c>
      <c r="AA17" s="252"/>
      <c r="AB17" s="289">
        <f t="shared" si="6"/>
        <v>0.40006786562606039</v>
      </c>
      <c r="AC17" s="289">
        <f t="shared" si="2"/>
        <v>0</v>
      </c>
      <c r="AD17" s="289">
        <f t="shared" si="2"/>
        <v>0</v>
      </c>
      <c r="AE17" s="289">
        <f t="shared" si="2"/>
        <v>0.59993213437393955</v>
      </c>
      <c r="AF17" s="289">
        <f t="shared" si="2"/>
        <v>0</v>
      </c>
      <c r="AG17" s="252"/>
      <c r="AH17" s="285">
        <f t="shared" si="7"/>
        <v>3.7161969213996877</v>
      </c>
      <c r="AI17" s="285">
        <f t="shared" si="3"/>
        <v>0</v>
      </c>
      <c r="AJ17" s="285">
        <f t="shared" si="3"/>
        <v>0</v>
      </c>
      <c r="AK17" s="285">
        <f t="shared" si="3"/>
        <v>5.5727193867978349</v>
      </c>
      <c r="AL17" s="285">
        <f t="shared" si="3"/>
        <v>0</v>
      </c>
      <c r="AN17" s="10">
        <f>AH17/O17</f>
        <v>0.14293065082306491</v>
      </c>
      <c r="AO17" s="10"/>
      <c r="AP17" s="10"/>
      <c r="AQ17" s="10">
        <f t="shared" si="4"/>
        <v>0.25330542667262884</v>
      </c>
      <c r="AR17" s="10"/>
      <c r="AT17" s="252"/>
      <c r="AU17" s="252"/>
      <c r="AV17" s="252"/>
      <c r="AW17" s="252"/>
      <c r="AX17" s="252"/>
    </row>
    <row r="18" spans="2:50" ht="17.25" customHeight="1">
      <c r="B18" s="64" t="s">
        <v>113</v>
      </c>
      <c r="C18" s="67">
        <f ca="1">Allowance!C21</f>
        <v>69.930999999999997</v>
      </c>
      <c r="D18" s="67">
        <f ca="1">_xlfn.XLOOKUP(B18,Allowance!B21:B31,Allowance!I21:I31)</f>
        <v>55.944800000000001</v>
      </c>
      <c r="E18" s="173">
        <f>_xlfn.XLOOKUP(B18,'Modelled costs_FD'!A15:A25,'Modelled costs_FD'!S15:S25)</f>
        <v>474</v>
      </c>
      <c r="F18" s="67">
        <f>'Materiality &amp; shallow dive'!C15</f>
        <v>8993.18</v>
      </c>
      <c r="G18" s="174">
        <f t="shared" ca="1" si="0"/>
        <v>6.2208028750675506E-3</v>
      </c>
      <c r="H18" s="336" t="s">
        <v>466</v>
      </c>
      <c r="I18" s="142" cm="1">
        <f t="array" ref="I18">_xlfn.XLOOKUP($B18&amp;H$7,'Post Adj &amp; FS Allowances'!$A$5:$A$735&amp;'Post Adj &amp; FS Allowances'!$B$5:$B$735,'Post Adj &amp; FS Allowances'!$M$5:$M$735)</f>
        <v>54.350995221223123</v>
      </c>
      <c r="J18" s="174">
        <f t="shared" ca="1" si="1"/>
        <v>0.97151111848148752</v>
      </c>
      <c r="K18" s="116" t="s">
        <v>467</v>
      </c>
      <c r="L18" s="171" t="s">
        <v>468</v>
      </c>
      <c r="M18" s="420"/>
      <c r="N18" s="20"/>
      <c r="O18" s="66">
        <f>_xlfn.XLOOKUP(B18,'Modelled costs_FD'!A15:A25,'Modelled costs_FD'!E15:E25)</f>
        <v>0</v>
      </c>
      <c r="P18" s="66">
        <f>_xlfn.XLOOKUP(B18,'Modelled costs_FD'!A15:A25,'Modelled costs_FD'!H15:H25)</f>
        <v>294</v>
      </c>
      <c r="Q18" s="66">
        <f>_xlfn.XLOOKUP(B18,'Modelled costs_FD'!A15:A25,'Modelled costs_FD'!K15:K25)</f>
        <v>0</v>
      </c>
      <c r="R18" s="66">
        <f>_xlfn.XLOOKUP(B18,'Modelled costs_FD'!A15:A25,'Modelled costs_FD'!N15:N25)</f>
        <v>180</v>
      </c>
      <c r="S18" s="66">
        <f>_xlfn.XLOOKUP(B18,'Modelled costs_FD'!A15:A25,'Modelled costs_FD'!Q15:Q25)</f>
        <v>0</v>
      </c>
      <c r="T18" s="155"/>
      <c r="U18" s="277">
        <f>_xlfn.XLOOKUP($B18,'Modelled costs_FD'!$A$7:$A$17,'Modelled costs_FD'!$F$7:$F$17)</f>
        <v>0</v>
      </c>
      <c r="V18" s="277">
        <f>_xlfn.XLOOKUP($B18,'Modelled costs_FD'!$A$7:$A$17,'Modelled costs_FD'!$I$7:$I$17)</f>
        <v>22.417999999999999</v>
      </c>
      <c r="W18" s="277">
        <f>_xlfn.XLOOKUP($B18,'Modelled costs_FD'!$A$7:$A$17,'Modelled costs_FD'!$L$7:$L$17)</f>
        <v>0</v>
      </c>
      <c r="X18" s="277">
        <f>_xlfn.XLOOKUP($B18,'Modelled costs_FD'!$A$7:$A$17,'Modelled costs_FD'!$O$7:$O$17)</f>
        <v>47.512999999999998</v>
      </c>
      <c r="Y18" s="286">
        <f>_xlfn.XLOOKUP($B18,'Modelled costs_FD'!$A$7:$A$17,'Modelled costs_FD'!$R$7:$R$17)</f>
        <v>0</v>
      </c>
      <c r="Z18" s="285">
        <f t="shared" si="5"/>
        <v>69.930999999999997</v>
      </c>
      <c r="AA18" s="252"/>
      <c r="AB18" s="289">
        <f t="shared" si="6"/>
        <v>0</v>
      </c>
      <c r="AC18" s="289">
        <f t="shared" si="2"/>
        <v>0.32057313637728618</v>
      </c>
      <c r="AD18" s="289">
        <f t="shared" si="2"/>
        <v>0</v>
      </c>
      <c r="AE18" s="289">
        <f t="shared" si="2"/>
        <v>0.67942686362271376</v>
      </c>
      <c r="AF18" s="289">
        <f t="shared" si="2"/>
        <v>0</v>
      </c>
      <c r="AG18" s="252"/>
      <c r="AH18" s="285">
        <f t="shared" si="7"/>
        <v>0</v>
      </c>
      <c r="AI18" s="285">
        <f t="shared" si="3"/>
        <v>17.42346900329439</v>
      </c>
      <c r="AJ18" s="285">
        <f t="shared" si="3"/>
        <v>0</v>
      </c>
      <c r="AK18" s="285">
        <f t="shared" si="3"/>
        <v>36.92752621792873</v>
      </c>
      <c r="AL18" s="285">
        <f t="shared" si="3"/>
        <v>0</v>
      </c>
      <c r="AN18" s="10"/>
      <c r="AO18" s="10">
        <f>AI18/P18</f>
        <v>5.9263500011205408E-2</v>
      </c>
      <c r="AP18" s="10"/>
      <c r="AQ18" s="10">
        <f t="shared" si="4"/>
        <v>0.2051529234329374</v>
      </c>
      <c r="AR18" s="10"/>
      <c r="AT18" s="252"/>
      <c r="AU18" s="252"/>
      <c r="AV18" s="252"/>
      <c r="AW18" s="252"/>
      <c r="AX18" s="252"/>
    </row>
    <row r="19" spans="2:50" ht="17.25" customHeight="1">
      <c r="B19" s="64" t="s">
        <v>114</v>
      </c>
      <c r="C19" s="67">
        <f ca="1">Allowance!C22</f>
        <v>19.975000000000001</v>
      </c>
      <c r="D19" s="67">
        <f ca="1">_xlfn.XLOOKUP(B19,Allowance!B22:B32,Allowance!I22:I32)</f>
        <v>19.975000000000001</v>
      </c>
      <c r="E19" s="173">
        <f>_xlfn.XLOOKUP(B19,'Modelled costs_FD'!A16:A26,'Modelled costs_FD'!S16:S26)</f>
        <v>326</v>
      </c>
      <c r="F19" s="67">
        <f>'Materiality &amp; shallow dive'!C16</f>
        <v>3717.8809999999999</v>
      </c>
      <c r="G19" s="175">
        <f t="shared" ca="1" si="0"/>
        <v>5.3726840638525014E-3</v>
      </c>
      <c r="H19" s="336" t="s">
        <v>466</v>
      </c>
      <c r="I19" s="67" cm="1">
        <f t="array" ref="I19">_xlfn.XLOOKUP($B19&amp;H$7,'Post Adj &amp; FS Allowances'!$A$5:$A$735&amp;'Post Adj &amp; FS Allowances'!$B$5:$B$735,'Post Adj &amp; FS Allowances'!$M$5:$M$735)</f>
        <v>19.525004239333867</v>
      </c>
      <c r="J19" s="174">
        <f t="shared" ca="1" si="1"/>
        <v>0.97747205203173293</v>
      </c>
      <c r="K19" s="116" t="s">
        <v>467</v>
      </c>
      <c r="L19" s="171" t="s">
        <v>468</v>
      </c>
      <c r="M19" s="420"/>
      <c r="N19" s="20"/>
      <c r="O19" s="66">
        <f>_xlfn.XLOOKUP(B19,'Modelled costs_FD'!A16:A26,'Modelled costs_FD'!E16:E26)</f>
        <v>65</v>
      </c>
      <c r="P19" s="66">
        <f>_xlfn.XLOOKUP(B19,'Modelled costs_FD'!A16:A26,'Modelled costs_FD'!H16:H26)</f>
        <v>44</v>
      </c>
      <c r="Q19" s="66">
        <f>_xlfn.XLOOKUP(B19,'Modelled costs_FD'!A16:A26,'Modelled costs_FD'!K16:K26)</f>
        <v>28</v>
      </c>
      <c r="R19" s="66">
        <f>_xlfn.XLOOKUP(B19,'Modelled costs_FD'!A16:A26,'Modelled costs_FD'!N16:N26)</f>
        <v>160</v>
      </c>
      <c r="S19" s="66">
        <f>_xlfn.XLOOKUP(B19,'Modelled costs_FD'!A16:A26,'Modelled costs_FD'!Q16:Q26)</f>
        <v>29</v>
      </c>
      <c r="T19" s="155"/>
      <c r="U19" s="277">
        <f>_xlfn.XLOOKUP($B19,'Modelled costs_FD'!$A$7:$A$17,'Modelled costs_FD'!$F$7:$F$17)</f>
        <v>1.3759999999999999</v>
      </c>
      <c r="V19" s="277">
        <f>_xlfn.XLOOKUP($B19,'Modelled costs_FD'!$A$7:$A$17,'Modelled costs_FD'!$I$7:$I$17)</f>
        <v>1.4139999999999999</v>
      </c>
      <c r="W19" s="277">
        <f>_xlfn.XLOOKUP($B19,'Modelled costs_FD'!$A$7:$A$17,'Modelled costs_FD'!$L$7:$L$17)</f>
        <v>1.8260000000000001</v>
      </c>
      <c r="X19" s="277">
        <f>_xlfn.XLOOKUP($B19,'Modelled costs_FD'!$A$7:$A$17,'Modelled costs_FD'!$O$7:$O$17)</f>
        <v>15.326000000000001</v>
      </c>
      <c r="Y19" s="286">
        <f>_xlfn.XLOOKUP($B19,'Modelled costs_FD'!$A$7:$A$17,'Modelled costs_FD'!$R$7:$R$17)</f>
        <v>3.1E-2</v>
      </c>
      <c r="Z19" s="285">
        <f t="shared" si="5"/>
        <v>19.972999999999999</v>
      </c>
      <c r="AA19" s="252"/>
      <c r="AB19" s="289">
        <f t="shared" si="6"/>
        <v>6.8893005557502621E-2</v>
      </c>
      <c r="AC19" s="289">
        <f t="shared" si="2"/>
        <v>7.0795574024933666E-2</v>
      </c>
      <c r="AD19" s="289">
        <f t="shared" si="2"/>
        <v>9.1423421619185916E-2</v>
      </c>
      <c r="AE19" s="289">
        <f t="shared" si="2"/>
        <v>0.76733590346968417</v>
      </c>
      <c r="AF19" s="289">
        <f t="shared" si="2"/>
        <v>1.5520953286937366E-3</v>
      </c>
      <c r="AG19" s="252"/>
      <c r="AH19" s="285">
        <f t="shared" si="7"/>
        <v>1.3451362255706905</v>
      </c>
      <c r="AI19" s="285">
        <f t="shared" si="3"/>
        <v>1.3822838829629045</v>
      </c>
      <c r="AJ19" s="285">
        <f t="shared" si="3"/>
        <v>1.7850426946890126</v>
      </c>
      <c r="AK19" s="285">
        <f t="shared" si="3"/>
        <v>14.982236768238666</v>
      </c>
      <c r="AL19" s="285">
        <f t="shared" si="3"/>
        <v>3.03046678725955E-2</v>
      </c>
      <c r="AN19" s="10">
        <f>AH19/O19</f>
        <v>2.0694403470318316E-2</v>
      </c>
      <c r="AO19" s="10">
        <f>AI19/P19</f>
        <v>3.1415542794611465E-2</v>
      </c>
      <c r="AP19" s="10">
        <f>AJ19/Q19</f>
        <v>6.3751524810321883E-2</v>
      </c>
      <c r="AQ19" s="10">
        <f t="shared" si="4"/>
        <v>9.3638979801491662E-2</v>
      </c>
      <c r="AR19" s="10">
        <f>$I19*(Y19/SUM($U19:$Y19)/S19)</f>
        <v>1.0449885473308794E-3</v>
      </c>
      <c r="AT19" s="252"/>
      <c r="AU19" s="252"/>
      <c r="AV19" s="252"/>
      <c r="AW19" s="252"/>
      <c r="AX19" s="252"/>
    </row>
    <row r="20" spans="2:50" ht="17.25" customHeight="1">
      <c r="B20" s="65" t="s">
        <v>115</v>
      </c>
      <c r="C20" s="172">
        <f ca="1">Allowance!C23</f>
        <v>38.256211</v>
      </c>
      <c r="D20" s="172">
        <f ca="1">_xlfn.XLOOKUP(B20,Allowance!B23:B33,Allowance!I23:I33)</f>
        <v>38.256211</v>
      </c>
      <c r="E20" s="280">
        <f>_xlfn.XLOOKUP(B20,'Modelled costs_FD'!A17:A27,'Modelled costs_FD'!S17:S27)</f>
        <v>860</v>
      </c>
      <c r="F20" s="172">
        <f>'Materiality &amp; shallow dive'!C17</f>
        <v>4605.5680000000002</v>
      </c>
      <c r="G20" s="176">
        <f t="shared" ca="1" si="0"/>
        <v>8.3065131162974905E-3</v>
      </c>
      <c r="H20" s="68" t="s">
        <v>466</v>
      </c>
      <c r="I20" s="172" cm="1">
        <f t="array" ref="I20">_xlfn.XLOOKUP($B20&amp;H$7,'Post Adj &amp; FS Allowances'!$A$5:$A$735&amp;'Post Adj &amp; FS Allowances'!$B$5:$B$735,'Post Adj &amp; FS Allowances'!$M$5:$M$735)</f>
        <v>37.458919702367361</v>
      </c>
      <c r="J20" s="281">
        <f t="shared" ca="1" si="1"/>
        <v>0.97915916718379037</v>
      </c>
      <c r="K20" s="282" t="s">
        <v>467</v>
      </c>
      <c r="L20" s="283" t="s">
        <v>468</v>
      </c>
      <c r="M20" s="421"/>
      <c r="N20" s="20"/>
      <c r="O20" s="173">
        <f>ROUND(_xlfn.XLOOKUP(B20,'Modelled costs_FD'!A17:A27,'Modelled costs_FD'!E17:E27)/2,-1)</f>
        <v>200</v>
      </c>
      <c r="P20" s="66">
        <f>_xlfn.XLOOKUP(B20,'Modelled costs_FD'!A17:A27,'Modelled costs_FD'!H17:H27)</f>
        <v>0</v>
      </c>
      <c r="Q20" s="66">
        <f>ROUND(_xlfn.XLOOKUP(B20,'Modelled costs_FD'!A17:A27,'Modelled costs_FD'!K17:K27)/2,-1)</f>
        <v>90</v>
      </c>
      <c r="R20" s="66">
        <f>ROUND(_xlfn.XLOOKUP(B20,'Modelled costs_FD'!A17:A27,'Modelled costs_FD'!N17:N27)/2,-1)</f>
        <v>140</v>
      </c>
      <c r="S20" s="66">
        <f>_xlfn.XLOOKUP(B20,'Modelled costs_FD'!A17:A27,'Modelled costs_FD'!Q17:Q27)</f>
        <v>0</v>
      </c>
      <c r="T20" s="155"/>
      <c r="U20" s="277">
        <f>_xlfn.XLOOKUP($B20,'Modelled costs_FD'!$A$7:$A$17,'Modelled costs_FD'!$F$7:$F$17)</f>
        <v>3.78</v>
      </c>
      <c r="V20" s="277">
        <f>_xlfn.XLOOKUP($B20,'Modelled costs_FD'!$A$7:$A$17,'Modelled costs_FD'!$I$7:$I$17)</f>
        <v>0</v>
      </c>
      <c r="W20" s="277">
        <f>_xlfn.XLOOKUP($B20,'Modelled costs_FD'!$A$7:$A$17,'Modelled costs_FD'!$L$7:$L$17)</f>
        <v>1.71</v>
      </c>
      <c r="X20" s="277">
        <f>_xlfn.XLOOKUP($B20,'Modelled costs_FD'!$A$7:$A$17,'Modelled costs_FD'!$O$7:$O$17)</f>
        <v>32.76</v>
      </c>
      <c r="Y20" s="286">
        <f>_xlfn.XLOOKUP($B20,'Modelled costs_FD'!$A$7:$A$17,'Modelled costs_FD'!$R$7:$R$17)</f>
        <v>0</v>
      </c>
      <c r="Z20" s="285">
        <f t="shared" si="5"/>
        <v>38.25</v>
      </c>
      <c r="AA20" s="252"/>
      <c r="AB20" s="289">
        <f t="shared" si="6"/>
        <v>9.8823529411764699E-2</v>
      </c>
      <c r="AC20" s="289">
        <f t="shared" si="2"/>
        <v>0</v>
      </c>
      <c r="AD20" s="289">
        <f t="shared" si="2"/>
        <v>4.4705882352941179E-2</v>
      </c>
      <c r="AE20" s="289">
        <f t="shared" si="2"/>
        <v>0.85647058823529409</v>
      </c>
      <c r="AF20" s="289">
        <f t="shared" si="2"/>
        <v>0</v>
      </c>
      <c r="AG20" s="252"/>
      <c r="AH20" s="285">
        <f t="shared" si="7"/>
        <v>3.7018226529398328</v>
      </c>
      <c r="AI20" s="285">
        <f t="shared" si="3"/>
        <v>0</v>
      </c>
      <c r="AJ20" s="285">
        <f t="shared" si="3"/>
        <v>1.6746340572823055</v>
      </c>
      <c r="AK20" s="285">
        <f t="shared" si="3"/>
        <v>32.082462992145224</v>
      </c>
      <c r="AL20" s="285">
        <f t="shared" si="3"/>
        <v>0</v>
      </c>
      <c r="AN20" s="10">
        <f>AH20/O20</f>
        <v>1.8509113264699163E-2</v>
      </c>
      <c r="AO20" s="10"/>
      <c r="AP20" s="10">
        <f>AJ20/Q20</f>
        <v>1.8607045080914507E-2</v>
      </c>
      <c r="AQ20" s="10">
        <f t="shared" si="4"/>
        <v>0.22916044994389445</v>
      </c>
      <c r="AR20" s="10"/>
      <c r="AT20" s="252"/>
      <c r="AU20" s="252"/>
      <c r="AV20" s="252"/>
      <c r="AW20" s="252"/>
      <c r="AX20" s="252"/>
    </row>
    <row r="21" spans="2:50" ht="13.15">
      <c r="C21" s="67">
        <f ca="1">SUM(C10:C20)</f>
        <v>348.80627290640228</v>
      </c>
      <c r="D21" s="67">
        <f ca="1">SUM(D10:D20)</f>
        <v>297.74957290640225</v>
      </c>
      <c r="E21" s="67">
        <f>SUM(E10:E20)</f>
        <v>4639.5</v>
      </c>
      <c r="F21" s="3"/>
      <c r="G21" s="3"/>
      <c r="I21" s="67">
        <f>SUM(I10:I20)</f>
        <v>290.61836776758867</v>
      </c>
      <c r="O21" s="66">
        <f>SUM(O10:O20)</f>
        <v>1986</v>
      </c>
      <c r="P21" s="66">
        <f>SUM(P10:P20)</f>
        <v>532</v>
      </c>
      <c r="Q21" s="66">
        <f>SUM(Q10:Q20)</f>
        <v>119</v>
      </c>
      <c r="R21" s="66">
        <f>SUM(R10:R20)</f>
        <v>1544</v>
      </c>
      <c r="S21" s="66">
        <f>SUM(S10:S20)</f>
        <v>29</v>
      </c>
      <c r="T21" s="155"/>
      <c r="U21" s="277">
        <f>SUM(U10:U20)</f>
        <v>50.396999999999998</v>
      </c>
      <c r="V21" s="277">
        <f>SUM(V10:V20)</f>
        <v>38.343000000000004</v>
      </c>
      <c r="W21" s="277">
        <f>SUM(W10:W20)</f>
        <v>3.8810000000000002</v>
      </c>
      <c r="X21" s="277">
        <f>SUM(X10:X20)</f>
        <v>285.26</v>
      </c>
      <c r="Y21" s="286">
        <f>SUM(U10:Y20)</f>
        <v>378.10699999999997</v>
      </c>
      <c r="Z21" s="285">
        <f>SUM(Z10:Z20)</f>
        <v>378.10700000000003</v>
      </c>
      <c r="AA21" s="252"/>
      <c r="AB21" s="252"/>
      <c r="AC21" s="252"/>
      <c r="AD21" s="252"/>
      <c r="AE21" s="252"/>
      <c r="AF21" s="252"/>
      <c r="AG21" s="252"/>
      <c r="AL21" s="285">
        <f>SUM(AH10:AL20)</f>
        <v>290.61836776758872</v>
      </c>
    </row>
  </sheetData>
  <mergeCells count="7">
    <mergeCell ref="AN8:AR8"/>
    <mergeCell ref="D8:L8"/>
    <mergeCell ref="M10:M20"/>
    <mergeCell ref="O8:S8"/>
    <mergeCell ref="U8:Y8"/>
    <mergeCell ref="AB8:AF8"/>
    <mergeCell ref="AH8:AL8"/>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5E266-3914-4BFD-AF7A-DE5D9193EC36}">
  <sheetPr>
    <tabColor rgb="FFCCCCCE"/>
  </sheetPr>
  <dimension ref="A1:I32"/>
  <sheetViews>
    <sheetView showGridLines="0" zoomScale="80" zoomScaleNormal="80" workbookViewId="0"/>
  </sheetViews>
  <sheetFormatPr defaultRowHeight="12.75"/>
  <cols>
    <col min="6" max="6" width="19.7109375" customWidth="1"/>
  </cols>
  <sheetData>
    <row r="1" spans="1:9" ht="30.75">
      <c r="A1" s="1" t="e">
        <f ca="1" xml:space="preserve"> RIGHT(CELL("filename", $A$1), LEN(CELL("filename", $A$1)) - SEARCH("]", CELL("filename", $A$1)))</f>
        <v>#VALUE!</v>
      </c>
      <c r="B1" s="1"/>
      <c r="C1" s="1"/>
      <c r="D1" s="1"/>
      <c r="E1" s="1"/>
      <c r="F1" s="1"/>
      <c r="G1" s="1"/>
      <c r="H1" s="1"/>
      <c r="I1" s="1"/>
    </row>
    <row r="3" spans="1:9" ht="13.15">
      <c r="B3" s="24" t="s">
        <v>471</v>
      </c>
      <c r="F3" s="24" t="s">
        <v>472</v>
      </c>
    </row>
    <row r="5" spans="1:9" ht="13.15">
      <c r="B5" s="17">
        <v>1</v>
      </c>
      <c r="C5" s="13" t="s">
        <v>82</v>
      </c>
      <c r="D5" s="2" t="s">
        <v>473</v>
      </c>
      <c r="F5" s="22" t="s">
        <v>286</v>
      </c>
    </row>
    <row r="6" spans="1:9" ht="13.15">
      <c r="B6" s="18">
        <v>2</v>
      </c>
      <c r="C6" s="13" t="s">
        <v>107</v>
      </c>
      <c r="D6" s="2" t="s">
        <v>473</v>
      </c>
      <c r="F6" s="21" t="s">
        <v>283</v>
      </c>
    </row>
    <row r="7" spans="1:9" ht="13.15">
      <c r="B7" s="18">
        <v>3</v>
      </c>
      <c r="C7" s="13" t="s">
        <v>108</v>
      </c>
      <c r="D7" s="2" t="s">
        <v>473</v>
      </c>
      <c r="F7" s="22" t="s">
        <v>474</v>
      </c>
    </row>
    <row r="8" spans="1:9" ht="13.15">
      <c r="B8" s="18">
        <v>4</v>
      </c>
      <c r="C8" s="13" t="s">
        <v>113</v>
      </c>
      <c r="D8" s="2" t="s">
        <v>473</v>
      </c>
      <c r="F8" s="25" t="s">
        <v>475</v>
      </c>
    </row>
    <row r="9" spans="1:9" ht="13.15">
      <c r="B9" s="18">
        <v>5</v>
      </c>
      <c r="C9" s="13" t="s">
        <v>111</v>
      </c>
      <c r="D9" s="2" t="s">
        <v>473</v>
      </c>
      <c r="F9" s="23"/>
    </row>
    <row r="10" spans="1:9" ht="13.15">
      <c r="B10" s="18">
        <v>6</v>
      </c>
      <c r="C10" s="13" t="s">
        <v>109</v>
      </c>
      <c r="D10" s="2" t="s">
        <v>473</v>
      </c>
    </row>
    <row r="11" spans="1:9" ht="13.15">
      <c r="B11" s="18">
        <v>7</v>
      </c>
      <c r="C11" s="13" t="s">
        <v>110</v>
      </c>
      <c r="D11" s="2" t="s">
        <v>473</v>
      </c>
    </row>
    <row r="12" spans="1:9" ht="13.15">
      <c r="B12" s="18">
        <v>8</v>
      </c>
      <c r="C12" s="13" t="s">
        <v>112</v>
      </c>
      <c r="D12" s="2" t="s">
        <v>473</v>
      </c>
    </row>
    <row r="13" spans="1:9" ht="13.15">
      <c r="B13" s="18">
        <v>9</v>
      </c>
      <c r="C13" s="13" t="s">
        <v>106</v>
      </c>
      <c r="D13" s="2" t="s">
        <v>473</v>
      </c>
    </row>
    <row r="14" spans="1:9" ht="13.15">
      <c r="B14" s="18">
        <v>10</v>
      </c>
      <c r="C14" s="13" t="s">
        <v>114</v>
      </c>
      <c r="D14" s="2" t="s">
        <v>473</v>
      </c>
    </row>
    <row r="15" spans="1:9" ht="13.15">
      <c r="B15" s="18">
        <v>11</v>
      </c>
      <c r="C15" s="13" t="s">
        <v>115</v>
      </c>
      <c r="D15" s="2" t="s">
        <v>473</v>
      </c>
    </row>
    <row r="16" spans="1:9" ht="13.15">
      <c r="B16" s="18">
        <v>12</v>
      </c>
      <c r="C16" s="13" t="s">
        <v>241</v>
      </c>
      <c r="D16" s="2" t="s">
        <v>476</v>
      </c>
    </row>
    <row r="17" spans="2:4" ht="13.15">
      <c r="B17" s="18">
        <v>13</v>
      </c>
      <c r="C17" s="13" t="s">
        <v>242</v>
      </c>
      <c r="D17" s="2" t="s">
        <v>476</v>
      </c>
    </row>
    <row r="18" spans="2:4" ht="13.15">
      <c r="B18" s="18">
        <v>14</v>
      </c>
      <c r="C18" s="13" t="s">
        <v>243</v>
      </c>
      <c r="D18" s="2" t="s">
        <v>476</v>
      </c>
    </row>
    <row r="19" spans="2:4" ht="13.15">
      <c r="B19" s="18">
        <v>15</v>
      </c>
      <c r="C19" s="13" t="s">
        <v>246</v>
      </c>
      <c r="D19" s="2" t="s">
        <v>476</v>
      </c>
    </row>
    <row r="20" spans="2:4" ht="13.15">
      <c r="B20" s="18">
        <v>16</v>
      </c>
      <c r="C20" s="13" t="s">
        <v>244</v>
      </c>
      <c r="D20" s="2" t="s">
        <v>476</v>
      </c>
    </row>
    <row r="21" spans="2:4" ht="13.15">
      <c r="B21" s="18">
        <v>17</v>
      </c>
      <c r="C21" s="13" t="s">
        <v>245</v>
      </c>
      <c r="D21" s="2" t="s">
        <v>476</v>
      </c>
    </row>
    <row r="24" spans="2:4" ht="13.15">
      <c r="B24" s="24" t="s">
        <v>477</v>
      </c>
    </row>
    <row r="26" spans="2:4">
      <c r="B26" s="16" t="s">
        <v>323</v>
      </c>
    </row>
    <row r="27" spans="2:4">
      <c r="B27" s="319" t="s">
        <v>320</v>
      </c>
    </row>
    <row r="28" spans="2:4">
      <c r="B28" s="16" t="s">
        <v>478</v>
      </c>
    </row>
    <row r="29" spans="2:4">
      <c r="B29" s="16" t="s">
        <v>479</v>
      </c>
    </row>
    <row r="30" spans="2:4">
      <c r="B30" s="16" t="s">
        <v>338</v>
      </c>
    </row>
    <row r="31" spans="2:4">
      <c r="B31" s="16" t="s">
        <v>367</v>
      </c>
    </row>
    <row r="32" spans="2:4">
      <c r="B32" s="16" t="s">
        <v>328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89E67-302C-4E1F-A953-146D696425AD}">
  <sheetPr>
    <tabColor rgb="FFFFDB8E"/>
  </sheetPr>
  <dimension ref="A1"/>
  <sheetViews>
    <sheetView zoomScale="80" zoomScaleNormal="80" workbookViewId="0"/>
  </sheetViews>
  <sheetFormatPr defaultRowHeight="12.75"/>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B8E"/>
  </sheetPr>
  <dimension ref="A1:M160"/>
  <sheetViews>
    <sheetView zoomScale="80" zoomScaleNormal="80" workbookViewId="0"/>
  </sheetViews>
  <sheetFormatPr defaultRowHeight="12.75"/>
  <cols>
    <col min="2" max="2" width="21.140625" bestFit="1" customWidth="1"/>
    <col min="3" max="3" width="143.42578125" bestFit="1" customWidth="1"/>
  </cols>
  <sheetData>
    <row r="1" spans="1:13" ht="30.75">
      <c r="A1" s="1" t="e">
        <f ca="1" xml:space="preserve"> RIGHT(CELL("filename", $A$1), LEN(CELL("filename", $A$1)) - SEARCH("]", CELL("filename", $A$1)))</f>
        <v>#VALUE!</v>
      </c>
      <c r="B1" s="1"/>
      <c r="C1" s="1"/>
      <c r="D1" s="1"/>
      <c r="E1" s="1"/>
      <c r="F1" s="1"/>
      <c r="G1" s="1"/>
      <c r="H1" s="1"/>
      <c r="I1" s="1"/>
      <c r="J1" s="1"/>
      <c r="K1" s="1"/>
      <c r="L1" s="1"/>
      <c r="M1" s="1"/>
    </row>
    <row r="2" spans="1:13" s="2" customFormat="1" ht="13.15">
      <c r="C2" s="294" t="s">
        <v>65</v>
      </c>
      <c r="E2" s="294" t="s">
        <v>66</v>
      </c>
    </row>
    <row r="3" spans="1:13" s="2" customFormat="1" ht="14.25">
      <c r="A3" s="230" t="s">
        <v>67</v>
      </c>
      <c r="B3" s="230" t="s">
        <v>68</v>
      </c>
      <c r="C3" s="295" t="s">
        <v>69</v>
      </c>
      <c r="D3" s="295" t="s">
        <v>70</v>
      </c>
      <c r="E3" s="295" t="s">
        <v>71</v>
      </c>
      <c r="F3" s="295" t="s">
        <v>72</v>
      </c>
      <c r="G3" s="295" t="s">
        <v>73</v>
      </c>
      <c r="H3" s="295" t="s">
        <v>74</v>
      </c>
      <c r="I3" s="295" t="s">
        <v>75</v>
      </c>
      <c r="J3" s="295" t="s">
        <v>76</v>
      </c>
      <c r="K3" s="295" t="s">
        <v>77</v>
      </c>
      <c r="L3" s="295" t="s">
        <v>78</v>
      </c>
    </row>
    <row r="4" spans="1:13" s="2" customFormat="1" ht="13.15">
      <c r="A4"/>
      <c r="B4"/>
      <c r="F4" s="295" t="s">
        <v>79</v>
      </c>
      <c r="G4" s="295" t="s">
        <v>79</v>
      </c>
      <c r="H4" s="295" t="s">
        <v>79</v>
      </c>
      <c r="I4" s="295" t="s">
        <v>79</v>
      </c>
      <c r="J4" s="295" t="s">
        <v>79</v>
      </c>
      <c r="K4" s="295" t="s">
        <v>79</v>
      </c>
      <c r="L4" s="295" t="s">
        <v>79</v>
      </c>
    </row>
    <row r="5" spans="1:13" s="2" customFormat="1" ht="13.15">
      <c r="A5"/>
      <c r="B5"/>
      <c r="F5" s="295" t="s">
        <v>80</v>
      </c>
      <c r="G5" s="295" t="s">
        <v>80</v>
      </c>
      <c r="H5" s="295" t="s">
        <v>80</v>
      </c>
      <c r="I5" s="295" t="s">
        <v>80</v>
      </c>
      <c r="J5" s="295" t="s">
        <v>80</v>
      </c>
      <c r="K5" s="295" t="s">
        <v>80</v>
      </c>
      <c r="L5" s="295" t="s">
        <v>80</v>
      </c>
    </row>
    <row r="6" spans="1:13" s="2" customFormat="1" ht="13.15">
      <c r="A6"/>
      <c r="B6"/>
      <c r="F6" s="295" t="s">
        <v>81</v>
      </c>
      <c r="G6" s="295" t="s">
        <v>81</v>
      </c>
      <c r="H6" s="295" t="s">
        <v>81</v>
      </c>
      <c r="I6" s="295" t="s">
        <v>81</v>
      </c>
      <c r="J6" s="295" t="s">
        <v>81</v>
      </c>
      <c r="K6" s="295" t="s">
        <v>81</v>
      </c>
      <c r="L6" s="295" t="s">
        <v>81</v>
      </c>
    </row>
    <row r="7" spans="1:13" s="2" customFormat="1" ht="13.15">
      <c r="A7" t="s">
        <v>82</v>
      </c>
      <c r="B7" t="s">
        <v>83</v>
      </c>
      <c r="C7" s="2" t="s">
        <v>84</v>
      </c>
      <c r="D7" s="2" t="s">
        <v>85</v>
      </c>
      <c r="E7" s="2" t="s">
        <v>79</v>
      </c>
      <c r="F7" s="291">
        <v>0</v>
      </c>
      <c r="G7" s="291">
        <v>4.8000000000000001E-2</v>
      </c>
      <c r="H7" s="291">
        <v>5.0359999999999996</v>
      </c>
      <c r="I7" s="291">
        <v>8.968</v>
      </c>
      <c r="J7" s="291">
        <v>11.082000000000001</v>
      </c>
      <c r="K7" s="291">
        <v>11.465999999999999</v>
      </c>
      <c r="L7" s="291">
        <v>11.129</v>
      </c>
    </row>
    <row r="8" spans="1:13" s="2" customFormat="1" ht="13.15">
      <c r="A8" t="s">
        <v>82</v>
      </c>
      <c r="B8" t="s">
        <v>86</v>
      </c>
      <c r="C8" s="2" t="s">
        <v>87</v>
      </c>
      <c r="D8" s="2" t="s">
        <v>85</v>
      </c>
      <c r="E8" s="2" t="s">
        <v>79</v>
      </c>
      <c r="F8" s="291">
        <v>0</v>
      </c>
      <c r="G8" s="291">
        <v>0</v>
      </c>
      <c r="H8" s="291">
        <v>0</v>
      </c>
      <c r="I8" s="291">
        <v>2.1000000000000001E-2</v>
      </c>
      <c r="J8" s="291">
        <v>5.4000000000000013E-2</v>
      </c>
      <c r="K8" s="291">
        <v>9.6000000000000002E-2</v>
      </c>
      <c r="L8" s="291">
        <v>0.125</v>
      </c>
    </row>
    <row r="9" spans="1:13" s="2" customFormat="1" ht="13.15">
      <c r="A9" t="s">
        <v>82</v>
      </c>
      <c r="B9" t="s">
        <v>88</v>
      </c>
      <c r="C9" s="2" t="s">
        <v>89</v>
      </c>
      <c r="D9" s="2" t="s">
        <v>85</v>
      </c>
      <c r="E9" s="2" t="s">
        <v>79</v>
      </c>
      <c r="F9" s="291">
        <v>0</v>
      </c>
      <c r="G9" s="291">
        <v>4.8000000000000001E-2</v>
      </c>
      <c r="H9" s="291">
        <v>5.0359999999999996</v>
      </c>
      <c r="I9" s="291">
        <v>8.988999999999999</v>
      </c>
      <c r="J9" s="291">
        <v>11.135999999999999</v>
      </c>
      <c r="K9" s="291">
        <v>11.561999999999999</v>
      </c>
      <c r="L9" s="291">
        <v>11.254</v>
      </c>
    </row>
    <row r="10" spans="1:13" s="2" customFormat="1" ht="13.15">
      <c r="A10" t="s">
        <v>82</v>
      </c>
      <c r="B10" t="s">
        <v>90</v>
      </c>
      <c r="C10" s="2" t="s">
        <v>84</v>
      </c>
      <c r="D10" s="2" t="s">
        <v>85</v>
      </c>
      <c r="E10" s="2" t="s">
        <v>79</v>
      </c>
      <c r="F10" s="291">
        <v>2E-3</v>
      </c>
      <c r="G10" s="291">
        <v>4.8000000000000008E-2</v>
      </c>
      <c r="H10" s="292" t="s">
        <v>91</v>
      </c>
      <c r="I10" s="292" t="s">
        <v>91</v>
      </c>
      <c r="J10" s="292" t="s">
        <v>91</v>
      </c>
      <c r="K10" s="292" t="s">
        <v>91</v>
      </c>
      <c r="L10" s="292" t="s">
        <v>91</v>
      </c>
    </row>
    <row r="11" spans="1:13" s="2" customFormat="1" ht="13.15">
      <c r="A11" t="s">
        <v>82</v>
      </c>
      <c r="B11" t="s">
        <v>92</v>
      </c>
      <c r="C11" s="2" t="s">
        <v>87</v>
      </c>
      <c r="D11" s="2" t="s">
        <v>85</v>
      </c>
      <c r="E11" s="2" t="s">
        <v>79</v>
      </c>
      <c r="F11" s="291">
        <v>0</v>
      </c>
      <c r="G11" s="291">
        <v>0</v>
      </c>
      <c r="H11" s="292" t="s">
        <v>91</v>
      </c>
      <c r="I11" s="292" t="s">
        <v>91</v>
      </c>
      <c r="J11" s="292" t="s">
        <v>91</v>
      </c>
      <c r="K11" s="292" t="s">
        <v>91</v>
      </c>
      <c r="L11" s="292" t="s">
        <v>91</v>
      </c>
    </row>
    <row r="12" spans="1:13" s="2" customFormat="1" ht="13.15">
      <c r="A12" t="s">
        <v>82</v>
      </c>
      <c r="B12" t="s">
        <v>93</v>
      </c>
      <c r="C12" s="2" t="s">
        <v>89</v>
      </c>
      <c r="D12" s="2" t="s">
        <v>85</v>
      </c>
      <c r="E12" s="2" t="s">
        <v>79</v>
      </c>
      <c r="F12" s="291">
        <v>2E-3</v>
      </c>
      <c r="G12" s="291">
        <v>4.8000000000000008E-2</v>
      </c>
      <c r="H12" s="292" t="s">
        <v>91</v>
      </c>
      <c r="I12" s="292" t="s">
        <v>91</v>
      </c>
      <c r="J12" s="292" t="s">
        <v>91</v>
      </c>
      <c r="K12" s="292" t="s">
        <v>91</v>
      </c>
      <c r="L12" s="292" t="s">
        <v>91</v>
      </c>
    </row>
    <row r="13" spans="1:13" s="2" customFormat="1" ht="13.15">
      <c r="A13" t="s">
        <v>82</v>
      </c>
      <c r="B13" t="s">
        <v>94</v>
      </c>
      <c r="C13" s="2" t="s">
        <v>84</v>
      </c>
      <c r="D13" s="2" t="s">
        <v>85</v>
      </c>
      <c r="E13" s="2" t="s">
        <v>79</v>
      </c>
      <c r="F13" s="291">
        <v>0</v>
      </c>
      <c r="G13" s="291">
        <v>0</v>
      </c>
      <c r="H13" s="291">
        <v>0</v>
      </c>
      <c r="I13" s="291">
        <v>0</v>
      </c>
      <c r="J13" s="291">
        <v>0</v>
      </c>
      <c r="K13" s="291">
        <v>0</v>
      </c>
      <c r="L13" s="291">
        <v>0</v>
      </c>
    </row>
    <row r="14" spans="1:13" s="2" customFormat="1" ht="13.15">
      <c r="A14" t="s">
        <v>82</v>
      </c>
      <c r="B14" t="s">
        <v>95</v>
      </c>
      <c r="C14" s="2" t="s">
        <v>87</v>
      </c>
      <c r="D14" s="2" t="s">
        <v>85</v>
      </c>
      <c r="E14" s="2" t="s">
        <v>79</v>
      </c>
      <c r="F14" s="291">
        <v>0</v>
      </c>
      <c r="G14" s="291">
        <v>0</v>
      </c>
      <c r="H14" s="291">
        <v>0</v>
      </c>
      <c r="I14" s="291">
        <v>0</v>
      </c>
      <c r="J14" s="291">
        <v>0</v>
      </c>
      <c r="K14" s="291">
        <v>0</v>
      </c>
      <c r="L14" s="291">
        <v>0</v>
      </c>
    </row>
    <row r="15" spans="1:13" s="2" customFormat="1" ht="13.15">
      <c r="A15" t="s">
        <v>82</v>
      </c>
      <c r="B15" t="s">
        <v>96</v>
      </c>
      <c r="C15" s="2" t="s">
        <v>89</v>
      </c>
      <c r="D15" s="2" t="s">
        <v>85</v>
      </c>
      <c r="E15" s="2" t="s">
        <v>79</v>
      </c>
      <c r="F15" s="291">
        <v>0</v>
      </c>
      <c r="G15" s="291">
        <v>0</v>
      </c>
      <c r="H15" s="291">
        <v>0</v>
      </c>
      <c r="I15" s="291">
        <v>0</v>
      </c>
      <c r="J15" s="291">
        <v>0</v>
      </c>
      <c r="K15" s="291">
        <v>0</v>
      </c>
      <c r="L15" s="291">
        <v>0</v>
      </c>
    </row>
    <row r="16" spans="1:13" s="2" customFormat="1" ht="13.15">
      <c r="A16" t="s">
        <v>82</v>
      </c>
      <c r="B16" t="s">
        <v>97</v>
      </c>
      <c r="C16" s="2" t="s">
        <v>98</v>
      </c>
      <c r="D16" s="2" t="s">
        <v>99</v>
      </c>
      <c r="E16" s="2" t="s">
        <v>79</v>
      </c>
      <c r="F16" s="293">
        <v>0</v>
      </c>
      <c r="G16" s="293">
        <v>0</v>
      </c>
      <c r="H16" s="293">
        <v>0</v>
      </c>
      <c r="I16" s="293">
        <v>276</v>
      </c>
      <c r="J16" s="293">
        <v>344</v>
      </c>
      <c r="K16" s="293">
        <v>478</v>
      </c>
      <c r="L16" s="293">
        <v>820</v>
      </c>
    </row>
    <row r="17" spans="1:12" s="2" customFormat="1" ht="13.15">
      <c r="A17" t="s">
        <v>82</v>
      </c>
      <c r="B17" t="s">
        <v>100</v>
      </c>
      <c r="C17" s="2" t="s">
        <v>101</v>
      </c>
      <c r="D17" s="2" t="s">
        <v>99</v>
      </c>
      <c r="E17" s="2" t="s">
        <v>79</v>
      </c>
      <c r="F17" s="293">
        <v>0</v>
      </c>
      <c r="G17" s="293">
        <v>0</v>
      </c>
      <c r="H17" s="293">
        <v>0</v>
      </c>
      <c r="I17" s="293">
        <v>137</v>
      </c>
      <c r="J17" s="293">
        <v>130</v>
      </c>
      <c r="K17" s="293">
        <v>232</v>
      </c>
      <c r="L17" s="293">
        <v>0</v>
      </c>
    </row>
    <row r="18" spans="1:12" s="2" customFormat="1" ht="13.15">
      <c r="A18" t="s">
        <v>82</v>
      </c>
      <c r="B18" t="s">
        <v>102</v>
      </c>
      <c r="C18" s="2" t="s">
        <v>98</v>
      </c>
      <c r="D18" s="2" t="s">
        <v>99</v>
      </c>
      <c r="E18" s="2" t="s">
        <v>79</v>
      </c>
      <c r="F18" s="292" t="s">
        <v>91</v>
      </c>
      <c r="G18" s="292" t="s">
        <v>91</v>
      </c>
      <c r="H18" s="292" t="s">
        <v>91</v>
      </c>
      <c r="I18" s="292" t="s">
        <v>91</v>
      </c>
      <c r="J18" s="292" t="s">
        <v>91</v>
      </c>
      <c r="K18" s="292" t="s">
        <v>91</v>
      </c>
      <c r="L18" s="292" t="s">
        <v>91</v>
      </c>
    </row>
    <row r="19" spans="1:12" s="2" customFormat="1" ht="13.15">
      <c r="A19" t="s">
        <v>82</v>
      </c>
      <c r="B19" t="s">
        <v>103</v>
      </c>
      <c r="C19" s="2" t="s">
        <v>101</v>
      </c>
      <c r="D19" s="2" t="s">
        <v>99</v>
      </c>
      <c r="E19" s="2" t="s">
        <v>79</v>
      </c>
      <c r="F19" s="292" t="s">
        <v>91</v>
      </c>
      <c r="G19" s="292" t="s">
        <v>91</v>
      </c>
      <c r="H19" s="292" t="s">
        <v>91</v>
      </c>
      <c r="I19" s="292" t="s">
        <v>91</v>
      </c>
      <c r="J19" s="292" t="s">
        <v>91</v>
      </c>
      <c r="K19" s="292" t="s">
        <v>91</v>
      </c>
      <c r="L19" s="292" t="s">
        <v>91</v>
      </c>
    </row>
    <row r="20" spans="1:12" s="2" customFormat="1" ht="13.15">
      <c r="A20" t="s">
        <v>82</v>
      </c>
      <c r="B20" t="s">
        <v>104</v>
      </c>
      <c r="C20" s="2" t="s">
        <v>105</v>
      </c>
      <c r="D20" s="2" t="s">
        <v>85</v>
      </c>
      <c r="E20" s="2" t="s">
        <v>79</v>
      </c>
      <c r="F20" s="291">
        <v>678.24128242532845</v>
      </c>
      <c r="G20" s="291">
        <v>838.85920750518312</v>
      </c>
      <c r="H20" s="291">
        <v>918.35791855506159</v>
      </c>
      <c r="I20" s="291">
        <v>1252.510714614566</v>
      </c>
      <c r="J20" s="291">
        <v>1373.6720073368151</v>
      </c>
      <c r="K20" s="291">
        <v>1412.752604889323</v>
      </c>
      <c r="L20" s="291">
        <v>1043.517799885112</v>
      </c>
    </row>
    <row r="21" spans="1:12" s="2" customFormat="1" ht="13.15">
      <c r="A21" t="s">
        <v>106</v>
      </c>
      <c r="B21" t="s">
        <v>83</v>
      </c>
      <c r="C21" s="2" t="s">
        <v>84</v>
      </c>
      <c r="D21" s="2" t="s">
        <v>85</v>
      </c>
      <c r="E21" s="2" t="s">
        <v>79</v>
      </c>
      <c r="F21" s="291">
        <v>0</v>
      </c>
      <c r="G21" s="291">
        <v>0</v>
      </c>
      <c r="H21" s="291">
        <v>3.8420000000000001</v>
      </c>
      <c r="I21" s="291">
        <v>5.617</v>
      </c>
      <c r="J21" s="291">
        <v>5.5249999999999986</v>
      </c>
      <c r="K21" s="291">
        <v>3.722999999999999</v>
      </c>
      <c r="L21" s="291">
        <v>0</v>
      </c>
    </row>
    <row r="22" spans="1:12" s="2" customFormat="1" ht="13.15">
      <c r="A22" t="s">
        <v>106</v>
      </c>
      <c r="B22" t="s">
        <v>86</v>
      </c>
      <c r="C22" s="2" t="s">
        <v>87</v>
      </c>
      <c r="D22" s="2" t="s">
        <v>85</v>
      </c>
      <c r="E22" s="2" t="s">
        <v>79</v>
      </c>
      <c r="F22" s="291">
        <v>0</v>
      </c>
      <c r="G22" s="291">
        <v>0</v>
      </c>
      <c r="H22" s="291">
        <v>0.14000000000000001</v>
      </c>
      <c r="I22" s="291">
        <v>0.35099999999999998</v>
      </c>
      <c r="J22" s="291">
        <v>0.56700000000000006</v>
      </c>
      <c r="K22" s="291">
        <v>0.71299999999999997</v>
      </c>
      <c r="L22" s="291">
        <v>0.71399999999999997</v>
      </c>
    </row>
    <row r="23" spans="1:12" s="2" customFormat="1" ht="13.15">
      <c r="A23" t="s">
        <v>106</v>
      </c>
      <c r="B23" t="s">
        <v>88</v>
      </c>
      <c r="C23" s="2" t="s">
        <v>89</v>
      </c>
      <c r="D23" s="2" t="s">
        <v>85</v>
      </c>
      <c r="E23" s="2" t="s">
        <v>79</v>
      </c>
      <c r="F23" s="291">
        <v>0</v>
      </c>
      <c r="G23" s="291">
        <v>0</v>
      </c>
      <c r="H23" s="291">
        <v>3.9820000000000002</v>
      </c>
      <c r="I23" s="291">
        <v>5.9680000000000009</v>
      </c>
      <c r="J23" s="291">
        <v>6.0919999999999996</v>
      </c>
      <c r="K23" s="291">
        <v>4.4359999999999999</v>
      </c>
      <c r="L23" s="291">
        <v>0.71399999999999997</v>
      </c>
    </row>
    <row r="24" spans="1:12" s="2" customFormat="1" ht="13.15">
      <c r="A24" t="s">
        <v>106</v>
      </c>
      <c r="B24" t="s">
        <v>90</v>
      </c>
      <c r="C24" s="2" t="s">
        <v>84</v>
      </c>
      <c r="D24" s="2" t="s">
        <v>85</v>
      </c>
      <c r="E24" s="2" t="s">
        <v>79</v>
      </c>
      <c r="F24" s="291">
        <v>0</v>
      </c>
      <c r="G24" s="291">
        <v>0</v>
      </c>
      <c r="H24" s="292" t="s">
        <v>91</v>
      </c>
      <c r="I24" s="292" t="s">
        <v>91</v>
      </c>
      <c r="J24" s="292" t="s">
        <v>91</v>
      </c>
      <c r="K24" s="292" t="s">
        <v>91</v>
      </c>
      <c r="L24" s="292" t="s">
        <v>91</v>
      </c>
    </row>
    <row r="25" spans="1:12" s="2" customFormat="1" ht="13.15">
      <c r="A25" t="s">
        <v>106</v>
      </c>
      <c r="B25" t="s">
        <v>92</v>
      </c>
      <c r="C25" s="2" t="s">
        <v>87</v>
      </c>
      <c r="D25" s="2" t="s">
        <v>85</v>
      </c>
      <c r="E25" s="2" t="s">
        <v>79</v>
      </c>
      <c r="F25" s="291">
        <v>0</v>
      </c>
      <c r="G25" s="291">
        <v>0</v>
      </c>
      <c r="H25" s="292" t="s">
        <v>91</v>
      </c>
      <c r="I25" s="292" t="s">
        <v>91</v>
      </c>
      <c r="J25" s="292" t="s">
        <v>91</v>
      </c>
      <c r="K25" s="292" t="s">
        <v>91</v>
      </c>
      <c r="L25" s="292" t="s">
        <v>91</v>
      </c>
    </row>
    <row r="26" spans="1:12" s="2" customFormat="1" ht="13.15">
      <c r="A26" t="s">
        <v>106</v>
      </c>
      <c r="B26" t="s">
        <v>93</v>
      </c>
      <c r="C26" s="2" t="s">
        <v>89</v>
      </c>
      <c r="D26" s="2" t="s">
        <v>85</v>
      </c>
      <c r="E26" s="2" t="s">
        <v>79</v>
      </c>
      <c r="F26" s="291">
        <v>0</v>
      </c>
      <c r="G26" s="291">
        <v>0</v>
      </c>
      <c r="H26" s="292" t="s">
        <v>91</v>
      </c>
      <c r="I26" s="292" t="s">
        <v>91</v>
      </c>
      <c r="J26" s="292" t="s">
        <v>91</v>
      </c>
      <c r="K26" s="292" t="s">
        <v>91</v>
      </c>
      <c r="L26" s="292" t="s">
        <v>91</v>
      </c>
    </row>
    <row r="27" spans="1:12" s="2" customFormat="1" ht="13.15">
      <c r="A27" t="s">
        <v>106</v>
      </c>
      <c r="B27" t="s">
        <v>94</v>
      </c>
      <c r="C27" s="2" t="s">
        <v>84</v>
      </c>
      <c r="D27" s="2" t="s">
        <v>85</v>
      </c>
      <c r="E27" s="2" t="s">
        <v>79</v>
      </c>
      <c r="F27" s="291">
        <v>0</v>
      </c>
      <c r="G27" s="291">
        <v>0</v>
      </c>
      <c r="H27" s="291">
        <v>0</v>
      </c>
      <c r="I27" s="291">
        <v>0</v>
      </c>
      <c r="J27" s="291">
        <v>0</v>
      </c>
      <c r="K27" s="291">
        <v>0</v>
      </c>
      <c r="L27" s="291">
        <v>0</v>
      </c>
    </row>
    <row r="28" spans="1:12" s="2" customFormat="1" ht="13.15">
      <c r="A28" t="s">
        <v>106</v>
      </c>
      <c r="B28" t="s">
        <v>95</v>
      </c>
      <c r="C28" s="2" t="s">
        <v>87</v>
      </c>
      <c r="D28" s="2" t="s">
        <v>85</v>
      </c>
      <c r="E28" s="2" t="s">
        <v>79</v>
      </c>
      <c r="F28" s="291">
        <v>0</v>
      </c>
      <c r="G28" s="291">
        <v>0</v>
      </c>
      <c r="H28" s="291">
        <v>0</v>
      </c>
      <c r="I28" s="291">
        <v>0</v>
      </c>
      <c r="J28" s="291">
        <v>0</v>
      </c>
      <c r="K28" s="291">
        <v>0</v>
      </c>
      <c r="L28" s="291">
        <v>0</v>
      </c>
    </row>
    <row r="29" spans="1:12" s="2" customFormat="1" ht="13.15">
      <c r="A29" t="s">
        <v>106</v>
      </c>
      <c r="B29" t="s">
        <v>96</v>
      </c>
      <c r="C29" s="2" t="s">
        <v>89</v>
      </c>
      <c r="D29" s="2" t="s">
        <v>85</v>
      </c>
      <c r="E29" s="2" t="s">
        <v>79</v>
      </c>
      <c r="F29" s="291">
        <v>0</v>
      </c>
      <c r="G29" s="291">
        <v>0</v>
      </c>
      <c r="H29" s="291">
        <v>0</v>
      </c>
      <c r="I29" s="291">
        <v>0</v>
      </c>
      <c r="J29" s="291">
        <v>0</v>
      </c>
      <c r="K29" s="291">
        <v>0</v>
      </c>
      <c r="L29" s="291">
        <v>0</v>
      </c>
    </row>
    <row r="30" spans="1:12" s="2" customFormat="1" ht="13.15">
      <c r="A30" t="s">
        <v>106</v>
      </c>
      <c r="B30" t="s">
        <v>97</v>
      </c>
      <c r="C30" s="2" t="s">
        <v>98</v>
      </c>
      <c r="D30" s="2" t="s">
        <v>99</v>
      </c>
      <c r="E30" s="2" t="s">
        <v>79</v>
      </c>
      <c r="F30" s="293">
        <v>0</v>
      </c>
      <c r="G30" s="293">
        <v>0</v>
      </c>
      <c r="H30" s="293">
        <v>162</v>
      </c>
      <c r="I30" s="293">
        <v>244</v>
      </c>
      <c r="J30" s="293">
        <v>244</v>
      </c>
      <c r="K30" s="293">
        <v>163</v>
      </c>
      <c r="L30" s="293">
        <v>0</v>
      </c>
    </row>
    <row r="31" spans="1:12" s="2" customFormat="1" ht="13.15">
      <c r="A31" t="s">
        <v>106</v>
      </c>
      <c r="B31" t="s">
        <v>100</v>
      </c>
      <c r="C31" s="2" t="s">
        <v>101</v>
      </c>
      <c r="D31" s="2" t="s">
        <v>99</v>
      </c>
      <c r="E31" s="2" t="s">
        <v>79</v>
      </c>
      <c r="F31" s="293">
        <v>0</v>
      </c>
      <c r="G31" s="293">
        <v>0</v>
      </c>
      <c r="H31" s="293">
        <v>1</v>
      </c>
      <c r="I31" s="293">
        <v>2</v>
      </c>
      <c r="J31" s="293">
        <v>2</v>
      </c>
      <c r="K31" s="293">
        <v>2</v>
      </c>
      <c r="L31" s="293">
        <v>0</v>
      </c>
    </row>
    <row r="32" spans="1:12" s="2" customFormat="1" ht="13.15">
      <c r="A32" t="s">
        <v>106</v>
      </c>
      <c r="B32" t="s">
        <v>102</v>
      </c>
      <c r="C32" s="2" t="s">
        <v>98</v>
      </c>
      <c r="D32" s="2" t="s">
        <v>99</v>
      </c>
      <c r="E32" s="2" t="s">
        <v>79</v>
      </c>
      <c r="F32" s="292" t="s">
        <v>91</v>
      </c>
      <c r="G32" s="292" t="s">
        <v>91</v>
      </c>
      <c r="H32" s="292" t="s">
        <v>91</v>
      </c>
      <c r="I32" s="292" t="s">
        <v>91</v>
      </c>
      <c r="J32" s="292" t="s">
        <v>91</v>
      </c>
      <c r="K32" s="292" t="s">
        <v>91</v>
      </c>
      <c r="L32" s="292" t="s">
        <v>91</v>
      </c>
    </row>
    <row r="33" spans="1:12" s="2" customFormat="1" ht="13.15">
      <c r="A33" t="s">
        <v>106</v>
      </c>
      <c r="B33" t="s">
        <v>103</v>
      </c>
      <c r="C33" s="2" t="s">
        <v>101</v>
      </c>
      <c r="D33" s="2" t="s">
        <v>99</v>
      </c>
      <c r="E33" s="2" t="s">
        <v>79</v>
      </c>
      <c r="F33" s="292" t="s">
        <v>91</v>
      </c>
      <c r="G33" s="292" t="s">
        <v>91</v>
      </c>
      <c r="H33" s="292" t="s">
        <v>91</v>
      </c>
      <c r="I33" s="292" t="s">
        <v>91</v>
      </c>
      <c r="J33" s="292" t="s">
        <v>91</v>
      </c>
      <c r="K33" s="292" t="s">
        <v>91</v>
      </c>
      <c r="L33" s="292" t="s">
        <v>91</v>
      </c>
    </row>
    <row r="34" spans="1:12" s="2" customFormat="1" ht="13.15">
      <c r="A34" t="s">
        <v>106</v>
      </c>
      <c r="B34" t="s">
        <v>104</v>
      </c>
      <c r="C34" s="2" t="s">
        <v>105</v>
      </c>
      <c r="D34" s="2" t="s">
        <v>85</v>
      </c>
      <c r="E34" s="2" t="s">
        <v>79</v>
      </c>
      <c r="F34" s="291">
        <v>350.28846713347019</v>
      </c>
      <c r="G34" s="291">
        <v>406.59500000000008</v>
      </c>
      <c r="H34" s="291">
        <v>532.04300000000001</v>
      </c>
      <c r="I34" s="291">
        <v>677.46500000000003</v>
      </c>
      <c r="J34" s="291">
        <v>781.62900000000002</v>
      </c>
      <c r="K34" s="291">
        <v>743.375</v>
      </c>
      <c r="L34" s="291">
        <v>583.65700000000004</v>
      </c>
    </row>
    <row r="35" spans="1:12" s="2" customFormat="1" ht="13.15">
      <c r="A35" t="s">
        <v>107</v>
      </c>
      <c r="B35" t="s">
        <v>83</v>
      </c>
      <c r="C35" s="2" t="s">
        <v>84</v>
      </c>
      <c r="D35" s="2" t="s">
        <v>85</v>
      </c>
      <c r="E35" s="2" t="s">
        <v>79</v>
      </c>
      <c r="F35" s="291">
        <v>0</v>
      </c>
      <c r="G35" s="291">
        <v>0</v>
      </c>
      <c r="H35" s="291">
        <v>5.3999999999999999E-2</v>
      </c>
      <c r="I35" s="291">
        <v>5.3999999999999999E-2</v>
      </c>
      <c r="J35" s="291">
        <v>0.13600000000000001</v>
      </c>
      <c r="K35" s="291">
        <v>0.16500000000000001</v>
      </c>
      <c r="L35" s="291">
        <v>0.13800000000000001</v>
      </c>
    </row>
    <row r="36" spans="1:12" s="2" customFormat="1" ht="13.15">
      <c r="A36" t="s">
        <v>107</v>
      </c>
      <c r="B36" t="s">
        <v>86</v>
      </c>
      <c r="C36" s="2" t="s">
        <v>87</v>
      </c>
      <c r="D36" s="2" t="s">
        <v>85</v>
      </c>
      <c r="E36" s="2" t="s">
        <v>79</v>
      </c>
      <c r="F36" s="291">
        <v>0</v>
      </c>
      <c r="G36" s="291">
        <v>0</v>
      </c>
      <c r="H36" s="291">
        <v>1E-3</v>
      </c>
      <c r="I36" s="291">
        <v>1E-3</v>
      </c>
      <c r="J36" s="291">
        <v>3.0000000000000001E-3</v>
      </c>
      <c r="K36" s="291">
        <v>6.0000000000000001E-3</v>
      </c>
      <c r="L36" s="291">
        <v>8.0000000000000002E-3</v>
      </c>
    </row>
    <row r="37" spans="1:12" s="2" customFormat="1" ht="13.15">
      <c r="A37" t="s">
        <v>107</v>
      </c>
      <c r="B37" t="s">
        <v>88</v>
      </c>
      <c r="C37" s="2" t="s">
        <v>89</v>
      </c>
      <c r="D37" s="2" t="s">
        <v>85</v>
      </c>
      <c r="E37" s="2" t="s">
        <v>79</v>
      </c>
      <c r="F37" s="291">
        <v>0</v>
      </c>
      <c r="G37" s="291">
        <v>0</v>
      </c>
      <c r="H37" s="291">
        <v>5.5E-2</v>
      </c>
      <c r="I37" s="291">
        <v>5.5E-2</v>
      </c>
      <c r="J37" s="291">
        <v>0.13900000000000001</v>
      </c>
      <c r="K37" s="291">
        <v>0.17100000000000001</v>
      </c>
      <c r="L37" s="291">
        <v>0.14599999999999999</v>
      </c>
    </row>
    <row r="38" spans="1:12" s="2" customFormat="1" ht="13.15">
      <c r="A38" t="s">
        <v>107</v>
      </c>
      <c r="B38" t="s">
        <v>90</v>
      </c>
      <c r="C38" s="2" t="s">
        <v>84</v>
      </c>
      <c r="D38" s="2" t="s">
        <v>85</v>
      </c>
      <c r="E38" s="2" t="s">
        <v>79</v>
      </c>
      <c r="F38" s="291">
        <v>0</v>
      </c>
      <c r="G38" s="291">
        <v>0</v>
      </c>
      <c r="H38" s="292" t="s">
        <v>91</v>
      </c>
      <c r="I38" s="292" t="s">
        <v>91</v>
      </c>
      <c r="J38" s="292" t="s">
        <v>91</v>
      </c>
      <c r="K38" s="292" t="s">
        <v>91</v>
      </c>
      <c r="L38" s="292" t="s">
        <v>91</v>
      </c>
    </row>
    <row r="39" spans="1:12" s="2" customFormat="1" ht="13.15">
      <c r="A39" t="s">
        <v>107</v>
      </c>
      <c r="B39" t="s">
        <v>92</v>
      </c>
      <c r="C39" s="2" t="s">
        <v>87</v>
      </c>
      <c r="D39" s="2" t="s">
        <v>85</v>
      </c>
      <c r="E39" s="2" t="s">
        <v>79</v>
      </c>
      <c r="F39" s="291">
        <v>0</v>
      </c>
      <c r="G39" s="291">
        <v>0</v>
      </c>
      <c r="H39" s="292" t="s">
        <v>91</v>
      </c>
      <c r="I39" s="292" t="s">
        <v>91</v>
      </c>
      <c r="J39" s="292" t="s">
        <v>91</v>
      </c>
      <c r="K39" s="292" t="s">
        <v>91</v>
      </c>
      <c r="L39" s="292" t="s">
        <v>91</v>
      </c>
    </row>
    <row r="40" spans="1:12" s="2" customFormat="1" ht="13.15">
      <c r="A40" t="s">
        <v>107</v>
      </c>
      <c r="B40" t="s">
        <v>93</v>
      </c>
      <c r="C40" s="2" t="s">
        <v>89</v>
      </c>
      <c r="D40" s="2" t="s">
        <v>85</v>
      </c>
      <c r="E40" s="2" t="s">
        <v>79</v>
      </c>
      <c r="F40" s="291">
        <v>0</v>
      </c>
      <c r="G40" s="291">
        <v>0</v>
      </c>
      <c r="H40" s="292" t="s">
        <v>91</v>
      </c>
      <c r="I40" s="292" t="s">
        <v>91</v>
      </c>
      <c r="J40" s="292" t="s">
        <v>91</v>
      </c>
      <c r="K40" s="292" t="s">
        <v>91</v>
      </c>
      <c r="L40" s="292" t="s">
        <v>91</v>
      </c>
    </row>
    <row r="41" spans="1:12" s="2" customFormat="1" ht="13.15">
      <c r="A41" t="s">
        <v>107</v>
      </c>
      <c r="B41" t="s">
        <v>94</v>
      </c>
      <c r="C41" s="2" t="s">
        <v>84</v>
      </c>
      <c r="D41" s="2" t="s">
        <v>85</v>
      </c>
      <c r="E41" s="2" t="s">
        <v>79</v>
      </c>
      <c r="F41" s="291">
        <v>0</v>
      </c>
      <c r="G41" s="291">
        <v>0</v>
      </c>
      <c r="H41" s="291">
        <v>0</v>
      </c>
      <c r="I41" s="291">
        <v>0</v>
      </c>
      <c r="J41" s="291">
        <v>0</v>
      </c>
      <c r="K41" s="291">
        <v>0</v>
      </c>
      <c r="L41" s="291">
        <v>0</v>
      </c>
    </row>
    <row r="42" spans="1:12" s="2" customFormat="1" ht="13.15">
      <c r="A42" t="s">
        <v>107</v>
      </c>
      <c r="B42" t="s">
        <v>95</v>
      </c>
      <c r="C42" s="2" t="s">
        <v>87</v>
      </c>
      <c r="D42" s="2" t="s">
        <v>85</v>
      </c>
      <c r="E42" s="2" t="s">
        <v>79</v>
      </c>
      <c r="F42" s="291">
        <v>0</v>
      </c>
      <c r="G42" s="291">
        <v>0</v>
      </c>
      <c r="H42" s="291">
        <v>0</v>
      </c>
      <c r="I42" s="291">
        <v>0</v>
      </c>
      <c r="J42" s="291">
        <v>0</v>
      </c>
      <c r="K42" s="291">
        <v>0</v>
      </c>
      <c r="L42" s="291">
        <v>0</v>
      </c>
    </row>
    <row r="43" spans="1:12" s="2" customFormat="1" ht="13.15">
      <c r="A43" t="s">
        <v>107</v>
      </c>
      <c r="B43" t="s">
        <v>96</v>
      </c>
      <c r="C43" s="2" t="s">
        <v>89</v>
      </c>
      <c r="D43" s="2" t="s">
        <v>85</v>
      </c>
      <c r="E43" s="2" t="s">
        <v>79</v>
      </c>
      <c r="F43" s="291">
        <v>0</v>
      </c>
      <c r="G43" s="291">
        <v>0</v>
      </c>
      <c r="H43" s="291">
        <v>0</v>
      </c>
      <c r="I43" s="291">
        <v>0</v>
      </c>
      <c r="J43" s="291">
        <v>0</v>
      </c>
      <c r="K43" s="291">
        <v>0</v>
      </c>
      <c r="L43" s="291">
        <v>0</v>
      </c>
    </row>
    <row r="44" spans="1:12" s="2" customFormat="1" ht="13.15">
      <c r="A44" t="s">
        <v>107</v>
      </c>
      <c r="B44" t="s">
        <v>97</v>
      </c>
      <c r="C44" s="2" t="s">
        <v>98</v>
      </c>
      <c r="D44" s="2" t="s">
        <v>99</v>
      </c>
      <c r="E44" s="2" t="s">
        <v>79</v>
      </c>
      <c r="F44" s="293">
        <v>0</v>
      </c>
      <c r="G44" s="293">
        <v>0</v>
      </c>
      <c r="H44" s="293">
        <v>1</v>
      </c>
      <c r="I44" s="293">
        <v>1</v>
      </c>
      <c r="J44" s="293">
        <v>1</v>
      </c>
      <c r="K44" s="293">
        <v>1</v>
      </c>
      <c r="L44" s="293">
        <v>1</v>
      </c>
    </row>
    <row r="45" spans="1:12" s="2" customFormat="1" ht="13.15">
      <c r="A45" t="s">
        <v>107</v>
      </c>
      <c r="B45" t="s">
        <v>100</v>
      </c>
      <c r="C45" s="2" t="s">
        <v>101</v>
      </c>
      <c r="D45" s="2" t="s">
        <v>99</v>
      </c>
      <c r="E45" s="2" t="s">
        <v>79</v>
      </c>
      <c r="F45" s="293">
        <v>0</v>
      </c>
      <c r="G45" s="293">
        <v>0</v>
      </c>
      <c r="H45" s="293">
        <v>0</v>
      </c>
      <c r="I45" s="293">
        <v>1</v>
      </c>
      <c r="J45" s="293">
        <v>1</v>
      </c>
      <c r="K45" s="293">
        <v>1</v>
      </c>
      <c r="L45" s="293">
        <v>1</v>
      </c>
    </row>
    <row r="46" spans="1:12" s="2" customFormat="1" ht="13.15">
      <c r="A46" t="s">
        <v>107</v>
      </c>
      <c r="B46" t="s">
        <v>102</v>
      </c>
      <c r="C46" s="2" t="s">
        <v>98</v>
      </c>
      <c r="D46" s="2" t="s">
        <v>99</v>
      </c>
      <c r="E46" s="2" t="s">
        <v>79</v>
      </c>
      <c r="F46" s="292" t="s">
        <v>91</v>
      </c>
      <c r="G46" s="292" t="s">
        <v>91</v>
      </c>
      <c r="H46" s="292" t="s">
        <v>91</v>
      </c>
      <c r="I46" s="292" t="s">
        <v>91</v>
      </c>
      <c r="J46" s="292" t="s">
        <v>91</v>
      </c>
      <c r="K46" s="292" t="s">
        <v>91</v>
      </c>
      <c r="L46" s="292" t="s">
        <v>91</v>
      </c>
    </row>
    <row r="47" spans="1:12" s="2" customFormat="1" ht="13.15">
      <c r="A47" t="s">
        <v>107</v>
      </c>
      <c r="B47" t="s">
        <v>103</v>
      </c>
      <c r="C47" s="2" t="s">
        <v>101</v>
      </c>
      <c r="D47" s="2" t="s">
        <v>99</v>
      </c>
      <c r="E47" s="2" t="s">
        <v>79</v>
      </c>
      <c r="F47" s="292" t="s">
        <v>91</v>
      </c>
      <c r="G47" s="292" t="s">
        <v>91</v>
      </c>
      <c r="H47" s="292" t="s">
        <v>91</v>
      </c>
      <c r="I47" s="292" t="s">
        <v>91</v>
      </c>
      <c r="J47" s="292" t="s">
        <v>91</v>
      </c>
      <c r="K47" s="292" t="s">
        <v>91</v>
      </c>
      <c r="L47" s="292" t="s">
        <v>91</v>
      </c>
    </row>
    <row r="48" spans="1:12" s="2" customFormat="1" ht="13.15">
      <c r="A48" t="s">
        <v>107</v>
      </c>
      <c r="B48" t="s">
        <v>104</v>
      </c>
      <c r="C48" s="2" t="s">
        <v>105</v>
      </c>
      <c r="D48" s="2" t="s">
        <v>85</v>
      </c>
      <c r="E48" s="2" t="s">
        <v>79</v>
      </c>
      <c r="F48" s="291">
        <v>7.3578121791581106</v>
      </c>
      <c r="G48" s="291">
        <v>9.863093736902691</v>
      </c>
      <c r="H48" s="291">
        <v>8.9449866348255469</v>
      </c>
      <c r="I48" s="291">
        <v>10.513360129683161</v>
      </c>
      <c r="J48" s="291">
        <v>14.777142001610789</v>
      </c>
      <c r="K48" s="291">
        <v>17.269327311959941</v>
      </c>
      <c r="L48" s="291">
        <v>9.7979959403769783</v>
      </c>
    </row>
    <row r="49" spans="1:12" s="2" customFormat="1" ht="13.15">
      <c r="A49" t="s">
        <v>108</v>
      </c>
      <c r="B49" t="s">
        <v>83</v>
      </c>
      <c r="C49" s="2" t="s">
        <v>84</v>
      </c>
      <c r="D49" s="2" t="s">
        <v>85</v>
      </c>
      <c r="E49" s="2" t="s">
        <v>79</v>
      </c>
      <c r="F49" s="291">
        <v>0</v>
      </c>
      <c r="G49" s="291">
        <v>0</v>
      </c>
      <c r="H49" s="291">
        <v>5.6752500000000001</v>
      </c>
      <c r="I49" s="291">
        <v>5.6752500000000001</v>
      </c>
      <c r="J49" s="291">
        <v>5.6752500000000001</v>
      </c>
      <c r="K49" s="291">
        <v>5.6752500000000001</v>
      </c>
      <c r="L49" s="291">
        <v>5.6752500000000001</v>
      </c>
    </row>
    <row r="50" spans="1:12" s="2" customFormat="1" ht="13.15">
      <c r="A50" t="s">
        <v>108</v>
      </c>
      <c r="B50" t="s">
        <v>86</v>
      </c>
      <c r="C50" s="2" t="s">
        <v>87</v>
      </c>
      <c r="D50" s="2" t="s">
        <v>85</v>
      </c>
      <c r="E50" s="2" t="s">
        <v>79</v>
      </c>
      <c r="F50" s="291">
        <v>0</v>
      </c>
      <c r="G50" s="291">
        <v>0</v>
      </c>
      <c r="H50" s="291">
        <v>0</v>
      </c>
      <c r="I50" s="291">
        <v>0.73750000000000004</v>
      </c>
      <c r="J50" s="291">
        <v>0.73750000000000004</v>
      </c>
      <c r="K50" s="291">
        <v>0.73750000000000004</v>
      </c>
      <c r="L50" s="291">
        <v>0.73750000000000004</v>
      </c>
    </row>
    <row r="51" spans="1:12" s="2" customFormat="1" ht="13.15">
      <c r="A51" t="s">
        <v>108</v>
      </c>
      <c r="B51" t="s">
        <v>88</v>
      </c>
      <c r="C51" s="2" t="s">
        <v>89</v>
      </c>
      <c r="D51" s="2" t="s">
        <v>85</v>
      </c>
      <c r="E51" s="2" t="s">
        <v>79</v>
      </c>
      <c r="F51" s="291">
        <v>0</v>
      </c>
      <c r="G51" s="291">
        <v>0</v>
      </c>
      <c r="H51" s="291">
        <v>5.6752500000000001</v>
      </c>
      <c r="I51" s="291">
        <v>6.4127500000000008</v>
      </c>
      <c r="J51" s="291">
        <v>6.4127500000000008</v>
      </c>
      <c r="K51" s="291">
        <v>6.4127500000000008</v>
      </c>
      <c r="L51" s="291">
        <v>6.4127500000000008</v>
      </c>
    </row>
    <row r="52" spans="1:12" s="2" customFormat="1" ht="13.15">
      <c r="A52" t="s">
        <v>108</v>
      </c>
      <c r="B52" t="s">
        <v>90</v>
      </c>
      <c r="C52" s="2" t="s">
        <v>84</v>
      </c>
      <c r="D52" s="2" t="s">
        <v>85</v>
      </c>
      <c r="E52" s="2" t="s">
        <v>79</v>
      </c>
      <c r="F52" s="291">
        <v>0</v>
      </c>
      <c r="G52" s="291">
        <v>0</v>
      </c>
      <c r="H52" s="292" t="s">
        <v>91</v>
      </c>
      <c r="I52" s="292" t="s">
        <v>91</v>
      </c>
      <c r="J52" s="292" t="s">
        <v>91</v>
      </c>
      <c r="K52" s="292" t="s">
        <v>91</v>
      </c>
      <c r="L52" s="292" t="s">
        <v>91</v>
      </c>
    </row>
    <row r="53" spans="1:12" s="2" customFormat="1" ht="13.15">
      <c r="A53" t="s">
        <v>108</v>
      </c>
      <c r="B53" t="s">
        <v>92</v>
      </c>
      <c r="C53" s="2" t="s">
        <v>87</v>
      </c>
      <c r="D53" s="2" t="s">
        <v>85</v>
      </c>
      <c r="E53" s="2" t="s">
        <v>79</v>
      </c>
      <c r="F53" s="291">
        <v>0</v>
      </c>
      <c r="G53" s="291">
        <v>0</v>
      </c>
      <c r="H53" s="292" t="s">
        <v>91</v>
      </c>
      <c r="I53" s="292" t="s">
        <v>91</v>
      </c>
      <c r="J53" s="292" t="s">
        <v>91</v>
      </c>
      <c r="K53" s="292" t="s">
        <v>91</v>
      </c>
      <c r="L53" s="292" t="s">
        <v>91</v>
      </c>
    </row>
    <row r="54" spans="1:12" s="2" customFormat="1" ht="13.15">
      <c r="A54" t="s">
        <v>108</v>
      </c>
      <c r="B54" t="s">
        <v>93</v>
      </c>
      <c r="C54" s="2" t="s">
        <v>89</v>
      </c>
      <c r="D54" s="2" t="s">
        <v>85</v>
      </c>
      <c r="E54" s="2" t="s">
        <v>79</v>
      </c>
      <c r="F54" s="291">
        <v>0</v>
      </c>
      <c r="G54" s="291">
        <v>0</v>
      </c>
      <c r="H54" s="292" t="s">
        <v>91</v>
      </c>
      <c r="I54" s="292" t="s">
        <v>91</v>
      </c>
      <c r="J54" s="292" t="s">
        <v>91</v>
      </c>
      <c r="K54" s="292" t="s">
        <v>91</v>
      </c>
      <c r="L54" s="292" t="s">
        <v>91</v>
      </c>
    </row>
    <row r="55" spans="1:12" s="2" customFormat="1" ht="13.15">
      <c r="A55" t="s">
        <v>108</v>
      </c>
      <c r="B55" t="s">
        <v>94</v>
      </c>
      <c r="C55" s="2" t="s">
        <v>84</v>
      </c>
      <c r="D55" s="2" t="s">
        <v>85</v>
      </c>
      <c r="E55" s="2" t="s">
        <v>79</v>
      </c>
      <c r="F55" s="291">
        <v>0</v>
      </c>
      <c r="G55" s="291">
        <v>0</v>
      </c>
      <c r="H55" s="291">
        <v>0</v>
      </c>
      <c r="I55" s="291">
        <v>0</v>
      </c>
      <c r="J55" s="291">
        <v>0</v>
      </c>
      <c r="K55" s="291">
        <v>0</v>
      </c>
      <c r="L55" s="291">
        <v>0</v>
      </c>
    </row>
    <row r="56" spans="1:12" s="2" customFormat="1" ht="13.15">
      <c r="A56" t="s">
        <v>108</v>
      </c>
      <c r="B56" t="s">
        <v>95</v>
      </c>
      <c r="C56" s="2" t="s">
        <v>87</v>
      </c>
      <c r="D56" s="2" t="s">
        <v>85</v>
      </c>
      <c r="E56" s="2" t="s">
        <v>79</v>
      </c>
      <c r="F56" s="291">
        <v>0</v>
      </c>
      <c r="G56" s="291">
        <v>0</v>
      </c>
      <c r="H56" s="291">
        <v>0</v>
      </c>
      <c r="I56" s="291">
        <v>0</v>
      </c>
      <c r="J56" s="291">
        <v>0</v>
      </c>
      <c r="K56" s="291">
        <v>0</v>
      </c>
      <c r="L56" s="291">
        <v>0</v>
      </c>
    </row>
    <row r="57" spans="1:12" s="2" customFormat="1" ht="13.15">
      <c r="A57" t="s">
        <v>108</v>
      </c>
      <c r="B57" t="s">
        <v>96</v>
      </c>
      <c r="C57" s="2" t="s">
        <v>89</v>
      </c>
      <c r="D57" s="2" t="s">
        <v>85</v>
      </c>
      <c r="E57" s="2" t="s">
        <v>79</v>
      </c>
      <c r="F57" s="291">
        <v>0</v>
      </c>
      <c r="G57" s="291">
        <v>0</v>
      </c>
      <c r="H57" s="291">
        <v>0</v>
      </c>
      <c r="I57" s="291">
        <v>0</v>
      </c>
      <c r="J57" s="291">
        <v>0</v>
      </c>
      <c r="K57" s="291">
        <v>0</v>
      </c>
      <c r="L57" s="291">
        <v>0</v>
      </c>
    </row>
    <row r="58" spans="1:12" s="2" customFormat="1" ht="13.15">
      <c r="A58" t="s">
        <v>108</v>
      </c>
      <c r="B58" t="s">
        <v>97</v>
      </c>
      <c r="C58" s="2" t="s">
        <v>98</v>
      </c>
      <c r="D58" s="2" t="s">
        <v>99</v>
      </c>
      <c r="E58" s="2" t="s">
        <v>79</v>
      </c>
      <c r="F58" s="293">
        <v>0</v>
      </c>
      <c r="G58" s="293">
        <v>0</v>
      </c>
      <c r="H58" s="293">
        <v>29</v>
      </c>
      <c r="I58" s="293">
        <v>30</v>
      </c>
      <c r="J58" s="293">
        <v>30</v>
      </c>
      <c r="K58" s="293">
        <v>30</v>
      </c>
      <c r="L58" s="293">
        <v>30</v>
      </c>
    </row>
    <row r="59" spans="1:12" s="2" customFormat="1" ht="13.15">
      <c r="A59" t="s">
        <v>108</v>
      </c>
      <c r="B59" t="s">
        <v>100</v>
      </c>
      <c r="C59" s="2" t="s">
        <v>101</v>
      </c>
      <c r="D59" s="2" t="s">
        <v>99</v>
      </c>
      <c r="E59" s="2" t="s">
        <v>79</v>
      </c>
      <c r="F59" s="293">
        <v>0</v>
      </c>
      <c r="G59" s="293">
        <v>0</v>
      </c>
      <c r="H59" s="293">
        <v>12</v>
      </c>
      <c r="I59" s="293">
        <v>13</v>
      </c>
      <c r="J59" s="293">
        <v>13</v>
      </c>
      <c r="K59" s="293">
        <v>13</v>
      </c>
      <c r="L59" s="293">
        <v>13</v>
      </c>
    </row>
    <row r="60" spans="1:12" s="2" customFormat="1" ht="13.15">
      <c r="A60" t="s">
        <v>108</v>
      </c>
      <c r="B60" t="s">
        <v>102</v>
      </c>
      <c r="C60" s="2" t="s">
        <v>98</v>
      </c>
      <c r="D60" s="2" t="s">
        <v>99</v>
      </c>
      <c r="E60" s="2" t="s">
        <v>79</v>
      </c>
      <c r="F60" s="292" t="s">
        <v>91</v>
      </c>
      <c r="G60" s="292" t="s">
        <v>91</v>
      </c>
      <c r="H60" s="292" t="s">
        <v>91</v>
      </c>
      <c r="I60" s="292" t="s">
        <v>91</v>
      </c>
      <c r="J60" s="292" t="s">
        <v>91</v>
      </c>
      <c r="K60" s="292" t="s">
        <v>91</v>
      </c>
      <c r="L60" s="292" t="s">
        <v>91</v>
      </c>
    </row>
    <row r="61" spans="1:12" s="2" customFormat="1" ht="13.15">
      <c r="A61" t="s">
        <v>108</v>
      </c>
      <c r="B61" t="s">
        <v>103</v>
      </c>
      <c r="C61" s="2" t="s">
        <v>101</v>
      </c>
      <c r="D61" s="2" t="s">
        <v>99</v>
      </c>
      <c r="E61" s="2" t="s">
        <v>79</v>
      </c>
      <c r="F61" s="292" t="s">
        <v>91</v>
      </c>
      <c r="G61" s="292" t="s">
        <v>91</v>
      </c>
      <c r="H61" s="292" t="s">
        <v>91</v>
      </c>
      <c r="I61" s="292" t="s">
        <v>91</v>
      </c>
      <c r="J61" s="292" t="s">
        <v>91</v>
      </c>
      <c r="K61" s="292" t="s">
        <v>91</v>
      </c>
      <c r="L61" s="292" t="s">
        <v>91</v>
      </c>
    </row>
    <row r="62" spans="1:12" s="2" customFormat="1" ht="13.15">
      <c r="A62" t="s">
        <v>108</v>
      </c>
      <c r="B62" t="s">
        <v>104</v>
      </c>
      <c r="C62" s="2" t="s">
        <v>105</v>
      </c>
      <c r="D62" s="2" t="s">
        <v>85</v>
      </c>
      <c r="E62" s="2" t="s">
        <v>79</v>
      </c>
      <c r="F62" s="291">
        <v>269.75279587178778</v>
      </c>
      <c r="G62" s="291">
        <v>351.36383189367382</v>
      </c>
      <c r="H62" s="291">
        <v>637.49235151146331</v>
      </c>
      <c r="I62" s="291">
        <v>649.43938105100824</v>
      </c>
      <c r="J62" s="291">
        <v>633.75696696428611</v>
      </c>
      <c r="K62" s="291">
        <v>617.35869124562396</v>
      </c>
      <c r="L62" s="291">
        <v>590.04476795521828</v>
      </c>
    </row>
    <row r="63" spans="1:12" s="2" customFormat="1" ht="13.15">
      <c r="A63" t="s">
        <v>109</v>
      </c>
      <c r="B63" t="s">
        <v>83</v>
      </c>
      <c r="C63" s="2" t="s">
        <v>84</v>
      </c>
      <c r="D63" s="2" t="s">
        <v>85</v>
      </c>
      <c r="E63" s="2" t="s">
        <v>79</v>
      </c>
      <c r="F63" s="291">
        <v>0</v>
      </c>
      <c r="G63" s="291">
        <v>5.643126094345547E-2</v>
      </c>
      <c r="H63" s="291">
        <v>2.4222169876894881</v>
      </c>
      <c r="I63" s="291">
        <v>2.4970623405963779</v>
      </c>
      <c r="J63" s="291">
        <v>3.8897476747409718</v>
      </c>
      <c r="K63" s="291">
        <v>7.0000714619806184</v>
      </c>
      <c r="L63" s="291">
        <v>9.6531095508949765</v>
      </c>
    </row>
    <row r="64" spans="1:12" s="2" customFormat="1" ht="13.15">
      <c r="A64" t="s">
        <v>109</v>
      </c>
      <c r="B64" t="s">
        <v>86</v>
      </c>
      <c r="C64" s="2" t="s">
        <v>87</v>
      </c>
      <c r="D64" s="2" t="s">
        <v>85</v>
      </c>
      <c r="E64" s="2" t="s">
        <v>79</v>
      </c>
      <c r="F64" s="291">
        <v>0</v>
      </c>
      <c r="G64" s="291">
        <v>0</v>
      </c>
      <c r="H64" s="291">
        <v>2.3422693943730269E-2</v>
      </c>
      <c r="I64" s="291">
        <v>9.861570446027397E-2</v>
      </c>
      <c r="J64" s="291">
        <v>0.122151844582109</v>
      </c>
      <c r="K64" s="291">
        <v>0.18052658330507129</v>
      </c>
      <c r="L64" s="291">
        <v>0.31020580326515701</v>
      </c>
    </row>
    <row r="65" spans="1:12" s="2" customFormat="1" ht="13.15">
      <c r="A65" t="s">
        <v>109</v>
      </c>
      <c r="B65" t="s">
        <v>88</v>
      </c>
      <c r="C65" s="2" t="s">
        <v>89</v>
      </c>
      <c r="D65" s="2" t="s">
        <v>85</v>
      </c>
      <c r="E65" s="2" t="s">
        <v>79</v>
      </c>
      <c r="F65" s="291">
        <v>0</v>
      </c>
      <c r="G65" s="291">
        <v>5.643126094345547E-2</v>
      </c>
      <c r="H65" s="291">
        <v>2.4456396816332191</v>
      </c>
      <c r="I65" s="291">
        <v>2.5956780450566521</v>
      </c>
      <c r="J65" s="291">
        <v>4.0118995193230811</v>
      </c>
      <c r="K65" s="291">
        <v>7.1805980452856897</v>
      </c>
      <c r="L65" s="291">
        <v>9.963315354160132</v>
      </c>
    </row>
    <row r="66" spans="1:12" s="2" customFormat="1" ht="13.15">
      <c r="A66" t="s">
        <v>109</v>
      </c>
      <c r="B66" t="s">
        <v>90</v>
      </c>
      <c r="C66" s="2" t="s">
        <v>84</v>
      </c>
      <c r="D66" s="2" t="s">
        <v>85</v>
      </c>
      <c r="E66" s="2" t="s">
        <v>79</v>
      </c>
      <c r="F66" s="291">
        <v>0</v>
      </c>
      <c r="G66" s="291">
        <v>5.643126094345547E-2</v>
      </c>
      <c r="H66" s="292" t="s">
        <v>91</v>
      </c>
      <c r="I66" s="292" t="s">
        <v>91</v>
      </c>
      <c r="J66" s="292" t="s">
        <v>91</v>
      </c>
      <c r="K66" s="292" t="s">
        <v>91</v>
      </c>
      <c r="L66" s="292" t="s">
        <v>91</v>
      </c>
    </row>
    <row r="67" spans="1:12" s="2" customFormat="1" ht="13.15">
      <c r="A67" t="s">
        <v>109</v>
      </c>
      <c r="B67" t="s">
        <v>92</v>
      </c>
      <c r="C67" s="2" t="s">
        <v>87</v>
      </c>
      <c r="D67" s="2" t="s">
        <v>85</v>
      </c>
      <c r="E67" s="2" t="s">
        <v>79</v>
      </c>
      <c r="F67" s="291">
        <v>0</v>
      </c>
      <c r="G67" s="291">
        <v>0</v>
      </c>
      <c r="H67" s="292" t="s">
        <v>91</v>
      </c>
      <c r="I67" s="292" t="s">
        <v>91</v>
      </c>
      <c r="J67" s="292" t="s">
        <v>91</v>
      </c>
      <c r="K67" s="292" t="s">
        <v>91</v>
      </c>
      <c r="L67" s="292" t="s">
        <v>91</v>
      </c>
    </row>
    <row r="68" spans="1:12" s="2" customFormat="1" ht="13.15">
      <c r="A68" t="s">
        <v>109</v>
      </c>
      <c r="B68" t="s">
        <v>93</v>
      </c>
      <c r="C68" s="2" t="s">
        <v>89</v>
      </c>
      <c r="D68" s="2" t="s">
        <v>85</v>
      </c>
      <c r="E68" s="2" t="s">
        <v>79</v>
      </c>
      <c r="F68" s="291">
        <v>0</v>
      </c>
      <c r="G68" s="291">
        <v>5.643126094345547E-2</v>
      </c>
      <c r="H68" s="292" t="s">
        <v>91</v>
      </c>
      <c r="I68" s="292" t="s">
        <v>91</v>
      </c>
      <c r="J68" s="292" t="s">
        <v>91</v>
      </c>
      <c r="K68" s="292" t="s">
        <v>91</v>
      </c>
      <c r="L68" s="292" t="s">
        <v>91</v>
      </c>
    </row>
    <row r="69" spans="1:12" s="2" customFormat="1" ht="13.15">
      <c r="A69" t="s">
        <v>109</v>
      </c>
      <c r="B69" t="s">
        <v>94</v>
      </c>
      <c r="C69" s="2" t="s">
        <v>84</v>
      </c>
      <c r="D69" s="2" t="s">
        <v>85</v>
      </c>
      <c r="E69" s="2" t="s">
        <v>79</v>
      </c>
      <c r="F69" s="291">
        <v>0</v>
      </c>
      <c r="G69" s="291">
        <v>0</v>
      </c>
      <c r="H69" s="291">
        <v>0</v>
      </c>
      <c r="I69" s="291">
        <v>0</v>
      </c>
      <c r="J69" s="291">
        <v>0</v>
      </c>
      <c r="K69" s="291">
        <v>0</v>
      </c>
      <c r="L69" s="291">
        <v>0</v>
      </c>
    </row>
    <row r="70" spans="1:12" s="2" customFormat="1" ht="13.15">
      <c r="A70" t="s">
        <v>109</v>
      </c>
      <c r="B70" t="s">
        <v>95</v>
      </c>
      <c r="C70" s="2" t="s">
        <v>87</v>
      </c>
      <c r="D70" s="2" t="s">
        <v>85</v>
      </c>
      <c r="E70" s="2" t="s">
        <v>79</v>
      </c>
      <c r="F70" s="291">
        <v>0</v>
      </c>
      <c r="G70" s="291">
        <v>0</v>
      </c>
      <c r="H70" s="291">
        <v>0</v>
      </c>
      <c r="I70" s="291">
        <v>0</v>
      </c>
      <c r="J70" s="291">
        <v>0</v>
      </c>
      <c r="K70" s="291">
        <v>0</v>
      </c>
      <c r="L70" s="291">
        <v>0</v>
      </c>
    </row>
    <row r="71" spans="1:12" s="2" customFormat="1" ht="13.15">
      <c r="A71" t="s">
        <v>109</v>
      </c>
      <c r="B71" t="s">
        <v>96</v>
      </c>
      <c r="C71" s="2" t="s">
        <v>89</v>
      </c>
      <c r="D71" s="2" t="s">
        <v>85</v>
      </c>
      <c r="E71" s="2" t="s">
        <v>79</v>
      </c>
      <c r="F71" s="291">
        <v>0</v>
      </c>
      <c r="G71" s="291">
        <v>0</v>
      </c>
      <c r="H71" s="291">
        <v>0</v>
      </c>
      <c r="I71" s="291">
        <v>0</v>
      </c>
      <c r="J71" s="291">
        <v>0</v>
      </c>
      <c r="K71" s="291">
        <v>0</v>
      </c>
      <c r="L71" s="291">
        <v>0</v>
      </c>
    </row>
    <row r="72" spans="1:12" s="2" customFormat="1" ht="13.15">
      <c r="A72" t="s">
        <v>109</v>
      </c>
      <c r="B72" t="s">
        <v>97</v>
      </c>
      <c r="C72" s="2" t="s">
        <v>98</v>
      </c>
      <c r="D72" s="2" t="s">
        <v>99</v>
      </c>
      <c r="E72" s="2" t="s">
        <v>79</v>
      </c>
      <c r="F72" s="293">
        <v>0</v>
      </c>
      <c r="G72" s="293">
        <v>0</v>
      </c>
      <c r="H72" s="293">
        <v>73</v>
      </c>
      <c r="I72" s="293">
        <v>73</v>
      </c>
      <c r="J72" s="293">
        <v>73</v>
      </c>
      <c r="K72" s="293">
        <v>73</v>
      </c>
      <c r="L72" s="293">
        <v>74</v>
      </c>
    </row>
    <row r="73" spans="1:12" s="2" customFormat="1" ht="13.15">
      <c r="A73" t="s">
        <v>109</v>
      </c>
      <c r="B73" t="s">
        <v>100</v>
      </c>
      <c r="C73" s="2" t="s">
        <v>101</v>
      </c>
      <c r="D73" s="2" t="s">
        <v>99</v>
      </c>
      <c r="E73" s="2" t="s">
        <v>79</v>
      </c>
      <c r="F73" s="293">
        <v>0</v>
      </c>
      <c r="G73" s="293">
        <v>0</v>
      </c>
      <c r="H73" s="293">
        <v>46</v>
      </c>
      <c r="I73" s="293">
        <v>48</v>
      </c>
      <c r="J73" s="293">
        <v>48</v>
      </c>
      <c r="K73" s="293">
        <v>48</v>
      </c>
      <c r="L73" s="293">
        <v>48</v>
      </c>
    </row>
    <row r="74" spans="1:12" s="2" customFormat="1" ht="13.15">
      <c r="A74" t="s">
        <v>109</v>
      </c>
      <c r="B74" t="s">
        <v>102</v>
      </c>
      <c r="C74" s="2" t="s">
        <v>98</v>
      </c>
      <c r="D74" s="2" t="s">
        <v>99</v>
      </c>
      <c r="E74" s="2" t="s">
        <v>79</v>
      </c>
      <c r="F74" s="292" t="s">
        <v>91</v>
      </c>
      <c r="G74" s="292" t="s">
        <v>91</v>
      </c>
      <c r="H74" s="292" t="s">
        <v>91</v>
      </c>
      <c r="I74" s="292" t="s">
        <v>91</v>
      </c>
      <c r="J74" s="292" t="s">
        <v>91</v>
      </c>
      <c r="K74" s="292" t="s">
        <v>91</v>
      </c>
      <c r="L74" s="292" t="s">
        <v>91</v>
      </c>
    </row>
    <row r="75" spans="1:12" s="2" customFormat="1" ht="13.15">
      <c r="A75" t="s">
        <v>109</v>
      </c>
      <c r="B75" t="s">
        <v>103</v>
      </c>
      <c r="C75" s="2" t="s">
        <v>101</v>
      </c>
      <c r="D75" s="2" t="s">
        <v>99</v>
      </c>
      <c r="E75" s="2" t="s">
        <v>79</v>
      </c>
      <c r="F75" s="292" t="s">
        <v>91</v>
      </c>
      <c r="G75" s="292" t="s">
        <v>91</v>
      </c>
      <c r="H75" s="292" t="s">
        <v>91</v>
      </c>
      <c r="I75" s="292" t="s">
        <v>91</v>
      </c>
      <c r="J75" s="292" t="s">
        <v>91</v>
      </c>
      <c r="K75" s="292" t="s">
        <v>91</v>
      </c>
      <c r="L75" s="292" t="s">
        <v>91</v>
      </c>
    </row>
    <row r="76" spans="1:12" s="2" customFormat="1" ht="13.15">
      <c r="A76" t="s">
        <v>109</v>
      </c>
      <c r="B76" t="s">
        <v>104</v>
      </c>
      <c r="C76" s="2" t="s">
        <v>105</v>
      </c>
      <c r="D76" s="2" t="s">
        <v>85</v>
      </c>
      <c r="E76" s="2" t="s">
        <v>79</v>
      </c>
      <c r="F76" s="291">
        <v>1013.002282116595</v>
      </c>
      <c r="G76" s="291">
        <v>1268.46895089945</v>
      </c>
      <c r="H76" s="291">
        <v>1627.130482039277</v>
      </c>
      <c r="I76" s="291">
        <v>1799.6345533549929</v>
      </c>
      <c r="J76" s="291">
        <v>1751.178437326055</v>
      </c>
      <c r="K76" s="291">
        <v>1716.7333477224111</v>
      </c>
      <c r="L76" s="291">
        <v>1480.0957061431859</v>
      </c>
    </row>
    <row r="77" spans="1:12" s="2" customFormat="1" ht="13.15">
      <c r="A77" t="s">
        <v>110</v>
      </c>
      <c r="B77" t="s">
        <v>83</v>
      </c>
      <c r="C77" s="2" t="s">
        <v>84</v>
      </c>
      <c r="D77" s="2" t="s">
        <v>85</v>
      </c>
      <c r="E77" s="2" t="s">
        <v>79</v>
      </c>
      <c r="F77" s="291">
        <v>0</v>
      </c>
      <c r="G77" s="291">
        <v>14.779</v>
      </c>
      <c r="H77" s="291">
        <v>2.04</v>
      </c>
      <c r="I77" s="291">
        <v>2.04</v>
      </c>
      <c r="J77" s="291">
        <v>2.04</v>
      </c>
      <c r="K77" s="291">
        <v>2.04</v>
      </c>
      <c r="L77" s="291">
        <v>2.04</v>
      </c>
    </row>
    <row r="78" spans="1:12" s="2" customFormat="1" ht="13.15">
      <c r="A78" t="s">
        <v>110</v>
      </c>
      <c r="B78" t="s">
        <v>86</v>
      </c>
      <c r="C78" s="2" t="s">
        <v>87</v>
      </c>
      <c r="D78" s="2" t="s">
        <v>85</v>
      </c>
      <c r="E78" s="2" t="s">
        <v>79</v>
      </c>
      <c r="F78" s="291">
        <v>0</v>
      </c>
      <c r="G78" s="291">
        <v>0.41499999999999998</v>
      </c>
      <c r="H78" s="291">
        <v>0</v>
      </c>
      <c r="I78" s="291">
        <v>0</v>
      </c>
      <c r="J78" s="291">
        <v>0</v>
      </c>
      <c r="K78" s="291">
        <v>0</v>
      </c>
      <c r="L78" s="291">
        <v>0</v>
      </c>
    </row>
    <row r="79" spans="1:12" s="2" customFormat="1" ht="13.15">
      <c r="A79" t="s">
        <v>110</v>
      </c>
      <c r="B79" t="s">
        <v>88</v>
      </c>
      <c r="C79" s="2" t="s">
        <v>89</v>
      </c>
      <c r="D79" s="2" t="s">
        <v>85</v>
      </c>
      <c r="E79" s="2" t="s">
        <v>79</v>
      </c>
      <c r="F79" s="291">
        <v>0</v>
      </c>
      <c r="G79" s="291">
        <v>15.194000000000001</v>
      </c>
      <c r="H79" s="291">
        <v>2.04</v>
      </c>
      <c r="I79" s="291">
        <v>2.04</v>
      </c>
      <c r="J79" s="291">
        <v>2.04</v>
      </c>
      <c r="K79" s="291">
        <v>2.04</v>
      </c>
      <c r="L79" s="291">
        <v>2.04</v>
      </c>
    </row>
    <row r="80" spans="1:12" s="2" customFormat="1" ht="13.15">
      <c r="A80" t="s">
        <v>110</v>
      </c>
      <c r="B80" t="s">
        <v>90</v>
      </c>
      <c r="C80" s="2" t="s">
        <v>84</v>
      </c>
      <c r="D80" s="2" t="s">
        <v>85</v>
      </c>
      <c r="E80" s="2" t="s">
        <v>79</v>
      </c>
      <c r="F80" s="291">
        <v>0</v>
      </c>
      <c r="G80" s="291">
        <v>0</v>
      </c>
      <c r="H80" s="292" t="s">
        <v>91</v>
      </c>
      <c r="I80" s="292" t="s">
        <v>91</v>
      </c>
      <c r="J80" s="292" t="s">
        <v>91</v>
      </c>
      <c r="K80" s="292" t="s">
        <v>91</v>
      </c>
      <c r="L80" s="292" t="s">
        <v>91</v>
      </c>
    </row>
    <row r="81" spans="1:12" s="2" customFormat="1" ht="13.15">
      <c r="A81" t="s">
        <v>110</v>
      </c>
      <c r="B81" t="s">
        <v>92</v>
      </c>
      <c r="C81" s="2" t="s">
        <v>87</v>
      </c>
      <c r="D81" s="2" t="s">
        <v>85</v>
      </c>
      <c r="E81" s="2" t="s">
        <v>79</v>
      </c>
      <c r="F81" s="291">
        <v>0</v>
      </c>
      <c r="G81" s="291">
        <v>0</v>
      </c>
      <c r="H81" s="292" t="s">
        <v>91</v>
      </c>
      <c r="I81" s="292" t="s">
        <v>91</v>
      </c>
      <c r="J81" s="292" t="s">
        <v>91</v>
      </c>
      <c r="K81" s="292" t="s">
        <v>91</v>
      </c>
      <c r="L81" s="292" t="s">
        <v>91</v>
      </c>
    </row>
    <row r="82" spans="1:12" s="2" customFormat="1" ht="13.15">
      <c r="A82" t="s">
        <v>110</v>
      </c>
      <c r="B82" t="s">
        <v>93</v>
      </c>
      <c r="C82" s="2" t="s">
        <v>89</v>
      </c>
      <c r="D82" s="2" t="s">
        <v>85</v>
      </c>
      <c r="E82" s="2" t="s">
        <v>79</v>
      </c>
      <c r="F82" s="291">
        <v>0</v>
      </c>
      <c r="G82" s="291">
        <v>0</v>
      </c>
      <c r="H82" s="292" t="s">
        <v>91</v>
      </c>
      <c r="I82" s="292" t="s">
        <v>91</v>
      </c>
      <c r="J82" s="292" t="s">
        <v>91</v>
      </c>
      <c r="K82" s="292" t="s">
        <v>91</v>
      </c>
      <c r="L82" s="292" t="s">
        <v>91</v>
      </c>
    </row>
    <row r="83" spans="1:12" s="2" customFormat="1" ht="13.15">
      <c r="A83" t="s">
        <v>110</v>
      </c>
      <c r="B83" t="s">
        <v>94</v>
      </c>
      <c r="C83" s="2" t="s">
        <v>84</v>
      </c>
      <c r="D83" s="2" t="s">
        <v>85</v>
      </c>
      <c r="E83" s="2" t="s">
        <v>79</v>
      </c>
      <c r="F83" s="291">
        <v>0</v>
      </c>
      <c r="G83" s="291">
        <v>0</v>
      </c>
      <c r="H83" s="291">
        <v>0</v>
      </c>
      <c r="I83" s="291">
        <v>0</v>
      </c>
      <c r="J83" s="291">
        <v>0</v>
      </c>
      <c r="K83" s="291">
        <v>0</v>
      </c>
      <c r="L83" s="291">
        <v>0</v>
      </c>
    </row>
    <row r="84" spans="1:12" s="2" customFormat="1" ht="13.15">
      <c r="A84" t="s">
        <v>110</v>
      </c>
      <c r="B84" t="s">
        <v>95</v>
      </c>
      <c r="C84" s="2" t="s">
        <v>87</v>
      </c>
      <c r="D84" s="2" t="s">
        <v>85</v>
      </c>
      <c r="E84" s="2" t="s">
        <v>79</v>
      </c>
      <c r="F84" s="291">
        <v>0</v>
      </c>
      <c r="G84" s="291">
        <v>0</v>
      </c>
      <c r="H84" s="291">
        <v>0</v>
      </c>
      <c r="I84" s="291">
        <v>0</v>
      </c>
      <c r="J84" s="291">
        <v>0</v>
      </c>
      <c r="K84" s="291">
        <v>0</v>
      </c>
      <c r="L84" s="291">
        <v>0</v>
      </c>
    </row>
    <row r="85" spans="1:12" s="2" customFormat="1" ht="13.15">
      <c r="A85" t="s">
        <v>110</v>
      </c>
      <c r="B85" t="s">
        <v>96</v>
      </c>
      <c r="C85" s="2" t="s">
        <v>89</v>
      </c>
      <c r="D85" s="2" t="s">
        <v>85</v>
      </c>
      <c r="E85" s="2" t="s">
        <v>79</v>
      </c>
      <c r="F85" s="291">
        <v>0</v>
      </c>
      <c r="G85" s="291">
        <v>0</v>
      </c>
      <c r="H85" s="291">
        <v>0</v>
      </c>
      <c r="I85" s="291">
        <v>0</v>
      </c>
      <c r="J85" s="291">
        <v>0</v>
      </c>
      <c r="K85" s="291">
        <v>0</v>
      </c>
      <c r="L85" s="291">
        <v>0</v>
      </c>
    </row>
    <row r="86" spans="1:12" s="2" customFormat="1" ht="13.15">
      <c r="A86" t="s">
        <v>110</v>
      </c>
      <c r="B86" t="s">
        <v>97</v>
      </c>
      <c r="C86" s="2" t="s">
        <v>98</v>
      </c>
      <c r="D86" s="2" t="s">
        <v>99</v>
      </c>
      <c r="E86" s="2" t="s">
        <v>79</v>
      </c>
      <c r="F86" s="293">
        <v>0</v>
      </c>
      <c r="G86" s="293">
        <v>0</v>
      </c>
      <c r="H86" s="293">
        <v>0</v>
      </c>
      <c r="I86" s="293">
        <v>0</v>
      </c>
      <c r="J86" s="293">
        <v>0</v>
      </c>
      <c r="K86" s="293">
        <v>0</v>
      </c>
      <c r="L86" s="293">
        <v>193</v>
      </c>
    </row>
    <row r="87" spans="1:12" s="2" customFormat="1" ht="13.15">
      <c r="A87" t="s">
        <v>110</v>
      </c>
      <c r="B87" t="s">
        <v>100</v>
      </c>
      <c r="C87" s="2" t="s">
        <v>101</v>
      </c>
      <c r="D87" s="2" t="s">
        <v>99</v>
      </c>
      <c r="E87" s="2" t="s">
        <v>79</v>
      </c>
      <c r="F87" s="293">
        <v>0</v>
      </c>
      <c r="G87" s="293">
        <v>0</v>
      </c>
      <c r="H87" s="293">
        <v>0</v>
      </c>
      <c r="I87" s="293">
        <v>0</v>
      </c>
      <c r="J87" s="293">
        <v>0</v>
      </c>
      <c r="K87" s="293">
        <v>0</v>
      </c>
      <c r="L87" s="293">
        <v>185</v>
      </c>
    </row>
    <row r="88" spans="1:12" s="2" customFormat="1" ht="13.15">
      <c r="A88" t="s">
        <v>110</v>
      </c>
      <c r="B88" t="s">
        <v>102</v>
      </c>
      <c r="C88" s="2" t="s">
        <v>98</v>
      </c>
      <c r="D88" s="2" t="s">
        <v>99</v>
      </c>
      <c r="E88" s="2" t="s">
        <v>79</v>
      </c>
      <c r="F88" s="293">
        <v>0</v>
      </c>
      <c r="G88" s="292" t="s">
        <v>91</v>
      </c>
      <c r="H88" s="292" t="s">
        <v>91</v>
      </c>
      <c r="I88" s="292" t="s">
        <v>91</v>
      </c>
      <c r="J88" s="292" t="s">
        <v>91</v>
      </c>
      <c r="K88" s="292" t="s">
        <v>91</v>
      </c>
      <c r="L88" s="292" t="s">
        <v>91</v>
      </c>
    </row>
    <row r="89" spans="1:12" s="2" customFormat="1" ht="13.15">
      <c r="A89" t="s">
        <v>110</v>
      </c>
      <c r="B89" t="s">
        <v>103</v>
      </c>
      <c r="C89" s="2" t="s">
        <v>101</v>
      </c>
      <c r="D89" s="2" t="s">
        <v>99</v>
      </c>
      <c r="E89" s="2" t="s">
        <v>79</v>
      </c>
      <c r="F89" s="293">
        <v>0</v>
      </c>
      <c r="G89" s="292" t="s">
        <v>91</v>
      </c>
      <c r="H89" s="292" t="s">
        <v>91</v>
      </c>
      <c r="I89" s="292" t="s">
        <v>91</v>
      </c>
      <c r="J89" s="292" t="s">
        <v>91</v>
      </c>
      <c r="K89" s="292" t="s">
        <v>91</v>
      </c>
      <c r="L89" s="292" t="s">
        <v>91</v>
      </c>
    </row>
    <row r="90" spans="1:12" s="2" customFormat="1" ht="13.15">
      <c r="A90" t="s">
        <v>110</v>
      </c>
      <c r="B90" t="s">
        <v>104</v>
      </c>
      <c r="C90" s="2" t="s">
        <v>105</v>
      </c>
      <c r="D90" s="2" t="s">
        <v>85</v>
      </c>
      <c r="E90" s="2" t="s">
        <v>79</v>
      </c>
      <c r="F90" s="291">
        <v>333.01299999999998</v>
      </c>
      <c r="G90" s="291">
        <v>359.33790081544743</v>
      </c>
      <c r="H90" s="291">
        <v>424.43672704840031</v>
      </c>
      <c r="I90" s="291">
        <v>452.43411651686932</v>
      </c>
      <c r="J90" s="291">
        <v>438.9042052475661</v>
      </c>
      <c r="K90" s="291">
        <v>443.81161410521469</v>
      </c>
      <c r="L90" s="291">
        <v>366.29748727458627</v>
      </c>
    </row>
    <row r="91" spans="1:12" s="2" customFormat="1" ht="13.15">
      <c r="A91" t="s">
        <v>111</v>
      </c>
      <c r="B91" t="s">
        <v>83</v>
      </c>
      <c r="C91" s="2" t="s">
        <v>84</v>
      </c>
      <c r="D91" s="2" t="s">
        <v>85</v>
      </c>
      <c r="E91" s="2" t="s">
        <v>79</v>
      </c>
      <c r="F91" s="291">
        <v>0</v>
      </c>
      <c r="G91" s="291">
        <v>0</v>
      </c>
      <c r="H91" s="291">
        <v>4.9539999999999997</v>
      </c>
      <c r="I91" s="291">
        <v>5.6970000000000001</v>
      </c>
      <c r="J91" s="291">
        <v>5.8279999999999994</v>
      </c>
      <c r="K91" s="291">
        <v>6.4059999999999997</v>
      </c>
      <c r="L91" s="291">
        <v>16.780999999999999</v>
      </c>
    </row>
    <row r="92" spans="1:12" s="2" customFormat="1" ht="13.15">
      <c r="A92" t="s">
        <v>111</v>
      </c>
      <c r="B92" t="s">
        <v>86</v>
      </c>
      <c r="C92" s="2" t="s">
        <v>87</v>
      </c>
      <c r="D92" s="2" t="s">
        <v>85</v>
      </c>
      <c r="E92" s="2" t="s">
        <v>79</v>
      </c>
      <c r="F92" s="291">
        <v>0</v>
      </c>
      <c r="G92" s="291">
        <v>0</v>
      </c>
      <c r="H92" s="291">
        <v>0</v>
      </c>
      <c r="I92" s="291">
        <v>0</v>
      </c>
      <c r="J92" s="291">
        <v>0</v>
      </c>
      <c r="K92" s="291">
        <v>0</v>
      </c>
      <c r="L92" s="291">
        <v>4.1000000000000002E-2</v>
      </c>
    </row>
    <row r="93" spans="1:12" s="2" customFormat="1" ht="13.15">
      <c r="A93" t="s">
        <v>111</v>
      </c>
      <c r="B93" t="s">
        <v>88</v>
      </c>
      <c r="C93" s="2" t="s">
        <v>89</v>
      </c>
      <c r="D93" s="2" t="s">
        <v>85</v>
      </c>
      <c r="E93" s="2" t="s">
        <v>79</v>
      </c>
      <c r="F93" s="291">
        <v>0</v>
      </c>
      <c r="G93" s="291">
        <v>0</v>
      </c>
      <c r="H93" s="291">
        <v>4.9539999999999997</v>
      </c>
      <c r="I93" s="291">
        <v>5.6970000000000001</v>
      </c>
      <c r="J93" s="291">
        <v>5.8279999999999994</v>
      </c>
      <c r="K93" s="291">
        <v>6.4059999999999997</v>
      </c>
      <c r="L93" s="291">
        <v>16.821999999999999</v>
      </c>
    </row>
    <row r="94" spans="1:12" s="2" customFormat="1" ht="13.15">
      <c r="A94" t="s">
        <v>111</v>
      </c>
      <c r="B94" t="s">
        <v>90</v>
      </c>
      <c r="C94" s="2" t="s">
        <v>84</v>
      </c>
      <c r="D94" s="2" t="s">
        <v>85</v>
      </c>
      <c r="E94" s="2" t="s">
        <v>79</v>
      </c>
      <c r="F94" s="291">
        <v>0</v>
      </c>
      <c r="G94" s="291">
        <v>0</v>
      </c>
      <c r="H94" s="292" t="s">
        <v>91</v>
      </c>
      <c r="I94" s="292" t="s">
        <v>91</v>
      </c>
      <c r="J94" s="292" t="s">
        <v>91</v>
      </c>
      <c r="K94" s="292" t="s">
        <v>91</v>
      </c>
      <c r="L94" s="292" t="s">
        <v>91</v>
      </c>
    </row>
    <row r="95" spans="1:12" s="2" customFormat="1" ht="13.15">
      <c r="A95" t="s">
        <v>111</v>
      </c>
      <c r="B95" t="s">
        <v>92</v>
      </c>
      <c r="C95" s="2" t="s">
        <v>87</v>
      </c>
      <c r="D95" s="2" t="s">
        <v>85</v>
      </c>
      <c r="E95" s="2" t="s">
        <v>79</v>
      </c>
      <c r="F95" s="291">
        <v>0</v>
      </c>
      <c r="G95" s="291">
        <v>0</v>
      </c>
      <c r="H95" s="292" t="s">
        <v>91</v>
      </c>
      <c r="I95" s="292" t="s">
        <v>91</v>
      </c>
      <c r="J95" s="292" t="s">
        <v>91</v>
      </c>
      <c r="K95" s="292" t="s">
        <v>91</v>
      </c>
      <c r="L95" s="292" t="s">
        <v>91</v>
      </c>
    </row>
    <row r="96" spans="1:12" s="2" customFormat="1" ht="13.15">
      <c r="A96" t="s">
        <v>111</v>
      </c>
      <c r="B96" t="s">
        <v>93</v>
      </c>
      <c r="C96" s="2" t="s">
        <v>89</v>
      </c>
      <c r="D96" s="2" t="s">
        <v>85</v>
      </c>
      <c r="E96" s="2" t="s">
        <v>79</v>
      </c>
      <c r="F96" s="291">
        <v>0</v>
      </c>
      <c r="G96" s="291">
        <v>0</v>
      </c>
      <c r="H96" s="292" t="s">
        <v>91</v>
      </c>
      <c r="I96" s="292" t="s">
        <v>91</v>
      </c>
      <c r="J96" s="292" t="s">
        <v>91</v>
      </c>
      <c r="K96" s="292" t="s">
        <v>91</v>
      </c>
      <c r="L96" s="292" t="s">
        <v>91</v>
      </c>
    </row>
    <row r="97" spans="1:12" s="2" customFormat="1" ht="13.15">
      <c r="A97" t="s">
        <v>111</v>
      </c>
      <c r="B97" t="s">
        <v>94</v>
      </c>
      <c r="C97" s="2" t="s">
        <v>84</v>
      </c>
      <c r="D97" s="2" t="s">
        <v>85</v>
      </c>
      <c r="E97" s="2" t="s">
        <v>79</v>
      </c>
      <c r="F97" s="291">
        <v>0</v>
      </c>
      <c r="G97" s="291">
        <v>0</v>
      </c>
      <c r="H97" s="291">
        <v>0</v>
      </c>
      <c r="I97" s="291">
        <v>0</v>
      </c>
      <c r="J97" s="291">
        <v>0</v>
      </c>
      <c r="K97" s="291">
        <v>0</v>
      </c>
      <c r="L97" s="291">
        <v>0</v>
      </c>
    </row>
    <row r="98" spans="1:12" s="2" customFormat="1" ht="13.15">
      <c r="A98" t="s">
        <v>111</v>
      </c>
      <c r="B98" t="s">
        <v>95</v>
      </c>
      <c r="C98" s="2" t="s">
        <v>87</v>
      </c>
      <c r="D98" s="2" t="s">
        <v>85</v>
      </c>
      <c r="E98" s="2" t="s">
        <v>79</v>
      </c>
      <c r="F98" s="291">
        <v>0</v>
      </c>
      <c r="G98" s="291">
        <v>0</v>
      </c>
      <c r="H98" s="291">
        <v>0</v>
      </c>
      <c r="I98" s="291">
        <v>0</v>
      </c>
      <c r="J98" s="291">
        <v>0</v>
      </c>
      <c r="K98" s="291">
        <v>0</v>
      </c>
      <c r="L98" s="291">
        <v>0</v>
      </c>
    </row>
    <row r="99" spans="1:12" s="2" customFormat="1" ht="13.15">
      <c r="A99" t="s">
        <v>111</v>
      </c>
      <c r="B99" t="s">
        <v>96</v>
      </c>
      <c r="C99" s="2" t="s">
        <v>89</v>
      </c>
      <c r="D99" s="2" t="s">
        <v>85</v>
      </c>
      <c r="E99" s="2" t="s">
        <v>79</v>
      </c>
      <c r="F99" s="291">
        <v>0</v>
      </c>
      <c r="G99" s="291">
        <v>0</v>
      </c>
      <c r="H99" s="291">
        <v>0</v>
      </c>
      <c r="I99" s="291">
        <v>0</v>
      </c>
      <c r="J99" s="291">
        <v>0</v>
      </c>
      <c r="K99" s="291">
        <v>0</v>
      </c>
      <c r="L99" s="291">
        <v>0</v>
      </c>
    </row>
    <row r="100" spans="1:12" s="2" customFormat="1" ht="13.15">
      <c r="A100" t="s">
        <v>111</v>
      </c>
      <c r="B100" t="s">
        <v>97</v>
      </c>
      <c r="C100" s="2" t="s">
        <v>98</v>
      </c>
      <c r="D100" s="2" t="s">
        <v>99</v>
      </c>
      <c r="E100" s="2" t="s">
        <v>79</v>
      </c>
      <c r="F100" s="293">
        <v>0</v>
      </c>
      <c r="G100" s="293">
        <v>0</v>
      </c>
      <c r="H100" s="293">
        <v>0</v>
      </c>
      <c r="I100" s="293">
        <v>10</v>
      </c>
      <c r="J100" s="293">
        <v>10</v>
      </c>
      <c r="K100" s="293">
        <v>10</v>
      </c>
      <c r="L100" s="293">
        <v>0</v>
      </c>
    </row>
    <row r="101" spans="1:12" s="2" customFormat="1" ht="13.15">
      <c r="A101" t="s">
        <v>111</v>
      </c>
      <c r="B101" t="s">
        <v>100</v>
      </c>
      <c r="C101" s="2" t="s">
        <v>101</v>
      </c>
      <c r="D101" s="2" t="s">
        <v>99</v>
      </c>
      <c r="E101" s="2" t="s">
        <v>79</v>
      </c>
      <c r="F101" s="293">
        <v>0</v>
      </c>
      <c r="G101" s="293">
        <v>0</v>
      </c>
      <c r="H101" s="293">
        <v>0</v>
      </c>
      <c r="I101" s="293">
        <v>20</v>
      </c>
      <c r="J101" s="293">
        <v>30</v>
      </c>
      <c r="K101" s="293">
        <v>30</v>
      </c>
      <c r="L101" s="293">
        <v>18</v>
      </c>
    </row>
    <row r="102" spans="1:12" s="2" customFormat="1" ht="13.15">
      <c r="A102" t="s">
        <v>111</v>
      </c>
      <c r="B102" t="s">
        <v>102</v>
      </c>
      <c r="C102" s="2" t="s">
        <v>98</v>
      </c>
      <c r="D102" s="2" t="s">
        <v>99</v>
      </c>
      <c r="E102" s="2" t="s">
        <v>79</v>
      </c>
      <c r="F102" s="292" t="s">
        <v>91</v>
      </c>
      <c r="G102" s="292" t="s">
        <v>91</v>
      </c>
      <c r="H102" s="292" t="s">
        <v>91</v>
      </c>
      <c r="I102" s="292" t="s">
        <v>91</v>
      </c>
      <c r="J102" s="292" t="s">
        <v>91</v>
      </c>
      <c r="K102" s="292" t="s">
        <v>91</v>
      </c>
      <c r="L102" s="292" t="s">
        <v>91</v>
      </c>
    </row>
    <row r="103" spans="1:12" s="2" customFormat="1" ht="13.15">
      <c r="A103" t="s">
        <v>111</v>
      </c>
      <c r="B103" t="s">
        <v>103</v>
      </c>
      <c r="C103" s="2" t="s">
        <v>101</v>
      </c>
      <c r="D103" s="2" t="s">
        <v>99</v>
      </c>
      <c r="E103" s="2" t="s">
        <v>79</v>
      </c>
      <c r="F103" s="292" t="s">
        <v>91</v>
      </c>
      <c r="G103" s="292" t="s">
        <v>91</v>
      </c>
      <c r="H103" s="292" t="s">
        <v>91</v>
      </c>
      <c r="I103" s="292" t="s">
        <v>91</v>
      </c>
      <c r="J103" s="292" t="s">
        <v>91</v>
      </c>
      <c r="K103" s="292" t="s">
        <v>91</v>
      </c>
      <c r="L103" s="292" t="s">
        <v>91</v>
      </c>
    </row>
    <row r="104" spans="1:12" s="2" customFormat="1" ht="13.15">
      <c r="A104" t="s">
        <v>111</v>
      </c>
      <c r="B104" t="s">
        <v>104</v>
      </c>
      <c r="C104" s="2" t="s">
        <v>105</v>
      </c>
      <c r="D104" s="2" t="s">
        <v>85</v>
      </c>
      <c r="E104" s="2" t="s">
        <v>79</v>
      </c>
      <c r="F104" s="291">
        <v>768.65200000000004</v>
      </c>
      <c r="G104" s="291">
        <v>785.71600000000012</v>
      </c>
      <c r="H104" s="291">
        <v>919.95056665257835</v>
      </c>
      <c r="I104" s="291">
        <v>1259.3054253890721</v>
      </c>
      <c r="J104" s="291">
        <v>1000.932312638522</v>
      </c>
      <c r="K104" s="291">
        <v>1075.9677056653011</v>
      </c>
      <c r="L104" s="291">
        <v>779.11368189552627</v>
      </c>
    </row>
    <row r="105" spans="1:12" s="2" customFormat="1" ht="13.15">
      <c r="A105" t="s">
        <v>112</v>
      </c>
      <c r="B105" t="s">
        <v>83</v>
      </c>
      <c r="C105" s="2" t="s">
        <v>84</v>
      </c>
      <c r="D105" s="2" t="s">
        <v>85</v>
      </c>
      <c r="E105" s="2" t="s">
        <v>79</v>
      </c>
      <c r="F105" s="291">
        <v>0</v>
      </c>
      <c r="G105" s="291">
        <v>0</v>
      </c>
      <c r="H105" s="291">
        <v>4.6950000000000003</v>
      </c>
      <c r="I105" s="291">
        <v>4.7160000000000002</v>
      </c>
      <c r="J105" s="291">
        <v>1.1839999999999999</v>
      </c>
      <c r="K105" s="291">
        <v>0.59499999999999997</v>
      </c>
      <c r="L105" s="291">
        <v>0.59799999999999998</v>
      </c>
    </row>
    <row r="106" spans="1:12" s="2" customFormat="1" ht="13.15">
      <c r="A106" t="s">
        <v>112</v>
      </c>
      <c r="B106" t="s">
        <v>86</v>
      </c>
      <c r="C106" s="2" t="s">
        <v>87</v>
      </c>
      <c r="D106" s="2" t="s">
        <v>85</v>
      </c>
      <c r="E106" s="2" t="s">
        <v>79</v>
      </c>
      <c r="F106" s="291">
        <v>0</v>
      </c>
      <c r="G106" s="291">
        <v>0</v>
      </c>
      <c r="H106" s="291">
        <v>0</v>
      </c>
      <c r="I106" s="291">
        <v>0</v>
      </c>
      <c r="J106" s="291">
        <v>0</v>
      </c>
      <c r="K106" s="291">
        <v>0</v>
      </c>
      <c r="L106" s="291">
        <v>0</v>
      </c>
    </row>
    <row r="107" spans="1:12" s="2" customFormat="1" ht="13.15">
      <c r="A107" t="s">
        <v>112</v>
      </c>
      <c r="B107" t="s">
        <v>88</v>
      </c>
      <c r="C107" s="2" t="s">
        <v>89</v>
      </c>
      <c r="D107" s="2" t="s">
        <v>85</v>
      </c>
      <c r="E107" s="2" t="s">
        <v>79</v>
      </c>
      <c r="F107" s="291">
        <v>0</v>
      </c>
      <c r="G107" s="291">
        <v>0</v>
      </c>
      <c r="H107" s="291">
        <v>4.6950000000000003</v>
      </c>
      <c r="I107" s="291">
        <v>4.7160000000000002</v>
      </c>
      <c r="J107" s="291">
        <v>1.1839999999999999</v>
      </c>
      <c r="K107" s="291">
        <v>0.59499999999999997</v>
      </c>
      <c r="L107" s="291">
        <v>0.59799999999999998</v>
      </c>
    </row>
    <row r="108" spans="1:12" s="2" customFormat="1" ht="13.15">
      <c r="A108" t="s">
        <v>112</v>
      </c>
      <c r="B108" t="s">
        <v>90</v>
      </c>
      <c r="C108" s="2" t="s">
        <v>84</v>
      </c>
      <c r="D108" s="2" t="s">
        <v>85</v>
      </c>
      <c r="E108" s="2" t="s">
        <v>79</v>
      </c>
      <c r="F108" s="291">
        <v>0</v>
      </c>
      <c r="G108" s="291">
        <v>0</v>
      </c>
      <c r="H108" s="292" t="s">
        <v>91</v>
      </c>
      <c r="I108" s="292" t="s">
        <v>91</v>
      </c>
      <c r="J108" s="292" t="s">
        <v>91</v>
      </c>
      <c r="K108" s="292" t="s">
        <v>91</v>
      </c>
      <c r="L108" s="292" t="s">
        <v>91</v>
      </c>
    </row>
    <row r="109" spans="1:12" s="2" customFormat="1" ht="13.15">
      <c r="A109" t="s">
        <v>112</v>
      </c>
      <c r="B109" t="s">
        <v>92</v>
      </c>
      <c r="C109" s="2" t="s">
        <v>87</v>
      </c>
      <c r="D109" s="2" t="s">
        <v>85</v>
      </c>
      <c r="E109" s="2" t="s">
        <v>79</v>
      </c>
      <c r="F109" s="291">
        <v>0</v>
      </c>
      <c r="G109" s="291">
        <v>0</v>
      </c>
      <c r="H109" s="292" t="s">
        <v>91</v>
      </c>
      <c r="I109" s="292" t="s">
        <v>91</v>
      </c>
      <c r="J109" s="292" t="s">
        <v>91</v>
      </c>
      <c r="K109" s="292" t="s">
        <v>91</v>
      </c>
      <c r="L109" s="292" t="s">
        <v>91</v>
      </c>
    </row>
    <row r="110" spans="1:12" s="2" customFormat="1" ht="13.15">
      <c r="A110" t="s">
        <v>112</v>
      </c>
      <c r="B110" t="s">
        <v>93</v>
      </c>
      <c r="C110" s="2" t="s">
        <v>89</v>
      </c>
      <c r="D110" s="2" t="s">
        <v>85</v>
      </c>
      <c r="E110" s="2" t="s">
        <v>79</v>
      </c>
      <c r="F110" s="291">
        <v>0</v>
      </c>
      <c r="G110" s="291">
        <v>0</v>
      </c>
      <c r="H110" s="292" t="s">
        <v>91</v>
      </c>
      <c r="I110" s="292" t="s">
        <v>91</v>
      </c>
      <c r="J110" s="292" t="s">
        <v>91</v>
      </c>
      <c r="K110" s="292" t="s">
        <v>91</v>
      </c>
      <c r="L110" s="292" t="s">
        <v>91</v>
      </c>
    </row>
    <row r="111" spans="1:12" s="2" customFormat="1" ht="13.15">
      <c r="A111" t="s">
        <v>112</v>
      </c>
      <c r="B111" t="s">
        <v>94</v>
      </c>
      <c r="C111" s="2" t="s">
        <v>84</v>
      </c>
      <c r="D111" s="2" t="s">
        <v>85</v>
      </c>
      <c r="E111" s="2" t="s">
        <v>79</v>
      </c>
      <c r="F111" s="291">
        <v>0</v>
      </c>
      <c r="G111" s="291">
        <v>0</v>
      </c>
      <c r="H111" s="291">
        <v>0</v>
      </c>
      <c r="I111" s="291">
        <v>0</v>
      </c>
      <c r="J111" s="291">
        <v>0</v>
      </c>
      <c r="K111" s="291">
        <v>0</v>
      </c>
      <c r="L111" s="291">
        <v>0</v>
      </c>
    </row>
    <row r="112" spans="1:12" s="2" customFormat="1" ht="13.15">
      <c r="A112" t="s">
        <v>112</v>
      </c>
      <c r="B112" t="s">
        <v>95</v>
      </c>
      <c r="C112" s="2" t="s">
        <v>87</v>
      </c>
      <c r="D112" s="2" t="s">
        <v>85</v>
      </c>
      <c r="E112" s="2" t="s">
        <v>79</v>
      </c>
      <c r="F112" s="291">
        <v>0</v>
      </c>
      <c r="G112" s="291">
        <v>0</v>
      </c>
      <c r="H112" s="291">
        <v>0</v>
      </c>
      <c r="I112" s="291">
        <v>0</v>
      </c>
      <c r="J112" s="291">
        <v>0</v>
      </c>
      <c r="K112" s="291">
        <v>0</v>
      </c>
      <c r="L112" s="291">
        <v>0</v>
      </c>
    </row>
    <row r="113" spans="1:12" s="2" customFormat="1" ht="13.15">
      <c r="A113" t="s">
        <v>112</v>
      </c>
      <c r="B113" t="s">
        <v>96</v>
      </c>
      <c r="C113" s="2" t="s">
        <v>89</v>
      </c>
      <c r="D113" s="2" t="s">
        <v>85</v>
      </c>
      <c r="E113" s="2" t="s">
        <v>79</v>
      </c>
      <c r="F113" s="291">
        <v>0</v>
      </c>
      <c r="G113" s="291">
        <v>0</v>
      </c>
      <c r="H113" s="291">
        <v>0</v>
      </c>
      <c r="I113" s="291">
        <v>0</v>
      </c>
      <c r="J113" s="291">
        <v>0</v>
      </c>
      <c r="K113" s="291">
        <v>0</v>
      </c>
      <c r="L113" s="291">
        <v>0</v>
      </c>
    </row>
    <row r="114" spans="1:12" s="2" customFormat="1" ht="13.15">
      <c r="A114" t="s">
        <v>112</v>
      </c>
      <c r="B114" t="s">
        <v>97</v>
      </c>
      <c r="C114" s="2" t="s">
        <v>98</v>
      </c>
      <c r="D114" s="2" t="s">
        <v>99</v>
      </c>
      <c r="E114" s="2" t="s">
        <v>79</v>
      </c>
      <c r="F114" s="293">
        <v>0</v>
      </c>
      <c r="G114" s="293">
        <v>0</v>
      </c>
      <c r="H114" s="293">
        <v>0</v>
      </c>
      <c r="I114" s="293">
        <v>0</v>
      </c>
      <c r="J114" s="293">
        <v>0</v>
      </c>
      <c r="K114" s="293">
        <v>0</v>
      </c>
      <c r="L114" s="293">
        <v>74</v>
      </c>
    </row>
    <row r="115" spans="1:12" s="2" customFormat="1" ht="13.15">
      <c r="A115" t="s">
        <v>112</v>
      </c>
      <c r="B115" t="s">
        <v>100</v>
      </c>
      <c r="C115" s="2" t="s">
        <v>101</v>
      </c>
      <c r="D115" s="2" t="s">
        <v>99</v>
      </c>
      <c r="E115" s="2" t="s">
        <v>79</v>
      </c>
      <c r="F115" s="293">
        <v>0</v>
      </c>
      <c r="G115" s="293">
        <v>0</v>
      </c>
      <c r="H115" s="293">
        <v>0</v>
      </c>
      <c r="I115" s="293">
        <v>232</v>
      </c>
      <c r="J115" s="293">
        <v>0</v>
      </c>
      <c r="K115" s="293">
        <v>0</v>
      </c>
      <c r="L115" s="293">
        <v>65</v>
      </c>
    </row>
    <row r="116" spans="1:12" s="2" customFormat="1" ht="13.15">
      <c r="A116" t="s">
        <v>112</v>
      </c>
      <c r="B116" t="s">
        <v>102</v>
      </c>
      <c r="C116" s="2" t="s">
        <v>98</v>
      </c>
      <c r="D116" s="2" t="s">
        <v>99</v>
      </c>
      <c r="E116" s="2" t="s">
        <v>79</v>
      </c>
      <c r="F116" s="292" t="s">
        <v>91</v>
      </c>
      <c r="G116" s="292" t="s">
        <v>91</v>
      </c>
      <c r="H116" s="292" t="s">
        <v>91</v>
      </c>
      <c r="I116" s="292" t="s">
        <v>91</v>
      </c>
      <c r="J116" s="292" t="s">
        <v>91</v>
      </c>
      <c r="K116" s="292" t="s">
        <v>91</v>
      </c>
      <c r="L116" s="292" t="s">
        <v>91</v>
      </c>
    </row>
    <row r="117" spans="1:12" s="2" customFormat="1" ht="13.15">
      <c r="A117" t="s">
        <v>112</v>
      </c>
      <c r="B117" t="s">
        <v>103</v>
      </c>
      <c r="C117" s="2" t="s">
        <v>101</v>
      </c>
      <c r="D117" s="2" t="s">
        <v>99</v>
      </c>
      <c r="E117" s="2" t="s">
        <v>79</v>
      </c>
      <c r="F117" s="292" t="s">
        <v>91</v>
      </c>
      <c r="G117" s="292" t="s">
        <v>91</v>
      </c>
      <c r="H117" s="292" t="s">
        <v>91</v>
      </c>
      <c r="I117" s="292" t="s">
        <v>91</v>
      </c>
      <c r="J117" s="292" t="s">
        <v>91</v>
      </c>
      <c r="K117" s="292" t="s">
        <v>91</v>
      </c>
      <c r="L117" s="292" t="s">
        <v>91</v>
      </c>
    </row>
    <row r="118" spans="1:12" s="2" customFormat="1" ht="13.15">
      <c r="A118" t="s">
        <v>112</v>
      </c>
      <c r="B118" t="s">
        <v>104</v>
      </c>
      <c r="C118" s="2" t="s">
        <v>105</v>
      </c>
      <c r="D118" s="2" t="s">
        <v>85</v>
      </c>
      <c r="E118" s="2" t="s">
        <v>79</v>
      </c>
      <c r="F118" s="291">
        <v>1425.7782618595811</v>
      </c>
      <c r="G118" s="291">
        <v>1440.7370000000001</v>
      </c>
      <c r="H118" s="291">
        <v>2156.088348550431</v>
      </c>
      <c r="I118" s="291">
        <v>2269.5018217217062</v>
      </c>
      <c r="J118" s="291">
        <v>2162.2729400750991</v>
      </c>
      <c r="K118" s="291">
        <v>2632.1222877084529</v>
      </c>
      <c r="L118" s="291">
        <v>3555.488399766793</v>
      </c>
    </row>
    <row r="119" spans="1:12" s="2" customFormat="1" ht="13.15">
      <c r="A119" t="s">
        <v>113</v>
      </c>
      <c r="B119" t="s">
        <v>83</v>
      </c>
      <c r="C119" s="2" t="s">
        <v>84</v>
      </c>
      <c r="D119" s="2" t="s">
        <v>85</v>
      </c>
      <c r="E119" s="2" t="s">
        <v>79</v>
      </c>
      <c r="F119" s="291">
        <v>0</v>
      </c>
      <c r="G119" s="291">
        <v>0</v>
      </c>
      <c r="H119" s="291">
        <v>1.6461148382606829</v>
      </c>
      <c r="I119" s="291">
        <v>1.675691521730561</v>
      </c>
      <c r="J119" s="291">
        <v>1.6539984130945491</v>
      </c>
      <c r="K119" s="291">
        <v>8.6805518033848337</v>
      </c>
      <c r="L119" s="291">
        <v>13.637641680326199</v>
      </c>
    </row>
    <row r="120" spans="1:12" s="2" customFormat="1" ht="13.15">
      <c r="A120" t="s">
        <v>113</v>
      </c>
      <c r="B120" t="s">
        <v>86</v>
      </c>
      <c r="C120" s="2" t="s">
        <v>87</v>
      </c>
      <c r="D120" s="2" t="s">
        <v>85</v>
      </c>
      <c r="E120" s="2" t="s">
        <v>79</v>
      </c>
      <c r="F120" s="291">
        <v>0</v>
      </c>
      <c r="G120" s="291">
        <v>0</v>
      </c>
      <c r="H120" s="291">
        <v>0</v>
      </c>
      <c r="I120" s="291">
        <v>0</v>
      </c>
      <c r="J120" s="291">
        <v>0</v>
      </c>
      <c r="K120" s="291">
        <v>0</v>
      </c>
      <c r="L120" s="291">
        <v>0</v>
      </c>
    </row>
    <row r="121" spans="1:12" s="2" customFormat="1" ht="13.15">
      <c r="A121" t="s">
        <v>113</v>
      </c>
      <c r="B121" t="s">
        <v>88</v>
      </c>
      <c r="C121" s="2" t="s">
        <v>89</v>
      </c>
      <c r="D121" s="2" t="s">
        <v>85</v>
      </c>
      <c r="E121" s="2" t="s">
        <v>79</v>
      </c>
      <c r="F121" s="291">
        <v>0</v>
      </c>
      <c r="G121" s="291">
        <v>0</v>
      </c>
      <c r="H121" s="291">
        <v>1.6461148382606829</v>
      </c>
      <c r="I121" s="291">
        <v>1.675691521730561</v>
      </c>
      <c r="J121" s="291">
        <v>1.6539984130945491</v>
      </c>
      <c r="K121" s="291">
        <v>8.6805518033848337</v>
      </c>
      <c r="L121" s="291">
        <v>13.637641680326199</v>
      </c>
    </row>
    <row r="122" spans="1:12" s="2" customFormat="1" ht="13.15">
      <c r="A122" t="s">
        <v>113</v>
      </c>
      <c r="B122" t="s">
        <v>90</v>
      </c>
      <c r="C122" s="2" t="s">
        <v>84</v>
      </c>
      <c r="D122" s="2" t="s">
        <v>85</v>
      </c>
      <c r="E122" s="2" t="s">
        <v>79</v>
      </c>
      <c r="F122" s="291">
        <v>0</v>
      </c>
      <c r="G122" s="291">
        <v>0</v>
      </c>
      <c r="H122" s="292" t="s">
        <v>91</v>
      </c>
      <c r="I122" s="292" t="s">
        <v>91</v>
      </c>
      <c r="J122" s="292" t="s">
        <v>91</v>
      </c>
      <c r="K122" s="292" t="s">
        <v>91</v>
      </c>
      <c r="L122" s="292" t="s">
        <v>91</v>
      </c>
    </row>
    <row r="123" spans="1:12" s="2" customFormat="1" ht="13.15">
      <c r="A123" t="s">
        <v>113</v>
      </c>
      <c r="B123" t="s">
        <v>92</v>
      </c>
      <c r="C123" s="2" t="s">
        <v>87</v>
      </c>
      <c r="D123" s="2" t="s">
        <v>85</v>
      </c>
      <c r="E123" s="2" t="s">
        <v>79</v>
      </c>
      <c r="F123" s="291">
        <v>0</v>
      </c>
      <c r="G123" s="291">
        <v>0</v>
      </c>
      <c r="H123" s="292" t="s">
        <v>91</v>
      </c>
      <c r="I123" s="292" t="s">
        <v>91</v>
      </c>
      <c r="J123" s="292" t="s">
        <v>91</v>
      </c>
      <c r="K123" s="292" t="s">
        <v>91</v>
      </c>
      <c r="L123" s="292" t="s">
        <v>91</v>
      </c>
    </row>
    <row r="124" spans="1:12" s="2" customFormat="1" ht="13.15">
      <c r="A124" t="s">
        <v>113</v>
      </c>
      <c r="B124" t="s">
        <v>93</v>
      </c>
      <c r="C124" s="2" t="s">
        <v>89</v>
      </c>
      <c r="D124" s="2" t="s">
        <v>85</v>
      </c>
      <c r="E124" s="2" t="s">
        <v>79</v>
      </c>
      <c r="F124" s="291">
        <v>0</v>
      </c>
      <c r="G124" s="291">
        <v>0</v>
      </c>
      <c r="H124" s="292" t="s">
        <v>91</v>
      </c>
      <c r="I124" s="292" t="s">
        <v>91</v>
      </c>
      <c r="J124" s="292" t="s">
        <v>91</v>
      </c>
      <c r="K124" s="292" t="s">
        <v>91</v>
      </c>
      <c r="L124" s="292" t="s">
        <v>91</v>
      </c>
    </row>
    <row r="125" spans="1:12" s="2" customFormat="1" ht="13.15">
      <c r="A125" t="s">
        <v>113</v>
      </c>
      <c r="B125" t="s">
        <v>94</v>
      </c>
      <c r="C125" s="2" t="s">
        <v>84</v>
      </c>
      <c r="D125" s="2" t="s">
        <v>85</v>
      </c>
      <c r="E125" s="2" t="s">
        <v>79</v>
      </c>
      <c r="F125" s="291">
        <v>0</v>
      </c>
      <c r="G125" s="291">
        <v>0</v>
      </c>
      <c r="H125" s="291">
        <v>0</v>
      </c>
      <c r="I125" s="291">
        <v>0</v>
      </c>
      <c r="J125" s="291">
        <v>0</v>
      </c>
      <c r="K125" s="291">
        <v>0</v>
      </c>
      <c r="L125" s="291">
        <v>0</v>
      </c>
    </row>
    <row r="126" spans="1:12" s="2" customFormat="1" ht="13.15">
      <c r="A126" t="s">
        <v>113</v>
      </c>
      <c r="B126" t="s">
        <v>95</v>
      </c>
      <c r="C126" s="2" t="s">
        <v>87</v>
      </c>
      <c r="D126" s="2" t="s">
        <v>85</v>
      </c>
      <c r="E126" s="2" t="s">
        <v>79</v>
      </c>
      <c r="F126" s="291">
        <v>0</v>
      </c>
      <c r="G126" s="291">
        <v>0</v>
      </c>
      <c r="H126" s="291">
        <v>0</v>
      </c>
      <c r="I126" s="291">
        <v>0</v>
      </c>
      <c r="J126" s="291">
        <v>0</v>
      </c>
      <c r="K126" s="291">
        <v>0</v>
      </c>
      <c r="L126" s="291">
        <v>0</v>
      </c>
    </row>
    <row r="127" spans="1:12" s="2" customFormat="1" ht="13.15">
      <c r="A127" t="s">
        <v>113</v>
      </c>
      <c r="B127" t="s">
        <v>96</v>
      </c>
      <c r="C127" s="2" t="s">
        <v>89</v>
      </c>
      <c r="D127" s="2" t="s">
        <v>85</v>
      </c>
      <c r="E127" s="2" t="s">
        <v>79</v>
      </c>
      <c r="F127" s="291">
        <v>0</v>
      </c>
      <c r="G127" s="291">
        <v>0</v>
      </c>
      <c r="H127" s="291">
        <v>0</v>
      </c>
      <c r="I127" s="291">
        <v>0</v>
      </c>
      <c r="J127" s="291">
        <v>0</v>
      </c>
      <c r="K127" s="291">
        <v>0</v>
      </c>
      <c r="L127" s="291">
        <v>0</v>
      </c>
    </row>
    <row r="128" spans="1:12" s="2" customFormat="1" ht="13.15">
      <c r="A128" t="s">
        <v>113</v>
      </c>
      <c r="B128" t="s">
        <v>97</v>
      </c>
      <c r="C128" s="2" t="s">
        <v>98</v>
      </c>
      <c r="D128" s="2" t="s">
        <v>99</v>
      </c>
      <c r="E128" s="2" t="s">
        <v>79</v>
      </c>
      <c r="F128" s="293">
        <v>0</v>
      </c>
      <c r="G128" s="293">
        <v>0</v>
      </c>
      <c r="H128" s="293">
        <v>0</v>
      </c>
      <c r="I128" s="293">
        <v>0</v>
      </c>
      <c r="J128" s="293">
        <v>0</v>
      </c>
      <c r="K128" s="293">
        <v>0</v>
      </c>
      <c r="L128" s="293">
        <v>237</v>
      </c>
    </row>
    <row r="129" spans="1:12" s="2" customFormat="1" ht="13.15">
      <c r="A129" t="s">
        <v>113</v>
      </c>
      <c r="B129" t="s">
        <v>100</v>
      </c>
      <c r="C129" s="2" t="s">
        <v>101</v>
      </c>
      <c r="D129" s="2" t="s">
        <v>99</v>
      </c>
      <c r="E129" s="2" t="s">
        <v>79</v>
      </c>
      <c r="F129" s="293">
        <v>0</v>
      </c>
      <c r="G129" s="293">
        <v>0</v>
      </c>
      <c r="H129" s="293">
        <v>0</v>
      </c>
      <c r="I129" s="293">
        <v>0</v>
      </c>
      <c r="J129" s="293">
        <v>0</v>
      </c>
      <c r="K129" s="293">
        <v>0</v>
      </c>
      <c r="L129" s="293">
        <v>90</v>
      </c>
    </row>
    <row r="130" spans="1:12" s="2" customFormat="1" ht="13.15">
      <c r="A130" t="s">
        <v>113</v>
      </c>
      <c r="B130" t="s">
        <v>102</v>
      </c>
      <c r="C130" s="2" t="s">
        <v>98</v>
      </c>
      <c r="D130" s="2" t="s">
        <v>99</v>
      </c>
      <c r="E130" s="2" t="s">
        <v>79</v>
      </c>
      <c r="F130" s="293">
        <v>0</v>
      </c>
      <c r="G130" s="293">
        <v>0</v>
      </c>
      <c r="H130" s="292" t="s">
        <v>91</v>
      </c>
      <c r="I130" s="292" t="s">
        <v>91</v>
      </c>
      <c r="J130" s="292" t="s">
        <v>91</v>
      </c>
      <c r="K130" s="292" t="s">
        <v>91</v>
      </c>
      <c r="L130" s="292" t="s">
        <v>91</v>
      </c>
    </row>
    <row r="131" spans="1:12" s="2" customFormat="1" ht="13.15">
      <c r="A131" t="s">
        <v>113</v>
      </c>
      <c r="B131" t="s">
        <v>103</v>
      </c>
      <c r="C131" s="2" t="s">
        <v>101</v>
      </c>
      <c r="D131" s="2" t="s">
        <v>99</v>
      </c>
      <c r="E131" s="2" t="s">
        <v>79</v>
      </c>
      <c r="F131" s="293">
        <v>0</v>
      </c>
      <c r="G131" s="293">
        <v>0</v>
      </c>
      <c r="H131" s="292" t="s">
        <v>91</v>
      </c>
      <c r="I131" s="292" t="s">
        <v>91</v>
      </c>
      <c r="J131" s="292" t="s">
        <v>91</v>
      </c>
      <c r="K131" s="292" t="s">
        <v>91</v>
      </c>
      <c r="L131" s="292" t="s">
        <v>91</v>
      </c>
    </row>
    <row r="132" spans="1:12" s="2" customFormat="1" ht="13.15">
      <c r="A132" t="s">
        <v>113</v>
      </c>
      <c r="B132" t="s">
        <v>104</v>
      </c>
      <c r="C132" s="2" t="s">
        <v>105</v>
      </c>
      <c r="D132" s="2" t="s">
        <v>85</v>
      </c>
      <c r="E132" s="2" t="s">
        <v>79</v>
      </c>
      <c r="F132" s="291">
        <v>887.4940110413653</v>
      </c>
      <c r="G132" s="291">
        <v>1120.5426626367141</v>
      </c>
      <c r="H132" s="291">
        <v>1569.795902040561</v>
      </c>
      <c r="I132" s="291">
        <v>1881.302270640045</v>
      </c>
      <c r="J132" s="291">
        <v>2189.086577264356</v>
      </c>
      <c r="K132" s="291">
        <v>1888.0217791000509</v>
      </c>
      <c r="L132" s="291">
        <v>1139.8668159399281</v>
      </c>
    </row>
    <row r="133" spans="1:12" s="2" customFormat="1" ht="13.15">
      <c r="A133" t="s">
        <v>114</v>
      </c>
      <c r="B133" t="s">
        <v>83</v>
      </c>
      <c r="C133" s="2" t="s">
        <v>84</v>
      </c>
      <c r="D133" s="2" t="s">
        <v>85</v>
      </c>
      <c r="E133" s="2" t="s">
        <v>79</v>
      </c>
      <c r="F133" s="291">
        <v>0</v>
      </c>
      <c r="G133" s="291">
        <v>0</v>
      </c>
      <c r="H133" s="291">
        <v>1.788362</v>
      </c>
      <c r="I133" s="291">
        <v>1.7973030000000001</v>
      </c>
      <c r="J133" s="291">
        <v>2.2578619999999998</v>
      </c>
      <c r="K133" s="291">
        <v>2.2691520000000001</v>
      </c>
      <c r="L133" s="291">
        <v>2.335229</v>
      </c>
    </row>
    <row r="134" spans="1:12" s="2" customFormat="1" ht="13.15">
      <c r="A134" t="s">
        <v>114</v>
      </c>
      <c r="B134" t="s">
        <v>86</v>
      </c>
      <c r="C134" s="2" t="s">
        <v>87</v>
      </c>
      <c r="D134" s="2" t="s">
        <v>85</v>
      </c>
      <c r="E134" s="2" t="s">
        <v>79</v>
      </c>
      <c r="F134" s="291">
        <v>0</v>
      </c>
      <c r="G134" s="291">
        <v>0</v>
      </c>
      <c r="H134" s="291">
        <v>0</v>
      </c>
      <c r="I134" s="291">
        <v>6.1209000000000013E-2</v>
      </c>
      <c r="J134" s="291">
        <v>8.4915000000000004E-2</v>
      </c>
      <c r="K134" s="291">
        <v>8.5338999999999998E-2</v>
      </c>
      <c r="L134" s="291">
        <v>6.661700000000001E-2</v>
      </c>
    </row>
    <row r="135" spans="1:12" s="2" customFormat="1" ht="13.15">
      <c r="A135" t="s">
        <v>114</v>
      </c>
      <c r="B135" t="s">
        <v>88</v>
      </c>
      <c r="C135" s="2" t="s">
        <v>89</v>
      </c>
      <c r="D135" s="2" t="s">
        <v>85</v>
      </c>
      <c r="E135" s="2" t="s">
        <v>79</v>
      </c>
      <c r="F135" s="291">
        <v>0</v>
      </c>
      <c r="G135" s="291">
        <v>0</v>
      </c>
      <c r="H135" s="291">
        <v>1.788362</v>
      </c>
      <c r="I135" s="291">
        <v>1.8585119999999999</v>
      </c>
      <c r="J135" s="291">
        <v>2.3427769999999999</v>
      </c>
      <c r="K135" s="291">
        <v>2.3544909999999999</v>
      </c>
      <c r="L135" s="291">
        <v>2.4018459999999999</v>
      </c>
    </row>
    <row r="136" spans="1:12" s="2" customFormat="1" ht="13.15">
      <c r="A136" t="s">
        <v>114</v>
      </c>
      <c r="B136" t="s">
        <v>90</v>
      </c>
      <c r="C136" s="2" t="s">
        <v>84</v>
      </c>
      <c r="D136" s="2" t="s">
        <v>85</v>
      </c>
      <c r="E136" s="2" t="s">
        <v>79</v>
      </c>
      <c r="F136" s="291">
        <v>0</v>
      </c>
      <c r="G136" s="291">
        <v>0</v>
      </c>
      <c r="H136" s="292" t="s">
        <v>91</v>
      </c>
      <c r="I136" s="292" t="s">
        <v>91</v>
      </c>
      <c r="J136" s="292" t="s">
        <v>91</v>
      </c>
      <c r="K136" s="292" t="s">
        <v>91</v>
      </c>
      <c r="L136" s="292" t="s">
        <v>91</v>
      </c>
    </row>
    <row r="137" spans="1:12" s="2" customFormat="1" ht="13.15">
      <c r="A137" t="s">
        <v>114</v>
      </c>
      <c r="B137" t="s">
        <v>92</v>
      </c>
      <c r="C137" s="2" t="s">
        <v>87</v>
      </c>
      <c r="D137" s="2" t="s">
        <v>85</v>
      </c>
      <c r="E137" s="2" t="s">
        <v>79</v>
      </c>
      <c r="F137" s="291">
        <v>0</v>
      </c>
      <c r="G137" s="291">
        <v>0</v>
      </c>
      <c r="H137" s="292" t="s">
        <v>91</v>
      </c>
      <c r="I137" s="292" t="s">
        <v>91</v>
      </c>
      <c r="J137" s="292" t="s">
        <v>91</v>
      </c>
      <c r="K137" s="292" t="s">
        <v>91</v>
      </c>
      <c r="L137" s="292" t="s">
        <v>91</v>
      </c>
    </row>
    <row r="138" spans="1:12" s="2" customFormat="1" ht="13.15">
      <c r="A138" t="s">
        <v>114</v>
      </c>
      <c r="B138" t="s">
        <v>93</v>
      </c>
      <c r="C138" s="2" t="s">
        <v>89</v>
      </c>
      <c r="D138" s="2" t="s">
        <v>85</v>
      </c>
      <c r="E138" s="2" t="s">
        <v>79</v>
      </c>
      <c r="F138" s="291">
        <v>0</v>
      </c>
      <c r="G138" s="291">
        <v>0</v>
      </c>
      <c r="H138" s="292" t="s">
        <v>91</v>
      </c>
      <c r="I138" s="292" t="s">
        <v>91</v>
      </c>
      <c r="J138" s="292" t="s">
        <v>91</v>
      </c>
      <c r="K138" s="292" t="s">
        <v>91</v>
      </c>
      <c r="L138" s="292" t="s">
        <v>91</v>
      </c>
    </row>
    <row r="139" spans="1:12" s="2" customFormat="1" ht="13.15">
      <c r="A139" t="s">
        <v>114</v>
      </c>
      <c r="B139" t="s">
        <v>94</v>
      </c>
      <c r="C139" s="2" t="s">
        <v>84</v>
      </c>
      <c r="D139" s="2" t="s">
        <v>85</v>
      </c>
      <c r="E139" s="2" t="s">
        <v>79</v>
      </c>
      <c r="F139" s="291">
        <v>0</v>
      </c>
      <c r="G139" s="291">
        <v>0</v>
      </c>
      <c r="H139" s="291">
        <v>0</v>
      </c>
      <c r="I139" s="291">
        <v>0</v>
      </c>
      <c r="J139" s="291">
        <v>0</v>
      </c>
      <c r="K139" s="291">
        <v>0</v>
      </c>
      <c r="L139" s="291">
        <v>0</v>
      </c>
    </row>
    <row r="140" spans="1:12" s="2" customFormat="1" ht="13.15">
      <c r="A140" t="s">
        <v>114</v>
      </c>
      <c r="B140" t="s">
        <v>95</v>
      </c>
      <c r="C140" s="2" t="s">
        <v>87</v>
      </c>
      <c r="D140" s="2" t="s">
        <v>85</v>
      </c>
      <c r="E140" s="2" t="s">
        <v>79</v>
      </c>
      <c r="F140" s="291">
        <v>0</v>
      </c>
      <c r="G140" s="291">
        <v>0</v>
      </c>
      <c r="H140" s="291">
        <v>0</v>
      </c>
      <c r="I140" s="291">
        <v>0</v>
      </c>
      <c r="J140" s="291">
        <v>0</v>
      </c>
      <c r="K140" s="291">
        <v>0</v>
      </c>
      <c r="L140" s="291">
        <v>0</v>
      </c>
    </row>
    <row r="141" spans="1:12" s="2" customFormat="1" ht="13.15">
      <c r="A141" t="s">
        <v>114</v>
      </c>
      <c r="B141" t="s">
        <v>96</v>
      </c>
      <c r="C141" s="2" t="s">
        <v>89</v>
      </c>
      <c r="D141" s="2" t="s">
        <v>85</v>
      </c>
      <c r="E141" s="2" t="s">
        <v>79</v>
      </c>
      <c r="F141" s="291">
        <v>0</v>
      </c>
      <c r="G141" s="291">
        <v>0</v>
      </c>
      <c r="H141" s="291">
        <v>0</v>
      </c>
      <c r="I141" s="291">
        <v>0</v>
      </c>
      <c r="J141" s="291">
        <v>0</v>
      </c>
      <c r="K141" s="291">
        <v>0</v>
      </c>
      <c r="L141" s="291">
        <v>0</v>
      </c>
    </row>
    <row r="142" spans="1:12" s="2" customFormat="1" ht="13.15">
      <c r="A142" t="s">
        <v>114</v>
      </c>
      <c r="B142" t="s">
        <v>97</v>
      </c>
      <c r="C142" s="2" t="s">
        <v>98</v>
      </c>
      <c r="D142" s="2" t="s">
        <v>99</v>
      </c>
      <c r="E142" s="2" t="s">
        <v>79</v>
      </c>
      <c r="F142" s="293">
        <v>0</v>
      </c>
      <c r="G142" s="293">
        <v>0</v>
      </c>
      <c r="H142" s="293">
        <v>0</v>
      </c>
      <c r="I142" s="293">
        <v>5</v>
      </c>
      <c r="J142" s="293">
        <v>15</v>
      </c>
      <c r="K142" s="293">
        <v>15</v>
      </c>
      <c r="L142" s="293">
        <v>14</v>
      </c>
    </row>
    <row r="143" spans="1:12" s="2" customFormat="1" ht="13.15">
      <c r="A143" t="s">
        <v>114</v>
      </c>
      <c r="B143" t="s">
        <v>100</v>
      </c>
      <c r="C143" s="2" t="s">
        <v>101</v>
      </c>
      <c r="D143" s="2" t="s">
        <v>99</v>
      </c>
      <c r="E143" s="2" t="s">
        <v>79</v>
      </c>
      <c r="F143" s="293">
        <v>0</v>
      </c>
      <c r="G143" s="293">
        <v>0</v>
      </c>
      <c r="H143" s="293">
        <v>0</v>
      </c>
      <c r="I143" s="293">
        <v>10</v>
      </c>
      <c r="J143" s="293">
        <v>31</v>
      </c>
      <c r="K143" s="293">
        <v>31</v>
      </c>
      <c r="L143" s="293">
        <v>30</v>
      </c>
    </row>
    <row r="144" spans="1:12" s="2" customFormat="1" ht="13.15">
      <c r="A144" t="s">
        <v>114</v>
      </c>
      <c r="B144" t="s">
        <v>102</v>
      </c>
      <c r="C144" s="2" t="s">
        <v>98</v>
      </c>
      <c r="D144" s="2" t="s">
        <v>99</v>
      </c>
      <c r="E144" s="2" t="s">
        <v>79</v>
      </c>
      <c r="F144" s="292" t="s">
        <v>91</v>
      </c>
      <c r="G144" s="292" t="s">
        <v>91</v>
      </c>
      <c r="H144" s="292" t="s">
        <v>91</v>
      </c>
      <c r="I144" s="292" t="s">
        <v>91</v>
      </c>
      <c r="J144" s="292" t="s">
        <v>91</v>
      </c>
      <c r="K144" s="292" t="s">
        <v>91</v>
      </c>
      <c r="L144" s="292" t="s">
        <v>91</v>
      </c>
    </row>
    <row r="145" spans="1:12" s="2" customFormat="1" ht="13.15">
      <c r="A145" t="s">
        <v>114</v>
      </c>
      <c r="B145" t="s">
        <v>103</v>
      </c>
      <c r="C145" s="2" t="s">
        <v>101</v>
      </c>
      <c r="D145" s="2" t="s">
        <v>99</v>
      </c>
      <c r="E145" s="2" t="s">
        <v>79</v>
      </c>
      <c r="F145" s="292" t="s">
        <v>91</v>
      </c>
      <c r="G145" s="292" t="s">
        <v>91</v>
      </c>
      <c r="H145" s="292" t="s">
        <v>91</v>
      </c>
      <c r="I145" s="292" t="s">
        <v>91</v>
      </c>
      <c r="J145" s="292" t="s">
        <v>91</v>
      </c>
      <c r="K145" s="292" t="s">
        <v>91</v>
      </c>
      <c r="L145" s="292" t="s">
        <v>91</v>
      </c>
    </row>
    <row r="146" spans="1:12" s="2" customFormat="1" ht="13.15">
      <c r="A146" t="s">
        <v>114</v>
      </c>
      <c r="B146" t="s">
        <v>104</v>
      </c>
      <c r="C146" s="2" t="s">
        <v>105</v>
      </c>
      <c r="D146" s="2" t="s">
        <v>85</v>
      </c>
      <c r="E146" s="2" t="s">
        <v>79</v>
      </c>
      <c r="F146" s="291">
        <v>425.01453217148838</v>
      </c>
      <c r="G146" s="291">
        <v>477.18136481827088</v>
      </c>
      <c r="H146" s="291">
        <v>526.33093822919</v>
      </c>
      <c r="I146" s="291">
        <v>558.80413455846633</v>
      </c>
      <c r="J146" s="291">
        <v>575.36301598312627</v>
      </c>
      <c r="K146" s="291">
        <v>837.08372922394676</v>
      </c>
      <c r="L146" s="291">
        <v>1152.392571151533</v>
      </c>
    </row>
    <row r="147" spans="1:12" s="2" customFormat="1" ht="13.15">
      <c r="A147" t="s">
        <v>115</v>
      </c>
      <c r="B147" t="s">
        <v>83</v>
      </c>
      <c r="C147" s="2" t="s">
        <v>84</v>
      </c>
      <c r="D147" s="2" t="s">
        <v>85</v>
      </c>
      <c r="E147" s="2" t="s">
        <v>79</v>
      </c>
      <c r="F147" s="291">
        <v>0</v>
      </c>
      <c r="G147" s="291">
        <v>0</v>
      </c>
      <c r="H147" s="291">
        <v>3.3398272000000002</v>
      </c>
      <c r="I147" s="291">
        <v>4.5006848000000002</v>
      </c>
      <c r="J147" s="291">
        <v>4.6917119999999999</v>
      </c>
      <c r="K147" s="291">
        <v>3.9286528000000001</v>
      </c>
      <c r="L147" s="291">
        <v>2.4865024</v>
      </c>
    </row>
    <row r="148" spans="1:12" s="2" customFormat="1" ht="13.15">
      <c r="A148" t="s">
        <v>115</v>
      </c>
      <c r="B148" t="s">
        <v>86</v>
      </c>
      <c r="C148" s="2" t="s">
        <v>87</v>
      </c>
      <c r="D148" s="2" t="s">
        <v>85</v>
      </c>
      <c r="E148" s="2" t="s">
        <v>79</v>
      </c>
      <c r="F148" s="291">
        <v>0</v>
      </c>
      <c r="G148" s="291">
        <v>0</v>
      </c>
      <c r="H148" s="291">
        <v>0</v>
      </c>
      <c r="I148" s="291">
        <v>0</v>
      </c>
      <c r="J148" s="291">
        <v>0</v>
      </c>
      <c r="K148" s="291">
        <v>0</v>
      </c>
      <c r="L148" s="291">
        <v>0.18158079999999999</v>
      </c>
    </row>
    <row r="149" spans="1:12" s="2" customFormat="1" ht="13.15">
      <c r="A149" t="s">
        <v>115</v>
      </c>
      <c r="B149" t="s">
        <v>88</v>
      </c>
      <c r="C149" s="2" t="s">
        <v>89</v>
      </c>
      <c r="D149" s="2" t="s">
        <v>85</v>
      </c>
      <c r="E149" s="2" t="s">
        <v>79</v>
      </c>
      <c r="F149" s="291">
        <v>0</v>
      </c>
      <c r="G149" s="291">
        <v>0</v>
      </c>
      <c r="H149" s="291">
        <v>3.3398272000000002</v>
      </c>
      <c r="I149" s="291">
        <v>4.5006848000000002</v>
      </c>
      <c r="J149" s="291">
        <v>4.6917119999999999</v>
      </c>
      <c r="K149" s="291">
        <v>3.9286528000000001</v>
      </c>
      <c r="L149" s="291">
        <v>2.6680831999999999</v>
      </c>
    </row>
    <row r="150" spans="1:12" s="2" customFormat="1" ht="13.15">
      <c r="A150" t="s">
        <v>115</v>
      </c>
      <c r="B150" t="s">
        <v>90</v>
      </c>
      <c r="C150" s="2" t="s">
        <v>84</v>
      </c>
      <c r="D150" s="2" t="s">
        <v>85</v>
      </c>
      <c r="E150" s="2" t="s">
        <v>79</v>
      </c>
      <c r="F150" s="291">
        <v>0</v>
      </c>
      <c r="G150" s="291">
        <v>0</v>
      </c>
      <c r="H150" s="292" t="s">
        <v>91</v>
      </c>
      <c r="I150" s="292" t="s">
        <v>91</v>
      </c>
      <c r="J150" s="292" t="s">
        <v>91</v>
      </c>
      <c r="K150" s="292" t="s">
        <v>91</v>
      </c>
      <c r="L150" s="292" t="s">
        <v>91</v>
      </c>
    </row>
    <row r="151" spans="1:12" s="2" customFormat="1" ht="13.15">
      <c r="A151" t="s">
        <v>115</v>
      </c>
      <c r="B151" t="s">
        <v>92</v>
      </c>
      <c r="C151" s="2" t="s">
        <v>87</v>
      </c>
      <c r="D151" s="2" t="s">
        <v>85</v>
      </c>
      <c r="E151" s="2" t="s">
        <v>79</v>
      </c>
      <c r="F151" s="291">
        <v>0</v>
      </c>
      <c r="G151" s="291">
        <v>0</v>
      </c>
      <c r="H151" s="292" t="s">
        <v>91</v>
      </c>
      <c r="I151" s="292" t="s">
        <v>91</v>
      </c>
      <c r="J151" s="292" t="s">
        <v>91</v>
      </c>
      <c r="K151" s="292" t="s">
        <v>91</v>
      </c>
      <c r="L151" s="292" t="s">
        <v>91</v>
      </c>
    </row>
    <row r="152" spans="1:12" s="2" customFormat="1" ht="13.15">
      <c r="A152" t="s">
        <v>115</v>
      </c>
      <c r="B152" t="s">
        <v>93</v>
      </c>
      <c r="C152" s="2" t="s">
        <v>89</v>
      </c>
      <c r="D152" s="2" t="s">
        <v>85</v>
      </c>
      <c r="E152" s="2" t="s">
        <v>79</v>
      </c>
      <c r="F152" s="291">
        <v>0</v>
      </c>
      <c r="G152" s="291">
        <v>0</v>
      </c>
      <c r="H152" s="292" t="s">
        <v>91</v>
      </c>
      <c r="I152" s="292" t="s">
        <v>91</v>
      </c>
      <c r="J152" s="292" t="s">
        <v>91</v>
      </c>
      <c r="K152" s="292" t="s">
        <v>91</v>
      </c>
      <c r="L152" s="292" t="s">
        <v>91</v>
      </c>
    </row>
    <row r="153" spans="1:12" s="2" customFormat="1" ht="13.15">
      <c r="A153" t="s">
        <v>115</v>
      </c>
      <c r="B153" t="s">
        <v>94</v>
      </c>
      <c r="C153" s="2" t="s">
        <v>84</v>
      </c>
      <c r="D153" s="2" t="s">
        <v>85</v>
      </c>
      <c r="E153" s="2" t="s">
        <v>79</v>
      </c>
      <c r="F153" s="291">
        <v>0</v>
      </c>
      <c r="G153" s="291">
        <v>0</v>
      </c>
      <c r="H153" s="291">
        <v>0</v>
      </c>
      <c r="I153" s="291">
        <v>0</v>
      </c>
      <c r="J153" s="291">
        <v>0</v>
      </c>
      <c r="K153" s="291">
        <v>0</v>
      </c>
      <c r="L153" s="291">
        <v>0</v>
      </c>
    </row>
    <row r="154" spans="1:12" s="2" customFormat="1" ht="13.15">
      <c r="A154" t="s">
        <v>115</v>
      </c>
      <c r="B154" t="s">
        <v>95</v>
      </c>
      <c r="C154" s="2" t="s">
        <v>87</v>
      </c>
      <c r="D154" s="2" t="s">
        <v>85</v>
      </c>
      <c r="E154" s="2" t="s">
        <v>79</v>
      </c>
      <c r="F154" s="291">
        <v>0</v>
      </c>
      <c r="G154" s="291">
        <v>0</v>
      </c>
      <c r="H154" s="291">
        <v>0</v>
      </c>
      <c r="I154" s="291">
        <v>0</v>
      </c>
      <c r="J154" s="291">
        <v>0</v>
      </c>
      <c r="K154" s="291">
        <v>0</v>
      </c>
      <c r="L154" s="291">
        <v>0</v>
      </c>
    </row>
    <row r="155" spans="1:12" s="2" customFormat="1" ht="13.15">
      <c r="A155" t="s">
        <v>115</v>
      </c>
      <c r="B155" t="s">
        <v>96</v>
      </c>
      <c r="C155" s="2" t="s">
        <v>89</v>
      </c>
      <c r="D155" s="2" t="s">
        <v>85</v>
      </c>
      <c r="E155" s="2" t="s">
        <v>79</v>
      </c>
      <c r="F155" s="291">
        <v>0</v>
      </c>
      <c r="G155" s="291">
        <v>0</v>
      </c>
      <c r="H155" s="291">
        <v>0</v>
      </c>
      <c r="I155" s="291">
        <v>0</v>
      </c>
      <c r="J155" s="291">
        <v>0</v>
      </c>
      <c r="K155" s="291">
        <v>0</v>
      </c>
      <c r="L155" s="291">
        <v>0</v>
      </c>
    </row>
    <row r="156" spans="1:12" s="2" customFormat="1" ht="13.15">
      <c r="A156" t="s">
        <v>115</v>
      </c>
      <c r="B156" t="s">
        <v>97</v>
      </c>
      <c r="C156" s="2" t="s">
        <v>98</v>
      </c>
      <c r="D156" s="2" t="s">
        <v>99</v>
      </c>
      <c r="E156" s="2" t="s">
        <v>79</v>
      </c>
      <c r="F156" s="293">
        <v>0</v>
      </c>
      <c r="G156" s="293">
        <v>0</v>
      </c>
      <c r="H156" s="293">
        <v>379</v>
      </c>
      <c r="I156" s="293">
        <v>0</v>
      </c>
      <c r="J156" s="293">
        <v>0</v>
      </c>
      <c r="K156" s="293">
        <v>0</v>
      </c>
      <c r="L156" s="293">
        <v>0</v>
      </c>
    </row>
    <row r="157" spans="1:12" s="2" customFormat="1" ht="13.15">
      <c r="A157" t="s">
        <v>115</v>
      </c>
      <c r="B157" t="s">
        <v>100</v>
      </c>
      <c r="C157" s="2" t="s">
        <v>101</v>
      </c>
      <c r="D157" s="2" t="s">
        <v>99</v>
      </c>
      <c r="E157" s="2" t="s">
        <v>79</v>
      </c>
      <c r="F157" s="293">
        <v>0</v>
      </c>
      <c r="G157" s="293">
        <v>0</v>
      </c>
      <c r="H157" s="293">
        <v>361</v>
      </c>
      <c r="I157" s="293">
        <v>0</v>
      </c>
      <c r="J157" s="293">
        <v>0</v>
      </c>
      <c r="K157" s="293">
        <v>0</v>
      </c>
      <c r="L157" s="293">
        <v>0</v>
      </c>
    </row>
    <row r="158" spans="1:12" s="2" customFormat="1" ht="13.15">
      <c r="A158" t="s">
        <v>115</v>
      </c>
      <c r="B158" t="s">
        <v>102</v>
      </c>
      <c r="C158" s="2" t="s">
        <v>98</v>
      </c>
      <c r="D158" s="2" t="s">
        <v>99</v>
      </c>
      <c r="E158" s="2" t="s">
        <v>79</v>
      </c>
      <c r="F158" s="292" t="s">
        <v>91</v>
      </c>
      <c r="G158" s="292" t="s">
        <v>91</v>
      </c>
      <c r="H158" s="292" t="s">
        <v>91</v>
      </c>
      <c r="I158" s="292" t="s">
        <v>91</v>
      </c>
      <c r="J158" s="292" t="s">
        <v>91</v>
      </c>
      <c r="K158" s="292" t="s">
        <v>91</v>
      </c>
      <c r="L158" s="292" t="s">
        <v>91</v>
      </c>
    </row>
    <row r="159" spans="1:12" s="2" customFormat="1" ht="13.15">
      <c r="A159" t="s">
        <v>115</v>
      </c>
      <c r="B159" t="s">
        <v>103</v>
      </c>
      <c r="C159" s="2" t="s">
        <v>101</v>
      </c>
      <c r="D159" s="2" t="s">
        <v>99</v>
      </c>
      <c r="E159" s="2" t="s">
        <v>79</v>
      </c>
      <c r="F159" s="292" t="s">
        <v>91</v>
      </c>
      <c r="G159" s="292" t="s">
        <v>91</v>
      </c>
      <c r="H159" s="292" t="s">
        <v>91</v>
      </c>
      <c r="I159" s="292" t="s">
        <v>91</v>
      </c>
      <c r="J159" s="292" t="s">
        <v>91</v>
      </c>
      <c r="K159" s="292" t="s">
        <v>91</v>
      </c>
      <c r="L159" s="292" t="s">
        <v>91</v>
      </c>
    </row>
    <row r="160" spans="1:12" s="2" customFormat="1" ht="13.15">
      <c r="A160" t="s">
        <v>115</v>
      </c>
      <c r="B160" t="s">
        <v>104</v>
      </c>
      <c r="C160" s="2" t="s">
        <v>105</v>
      </c>
      <c r="D160" s="2" t="s">
        <v>85</v>
      </c>
      <c r="E160" s="2" t="s">
        <v>79</v>
      </c>
      <c r="F160" s="291">
        <v>693.74750999218065</v>
      </c>
      <c r="G160" s="291">
        <v>850.50580882322231</v>
      </c>
      <c r="H160" s="291">
        <v>862.90684243736268</v>
      </c>
      <c r="I160" s="291">
        <v>1023.836972489322</v>
      </c>
      <c r="J160" s="291">
        <v>974.11492033814147</v>
      </c>
      <c r="K160" s="291">
        <v>886.57950053133004</v>
      </c>
      <c r="L160" s="291">
        <v>783.01520971339971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6976-7366-4E06-A3DC-849DC7D9A5B2}">
  <sheetPr>
    <tabColor rgb="FFFFDB8E"/>
  </sheetPr>
  <dimension ref="A1:X162"/>
  <sheetViews>
    <sheetView zoomScale="80" zoomScaleNormal="80" workbookViewId="0"/>
  </sheetViews>
  <sheetFormatPr defaultColWidth="9" defaultRowHeight="14.25"/>
  <cols>
    <col min="1" max="1" width="8.42578125" style="212" customWidth="1"/>
    <col min="2" max="2" width="22.140625" style="212" bestFit="1" customWidth="1"/>
    <col min="3" max="3" width="56.140625" style="212" customWidth="1"/>
    <col min="4" max="4" width="9" style="212"/>
    <col min="5" max="5" width="6.28515625" style="212" customWidth="1"/>
    <col min="6" max="12" width="9" style="212"/>
    <col min="13" max="16" width="5" style="212" customWidth="1"/>
    <col min="17" max="16384" width="9" style="212"/>
  </cols>
  <sheetData>
    <row r="1" spans="1:24" ht="30.75">
      <c r="A1" s="1" t="e">
        <f ca="1" xml:space="preserve"> RIGHT(CELL("filename", $A$1), LEN(CELL("filename", $A$1)) - SEARCH("]", CELL("filename", $A$1)))</f>
        <v>#VALUE!</v>
      </c>
      <c r="B1" s="1"/>
      <c r="C1" s="1"/>
      <c r="D1" s="1"/>
      <c r="E1" s="1"/>
      <c r="F1" s="1"/>
      <c r="G1" s="1"/>
      <c r="H1" s="1"/>
      <c r="I1" s="1"/>
      <c r="J1" s="1"/>
      <c r="K1" s="1"/>
    </row>
    <row r="2" spans="1:24" s="296" customFormat="1" ht="13.15">
      <c r="C2" s="297" t="s">
        <v>116</v>
      </c>
      <c r="D2" s="298"/>
      <c r="E2" s="297" t="str">
        <f>F_Inputs!E2</f>
        <v>Run on 05 Sep 2024 9:10</v>
      </c>
    </row>
    <row r="3" spans="1:24" s="296" customFormat="1" ht="13.15">
      <c r="A3" s="299"/>
      <c r="B3" s="299"/>
      <c r="C3" s="299"/>
      <c r="D3" s="299"/>
      <c r="E3" s="299"/>
      <c r="F3" s="300" t="s">
        <v>79</v>
      </c>
      <c r="G3" s="300" t="s">
        <v>79</v>
      </c>
      <c r="H3" s="300" t="s">
        <v>79</v>
      </c>
      <c r="I3" s="300" t="s">
        <v>79</v>
      </c>
      <c r="J3" s="300" t="s">
        <v>79</v>
      </c>
      <c r="K3" s="300" t="s">
        <v>79</v>
      </c>
      <c r="L3" s="300" t="s">
        <v>79</v>
      </c>
      <c r="R3" s="300" t="s">
        <v>79</v>
      </c>
      <c r="S3" s="300" t="s">
        <v>79</v>
      </c>
      <c r="T3" s="300" t="s">
        <v>79</v>
      </c>
      <c r="U3" s="300" t="s">
        <v>79</v>
      </c>
      <c r="V3" s="300" t="s">
        <v>79</v>
      </c>
      <c r="W3" s="300" t="s">
        <v>79</v>
      </c>
      <c r="X3" s="300" t="s">
        <v>79</v>
      </c>
    </row>
    <row r="4" spans="1:24" s="296" customFormat="1" ht="13.15">
      <c r="A4" s="299"/>
      <c r="B4" s="299"/>
      <c r="C4" s="299"/>
      <c r="D4" s="299"/>
      <c r="E4" s="299"/>
      <c r="F4" s="295" t="s">
        <v>80</v>
      </c>
      <c r="G4" s="295" t="s">
        <v>80</v>
      </c>
      <c r="H4" s="295" t="s">
        <v>80</v>
      </c>
      <c r="I4" s="295" t="s">
        <v>80</v>
      </c>
      <c r="J4" s="295" t="s">
        <v>80</v>
      </c>
      <c r="K4" s="295" t="s">
        <v>80</v>
      </c>
      <c r="L4" s="295" t="s">
        <v>80</v>
      </c>
      <c r="R4" s="295" t="s">
        <v>80</v>
      </c>
      <c r="S4" s="295" t="s">
        <v>80</v>
      </c>
      <c r="T4" s="295" t="s">
        <v>80</v>
      </c>
      <c r="U4" s="295" t="s">
        <v>80</v>
      </c>
      <c r="V4" s="295" t="s">
        <v>80</v>
      </c>
      <c r="W4" s="295" t="s">
        <v>80</v>
      </c>
      <c r="X4" s="295" t="s">
        <v>80</v>
      </c>
    </row>
    <row r="5" spans="1:24" s="296" customFormat="1" ht="13.15">
      <c r="A5" s="299"/>
      <c r="B5" s="299"/>
      <c r="C5" s="299"/>
      <c r="D5" s="299"/>
      <c r="E5" s="299"/>
      <c r="F5" s="300" t="s">
        <v>81</v>
      </c>
      <c r="G5" s="300" t="s">
        <v>81</v>
      </c>
      <c r="H5" s="300" t="s">
        <v>81</v>
      </c>
      <c r="I5" s="300" t="s">
        <v>81</v>
      </c>
      <c r="J5" s="300" t="s">
        <v>81</v>
      </c>
      <c r="K5" s="300" t="s">
        <v>81</v>
      </c>
      <c r="L5" s="300" t="s">
        <v>81</v>
      </c>
      <c r="R5" s="300" t="s">
        <v>81</v>
      </c>
      <c r="S5" s="300" t="s">
        <v>81</v>
      </c>
      <c r="T5" s="300" t="s">
        <v>81</v>
      </c>
      <c r="U5" s="300" t="s">
        <v>81</v>
      </c>
      <c r="V5" s="300" t="s">
        <v>81</v>
      </c>
      <c r="W5" s="300" t="s">
        <v>81</v>
      </c>
      <c r="X5" s="300" t="s">
        <v>81</v>
      </c>
    </row>
    <row r="6" spans="1:24" s="296" customFormat="1" ht="13.15">
      <c r="A6" s="300" t="s">
        <v>67</v>
      </c>
      <c r="B6" s="300" t="s">
        <v>68</v>
      </c>
      <c r="C6" s="300" t="s">
        <v>69</v>
      </c>
      <c r="D6" s="300" t="s">
        <v>70</v>
      </c>
      <c r="E6" s="300" t="s">
        <v>71</v>
      </c>
      <c r="F6" s="300" t="s">
        <v>72</v>
      </c>
      <c r="G6" s="300" t="s">
        <v>73</v>
      </c>
      <c r="H6" s="300" t="s">
        <v>74</v>
      </c>
      <c r="I6" s="300" t="s">
        <v>75</v>
      </c>
      <c r="J6" s="300" t="s">
        <v>76</v>
      </c>
      <c r="K6" s="300" t="s">
        <v>77</v>
      </c>
      <c r="L6" s="300" t="s">
        <v>78</v>
      </c>
      <c r="R6" s="300" t="s">
        <v>72</v>
      </c>
      <c r="S6" s="300" t="s">
        <v>73</v>
      </c>
      <c r="T6" s="300" t="s">
        <v>74</v>
      </c>
      <c r="U6" s="300" t="s">
        <v>75</v>
      </c>
      <c r="V6" s="300" t="s">
        <v>76</v>
      </c>
      <c r="W6" s="300" t="s">
        <v>77</v>
      </c>
      <c r="X6" s="300" t="s">
        <v>78</v>
      </c>
    </row>
    <row r="7" spans="1:24" s="296" customFormat="1" ht="13.15">
      <c r="A7" s="298" t="str">
        <f>F_Inputs!A7</f>
        <v>ANH</v>
      </c>
      <c r="B7" s="298" t="str">
        <f>F_Inputs!B7</f>
        <v>CWW3_010TOT_PR24</v>
      </c>
      <c r="C7" s="298" t="str">
        <f>F_Inputs!C7</f>
        <v>EA/NRW environmental programme wastewater (WINEP/NEP) - MCERTs monitoring at emergency sewage pumping station overflows (WINEP/NEP) wastewater capex - Total</v>
      </c>
      <c r="D7" s="298" t="str">
        <f>F_Inputs!D7</f>
        <v>£m</v>
      </c>
      <c r="E7" s="298" t="str">
        <f>F_Inputs!E7</f>
        <v>Price Review 2024</v>
      </c>
      <c r="F7" s="301">
        <f>F_Inputs!F7</f>
        <v>0</v>
      </c>
      <c r="G7" s="301">
        <f>F_Inputs!G7</f>
        <v>4.8000000000000001E-2</v>
      </c>
      <c r="H7" s="301">
        <f>F_Inputs!H7</f>
        <v>5.0359999999999996</v>
      </c>
      <c r="I7" s="301">
        <f>F_Inputs!I7</f>
        <v>8.968</v>
      </c>
      <c r="J7" s="301">
        <f>F_Inputs!J7</f>
        <v>11.082000000000001</v>
      </c>
      <c r="K7" s="301">
        <f>F_Inputs!K7</f>
        <v>11.465999999999999</v>
      </c>
      <c r="L7" s="301">
        <f>F_Inputs!L7</f>
        <v>11.129</v>
      </c>
      <c r="Q7" s="3" t="str">
        <f>LEFT(B7,6)</f>
        <v>CWW3_0</v>
      </c>
      <c r="R7" s="296">
        <f>IF(OR($Q7="CWW12_",$Q7= "CWW17_",$Q7= "CWW20A"),F7,0)</f>
        <v>0</v>
      </c>
      <c r="S7" s="296">
        <f>IF(OR($Q7="CWW12_",$Q7= "CWW17_",$Q7= "CWW20A"),G7,0)</f>
        <v>0</v>
      </c>
      <c r="T7" s="296">
        <f>IF(OR($Q7="CWW3_0",$Q7="CWW3_1", $Q7= "CWW20_",$Q7="BIO5_0",$Q7="CWW1A_"),H7,0)</f>
        <v>5.0359999999999996</v>
      </c>
      <c r="U7" s="296">
        <f t="shared" ref="U7:X7" si="0">IF(OR($Q7="CWW3_0",$Q7="CWW3_1", $Q7= "CWW20_",$Q7="BIO5_0",$Q7="CWW1A_"),I7,0)</f>
        <v>8.968</v>
      </c>
      <c r="V7" s="296">
        <f t="shared" si="0"/>
        <v>11.082000000000001</v>
      </c>
      <c r="W7" s="296">
        <f t="shared" si="0"/>
        <v>11.465999999999999</v>
      </c>
      <c r="X7" s="296">
        <f t="shared" si="0"/>
        <v>11.129</v>
      </c>
    </row>
    <row r="8" spans="1:24" s="296" customFormat="1" ht="13.15">
      <c r="A8" s="298" t="str">
        <f>F_Inputs!A8</f>
        <v>ANH</v>
      </c>
      <c r="B8" s="298" t="str">
        <f>F_Inputs!B8</f>
        <v>CWW3_011TOT_PR24</v>
      </c>
      <c r="C8" s="298" t="str">
        <f>F_Inputs!C8</f>
        <v>EA/NRW environmental programme wastewater (WINEP/NEP) - MCERTs monitoring at emergency sewage pumping station overflows (WINEP/NEP) wastewater opex - Total</v>
      </c>
      <c r="D8" s="298" t="str">
        <f>F_Inputs!D8</f>
        <v>£m</v>
      </c>
      <c r="E8" s="298" t="str">
        <f>F_Inputs!E8</f>
        <v>Price Review 2024</v>
      </c>
      <c r="F8" s="301">
        <f>F_Inputs!F8</f>
        <v>0</v>
      </c>
      <c r="G8" s="301">
        <f>F_Inputs!G8</f>
        <v>0</v>
      </c>
      <c r="H8" s="301">
        <f>F_Inputs!H8</f>
        <v>0</v>
      </c>
      <c r="I8" s="301">
        <f>F_Inputs!I8</f>
        <v>2.1000000000000001E-2</v>
      </c>
      <c r="J8" s="301">
        <f>F_Inputs!J8</f>
        <v>5.4000000000000013E-2</v>
      </c>
      <c r="K8" s="301">
        <f>F_Inputs!K8</f>
        <v>9.6000000000000002E-2</v>
      </c>
      <c r="L8" s="301">
        <f>F_Inputs!L8</f>
        <v>0.125</v>
      </c>
      <c r="Q8" s="3" t="str">
        <f t="shared" ref="Q8:Q71" si="1">LEFT(B8,6)</f>
        <v>CWW3_0</v>
      </c>
      <c r="R8" s="296">
        <f t="shared" ref="R8:R71" si="2">IF(OR($Q8="CWW12_",$Q8= "CWW17_",$Q8= "CWW20A"),F8,0)</f>
        <v>0</v>
      </c>
      <c r="S8" s="296">
        <f t="shared" ref="S8:S71" si="3">IF(OR($Q8="CWW12_",$Q8= "CWW17_",$Q8= "CWW20A"),G8,0)</f>
        <v>0</v>
      </c>
      <c r="T8" s="296">
        <f t="shared" ref="T8:T71" si="4">IF(OR($Q8="CWW3_0",$Q8="CWW3_1", $Q8= "CWW20_",$Q8="BIO5_0",$Q8="CWW1A_"),H8,0)</f>
        <v>0</v>
      </c>
      <c r="U8" s="296">
        <f t="shared" ref="U8:U71" si="5">IF(OR($Q8="CWW3_0",$Q8="CWW3_1", $Q8= "CWW20_",$Q8="BIO5_0",$Q8="CWW1A_"),I8,0)</f>
        <v>2.1000000000000001E-2</v>
      </c>
      <c r="V8" s="296">
        <f t="shared" ref="V8:V71" si="6">IF(OR($Q8="CWW3_0",$Q8="CWW3_1", $Q8= "CWW20_",$Q8="BIO5_0",$Q8="CWW1A_"),J8,0)</f>
        <v>5.4000000000000013E-2</v>
      </c>
      <c r="W8" s="296">
        <f t="shared" ref="W8:W71" si="7">IF(OR($Q8="CWW3_0",$Q8="CWW3_1", $Q8= "CWW20_",$Q8="BIO5_0",$Q8="CWW1A_"),K8,0)</f>
        <v>9.6000000000000002E-2</v>
      </c>
      <c r="X8" s="296">
        <f t="shared" ref="X8:X71" si="8">IF(OR($Q8="CWW3_0",$Q8="CWW3_1", $Q8= "CWW20_",$Q8="BIO5_0",$Q8="CWW1A_"),L8,0)</f>
        <v>0.125</v>
      </c>
    </row>
    <row r="9" spans="1:24" s="296" customFormat="1" ht="13.15">
      <c r="A9" s="298" t="str">
        <f>F_Inputs!A9</f>
        <v>ANH</v>
      </c>
      <c r="B9" s="298" t="str">
        <f>F_Inputs!B9</f>
        <v>CWW3_012TOT_PR24</v>
      </c>
      <c r="C9" s="298" t="str">
        <f>F_Inputs!C9</f>
        <v>EA/NRW environmental programme wastewater (WINEP/NEP) - MCERTs monitoring at emergency sewage pumping station overflows (WINEP/NEP) wastewater totex - Total</v>
      </c>
      <c r="D9" s="298" t="str">
        <f>F_Inputs!D9</f>
        <v>£m</v>
      </c>
      <c r="E9" s="298" t="str">
        <f>F_Inputs!E9</f>
        <v>Price Review 2024</v>
      </c>
      <c r="F9" s="301">
        <f>F_Inputs!F9</f>
        <v>0</v>
      </c>
      <c r="G9" s="301">
        <f>F_Inputs!G9</f>
        <v>4.8000000000000001E-2</v>
      </c>
      <c r="H9" s="301">
        <f>F_Inputs!H9</f>
        <v>5.0359999999999996</v>
      </c>
      <c r="I9" s="301">
        <f>F_Inputs!I9</f>
        <v>8.988999999999999</v>
      </c>
      <c r="J9" s="301">
        <f>F_Inputs!J9</f>
        <v>11.135999999999999</v>
      </c>
      <c r="K9" s="301">
        <f>F_Inputs!K9</f>
        <v>11.561999999999999</v>
      </c>
      <c r="L9" s="301">
        <f>F_Inputs!L9</f>
        <v>11.254</v>
      </c>
      <c r="Q9" s="3" t="str">
        <f t="shared" si="1"/>
        <v>CWW3_0</v>
      </c>
      <c r="R9" s="296">
        <f t="shared" si="2"/>
        <v>0</v>
      </c>
      <c r="S9" s="296">
        <f t="shared" si="3"/>
        <v>0</v>
      </c>
      <c r="T9" s="296">
        <f t="shared" si="4"/>
        <v>5.0359999999999996</v>
      </c>
      <c r="U9" s="296">
        <f t="shared" si="5"/>
        <v>8.988999999999999</v>
      </c>
      <c r="V9" s="296">
        <f t="shared" si="6"/>
        <v>11.135999999999999</v>
      </c>
      <c r="W9" s="296">
        <f t="shared" si="7"/>
        <v>11.561999999999999</v>
      </c>
      <c r="X9" s="296">
        <f t="shared" si="8"/>
        <v>11.254</v>
      </c>
    </row>
    <row r="10" spans="1:24" s="296" customFormat="1" ht="13.15">
      <c r="A10" s="298" t="str">
        <f>F_Inputs!A10</f>
        <v>ANH</v>
      </c>
      <c r="B10" s="298" t="str">
        <f>F_Inputs!B10</f>
        <v>CWW12_010TOT_PR24</v>
      </c>
      <c r="C10" s="298" t="str">
        <f>F_Inputs!C10</f>
        <v>EA/NRW environmental programme wastewater (WINEP/NEP) - MCERTs monitoring at emergency sewage pumping station overflows (WINEP/NEP) wastewater capex - Total</v>
      </c>
      <c r="D10" s="298" t="str">
        <f>F_Inputs!D10</f>
        <v>£m</v>
      </c>
      <c r="E10" s="298" t="str">
        <f>F_Inputs!E10</f>
        <v>Price Review 2024</v>
      </c>
      <c r="F10" s="301">
        <f>F_Inputs!F10</f>
        <v>2E-3</v>
      </c>
      <c r="G10" s="301">
        <f>F_Inputs!G10</f>
        <v>4.8000000000000008E-2</v>
      </c>
      <c r="H10" s="301" t="str">
        <f>F_Inputs!H10</f>
        <v/>
      </c>
      <c r="I10" s="301" t="str">
        <f>F_Inputs!I10</f>
        <v/>
      </c>
      <c r="J10" s="301" t="str">
        <f>F_Inputs!J10</f>
        <v/>
      </c>
      <c r="K10" s="301" t="str">
        <f>F_Inputs!K10</f>
        <v/>
      </c>
      <c r="L10" s="301" t="str">
        <f>F_Inputs!L10</f>
        <v/>
      </c>
      <c r="Q10" s="3" t="str">
        <f t="shared" si="1"/>
        <v>CWW12_</v>
      </c>
      <c r="R10" s="296">
        <f t="shared" si="2"/>
        <v>2E-3</v>
      </c>
      <c r="S10" s="296">
        <f t="shared" si="3"/>
        <v>4.8000000000000008E-2</v>
      </c>
      <c r="T10" s="296">
        <f t="shared" si="4"/>
        <v>0</v>
      </c>
      <c r="U10" s="296">
        <f t="shared" si="5"/>
        <v>0</v>
      </c>
      <c r="V10" s="296">
        <f t="shared" si="6"/>
        <v>0</v>
      </c>
      <c r="W10" s="296">
        <f t="shared" si="7"/>
        <v>0</v>
      </c>
      <c r="X10" s="296">
        <f t="shared" si="8"/>
        <v>0</v>
      </c>
    </row>
    <row r="11" spans="1:24" s="296" customFormat="1" ht="13.15">
      <c r="A11" s="298" t="str">
        <f>F_Inputs!A11</f>
        <v>ANH</v>
      </c>
      <c r="B11" s="298" t="str">
        <f>F_Inputs!B11</f>
        <v>CWW12_011TOT_PR24</v>
      </c>
      <c r="C11" s="298" t="str">
        <f>F_Inputs!C11</f>
        <v>EA/NRW environmental programme wastewater (WINEP/NEP) - MCERTs monitoring at emergency sewage pumping station overflows (WINEP/NEP) wastewater opex - Total</v>
      </c>
      <c r="D11" s="298" t="str">
        <f>F_Inputs!D11</f>
        <v>£m</v>
      </c>
      <c r="E11" s="298" t="str">
        <f>F_Inputs!E11</f>
        <v>Price Review 2024</v>
      </c>
      <c r="F11" s="301">
        <f>F_Inputs!F11</f>
        <v>0</v>
      </c>
      <c r="G11" s="301">
        <f>F_Inputs!G11</f>
        <v>0</v>
      </c>
      <c r="H11" s="301" t="str">
        <f>F_Inputs!H11</f>
        <v/>
      </c>
      <c r="I11" s="301" t="str">
        <f>F_Inputs!I11</f>
        <v/>
      </c>
      <c r="J11" s="301" t="str">
        <f>F_Inputs!J11</f>
        <v/>
      </c>
      <c r="K11" s="301" t="str">
        <f>F_Inputs!K11</f>
        <v/>
      </c>
      <c r="L11" s="301" t="str">
        <f>F_Inputs!L11</f>
        <v/>
      </c>
      <c r="Q11" s="3" t="str">
        <f t="shared" si="1"/>
        <v>CWW12_</v>
      </c>
      <c r="R11" s="296">
        <f t="shared" si="2"/>
        <v>0</v>
      </c>
      <c r="S11" s="296">
        <f t="shared" si="3"/>
        <v>0</v>
      </c>
      <c r="T11" s="296">
        <f t="shared" si="4"/>
        <v>0</v>
      </c>
      <c r="U11" s="296">
        <f t="shared" si="5"/>
        <v>0</v>
      </c>
      <c r="V11" s="296">
        <f t="shared" si="6"/>
        <v>0</v>
      </c>
      <c r="W11" s="296">
        <f t="shared" si="7"/>
        <v>0</v>
      </c>
      <c r="X11" s="296">
        <f t="shared" si="8"/>
        <v>0</v>
      </c>
    </row>
    <row r="12" spans="1:24" s="296" customFormat="1" ht="13.15">
      <c r="A12" s="298" t="str">
        <f>F_Inputs!A12</f>
        <v>ANH</v>
      </c>
      <c r="B12" s="298" t="str">
        <f>F_Inputs!B12</f>
        <v>CWW12_012TOT_PR24</v>
      </c>
      <c r="C12" s="298" t="str">
        <f>F_Inputs!C12</f>
        <v>EA/NRW environmental programme wastewater (WINEP/NEP) - MCERTs monitoring at emergency sewage pumping station overflows (WINEP/NEP) wastewater totex - Total</v>
      </c>
      <c r="D12" s="298" t="str">
        <f>F_Inputs!D12</f>
        <v>£m</v>
      </c>
      <c r="E12" s="298" t="str">
        <f>F_Inputs!E12</f>
        <v>Price Review 2024</v>
      </c>
      <c r="F12" s="301">
        <f>F_Inputs!F12</f>
        <v>2E-3</v>
      </c>
      <c r="G12" s="301">
        <f>F_Inputs!G12</f>
        <v>4.8000000000000008E-2</v>
      </c>
      <c r="H12" s="301" t="str">
        <f>F_Inputs!H12</f>
        <v/>
      </c>
      <c r="I12" s="301" t="str">
        <f>F_Inputs!I12</f>
        <v/>
      </c>
      <c r="J12" s="301" t="str">
        <f>F_Inputs!J12</f>
        <v/>
      </c>
      <c r="K12" s="301" t="str">
        <f>F_Inputs!K12</f>
        <v/>
      </c>
      <c r="L12" s="301" t="str">
        <f>F_Inputs!L12</f>
        <v/>
      </c>
      <c r="Q12" s="3" t="str">
        <f t="shared" si="1"/>
        <v>CWW12_</v>
      </c>
      <c r="R12" s="296">
        <f t="shared" si="2"/>
        <v>2E-3</v>
      </c>
      <c r="S12" s="296">
        <f t="shared" si="3"/>
        <v>4.8000000000000008E-2</v>
      </c>
      <c r="T12" s="296">
        <f t="shared" si="4"/>
        <v>0</v>
      </c>
      <c r="U12" s="296">
        <f t="shared" si="5"/>
        <v>0</v>
      </c>
      <c r="V12" s="296">
        <f t="shared" si="6"/>
        <v>0</v>
      </c>
      <c r="W12" s="296">
        <f t="shared" si="7"/>
        <v>0</v>
      </c>
      <c r="X12" s="296">
        <f t="shared" si="8"/>
        <v>0</v>
      </c>
    </row>
    <row r="13" spans="1:24" s="296" customFormat="1" ht="13.15">
      <c r="A13" s="298" t="str">
        <f>F_Inputs!A13</f>
        <v>ANH</v>
      </c>
      <c r="B13" s="298" t="str">
        <f>F_Inputs!B13</f>
        <v>CWW17_010TOT_PR24</v>
      </c>
      <c r="C13" s="298" t="str">
        <f>F_Inputs!C13</f>
        <v>EA/NRW environmental programme wastewater (WINEP/NEP) - MCERTs monitoring at emergency sewage pumping station overflows (WINEP/NEP) wastewater capex - Total</v>
      </c>
      <c r="D13" s="298" t="str">
        <f>F_Inputs!D13</f>
        <v>£m</v>
      </c>
      <c r="E13" s="298" t="str">
        <f>F_Inputs!E13</f>
        <v>Price Review 2024</v>
      </c>
      <c r="F13" s="301">
        <f>F_Inputs!F13</f>
        <v>0</v>
      </c>
      <c r="G13" s="301">
        <f>F_Inputs!G13</f>
        <v>0</v>
      </c>
      <c r="H13" s="301">
        <f>F_Inputs!H13</f>
        <v>0</v>
      </c>
      <c r="I13" s="301">
        <f>F_Inputs!I13</f>
        <v>0</v>
      </c>
      <c r="J13" s="301">
        <f>F_Inputs!J13</f>
        <v>0</v>
      </c>
      <c r="K13" s="301">
        <f>F_Inputs!K13</f>
        <v>0</v>
      </c>
      <c r="L13" s="301">
        <f>F_Inputs!L13</f>
        <v>0</v>
      </c>
      <c r="Q13" s="3" t="str">
        <f t="shared" si="1"/>
        <v>CWW17_</v>
      </c>
      <c r="R13" s="296">
        <f t="shared" si="2"/>
        <v>0</v>
      </c>
      <c r="S13" s="296">
        <f t="shared" si="3"/>
        <v>0</v>
      </c>
      <c r="T13" s="296">
        <f t="shared" si="4"/>
        <v>0</v>
      </c>
      <c r="U13" s="296">
        <f t="shared" si="5"/>
        <v>0</v>
      </c>
      <c r="V13" s="296">
        <f t="shared" si="6"/>
        <v>0</v>
      </c>
      <c r="W13" s="296">
        <f t="shared" si="7"/>
        <v>0</v>
      </c>
      <c r="X13" s="296">
        <f t="shared" si="8"/>
        <v>0</v>
      </c>
    </row>
    <row r="14" spans="1:24" s="296" customFormat="1" ht="13.15">
      <c r="A14" s="298" t="str">
        <f>F_Inputs!A14</f>
        <v>ANH</v>
      </c>
      <c r="B14" s="298" t="str">
        <f>F_Inputs!B14</f>
        <v>CWW17_011TOT_PR24</v>
      </c>
      <c r="C14" s="298" t="str">
        <f>F_Inputs!C14</f>
        <v>EA/NRW environmental programme wastewater (WINEP/NEP) - MCERTs monitoring at emergency sewage pumping station overflows (WINEP/NEP) wastewater opex - Total</v>
      </c>
      <c r="D14" s="298" t="str">
        <f>F_Inputs!D14</f>
        <v>£m</v>
      </c>
      <c r="E14" s="298" t="str">
        <f>F_Inputs!E14</f>
        <v>Price Review 2024</v>
      </c>
      <c r="F14" s="301">
        <f>F_Inputs!F14</f>
        <v>0</v>
      </c>
      <c r="G14" s="301">
        <f>F_Inputs!G14</f>
        <v>0</v>
      </c>
      <c r="H14" s="301">
        <f>F_Inputs!H14</f>
        <v>0</v>
      </c>
      <c r="I14" s="301">
        <f>F_Inputs!I14</f>
        <v>0</v>
      </c>
      <c r="J14" s="301">
        <f>F_Inputs!J14</f>
        <v>0</v>
      </c>
      <c r="K14" s="301">
        <f>F_Inputs!K14</f>
        <v>0</v>
      </c>
      <c r="L14" s="301">
        <f>F_Inputs!L14</f>
        <v>0</v>
      </c>
      <c r="Q14" s="3" t="str">
        <f t="shared" si="1"/>
        <v>CWW17_</v>
      </c>
      <c r="R14" s="296">
        <f t="shared" si="2"/>
        <v>0</v>
      </c>
      <c r="S14" s="296">
        <f t="shared" si="3"/>
        <v>0</v>
      </c>
      <c r="T14" s="296">
        <f t="shared" si="4"/>
        <v>0</v>
      </c>
      <c r="U14" s="296">
        <f t="shared" si="5"/>
        <v>0</v>
      </c>
      <c r="V14" s="296">
        <f t="shared" si="6"/>
        <v>0</v>
      </c>
      <c r="W14" s="296">
        <f t="shared" si="7"/>
        <v>0</v>
      </c>
      <c r="X14" s="296">
        <f t="shared" si="8"/>
        <v>0</v>
      </c>
    </row>
    <row r="15" spans="1:24" s="296" customFormat="1" ht="13.15">
      <c r="A15" s="298" t="str">
        <f>F_Inputs!A15</f>
        <v>ANH</v>
      </c>
      <c r="B15" s="298" t="str">
        <f>F_Inputs!B15</f>
        <v>CWW17_012TOT_PR24</v>
      </c>
      <c r="C15" s="298" t="str">
        <f>F_Inputs!C15</f>
        <v>EA/NRW environmental programme wastewater (WINEP/NEP) - MCERTs monitoring at emergency sewage pumping station overflows (WINEP/NEP) wastewater totex - Total</v>
      </c>
      <c r="D15" s="298" t="str">
        <f>F_Inputs!D15</f>
        <v>£m</v>
      </c>
      <c r="E15" s="298" t="str">
        <f>F_Inputs!E15</f>
        <v>Price Review 2024</v>
      </c>
      <c r="F15" s="301">
        <f>F_Inputs!F15</f>
        <v>0</v>
      </c>
      <c r="G15" s="301">
        <f>F_Inputs!G15</f>
        <v>0</v>
      </c>
      <c r="H15" s="301">
        <f>F_Inputs!H15</f>
        <v>0</v>
      </c>
      <c r="I15" s="301">
        <f>F_Inputs!I15</f>
        <v>0</v>
      </c>
      <c r="J15" s="301">
        <f>F_Inputs!J15</f>
        <v>0</v>
      </c>
      <c r="K15" s="301">
        <f>F_Inputs!K15</f>
        <v>0</v>
      </c>
      <c r="L15" s="301">
        <f>F_Inputs!L15</f>
        <v>0</v>
      </c>
      <c r="Q15" s="3" t="str">
        <f t="shared" si="1"/>
        <v>CWW17_</v>
      </c>
      <c r="R15" s="296">
        <f t="shared" si="2"/>
        <v>0</v>
      </c>
      <c r="S15" s="296">
        <f t="shared" si="3"/>
        <v>0</v>
      </c>
      <c r="T15" s="296">
        <f t="shared" si="4"/>
        <v>0</v>
      </c>
      <c r="U15" s="296">
        <f t="shared" si="5"/>
        <v>0</v>
      </c>
      <c r="V15" s="296">
        <f t="shared" si="6"/>
        <v>0</v>
      </c>
      <c r="W15" s="296">
        <f t="shared" si="7"/>
        <v>0</v>
      </c>
      <c r="X15" s="296">
        <f t="shared" si="8"/>
        <v>0</v>
      </c>
    </row>
    <row r="16" spans="1:24" s="296" customFormat="1" ht="13.15">
      <c r="A16" s="298" t="str">
        <f>F_Inputs!A16</f>
        <v>ANH</v>
      </c>
      <c r="B16" s="298" t="str">
        <f>F_Inputs!B16</f>
        <v>CWW20_050_PR24</v>
      </c>
      <c r="C16" s="298" t="str">
        <f>F_Inputs!C16</f>
        <v>Network / Storm overflow data - Number of new MCERTs event duration monitors installed at SPS emergency overflows</v>
      </c>
      <c r="D16" s="298" t="str">
        <f>F_Inputs!D16</f>
        <v>nr</v>
      </c>
      <c r="E16" s="298" t="str">
        <f>F_Inputs!E16</f>
        <v>Price Review 2024</v>
      </c>
      <c r="F16" s="301">
        <f>F_Inputs!F16</f>
        <v>0</v>
      </c>
      <c r="G16" s="301">
        <f>F_Inputs!G16</f>
        <v>0</v>
      </c>
      <c r="H16" s="301">
        <f>F_Inputs!H16</f>
        <v>0</v>
      </c>
      <c r="I16" s="301">
        <f>F_Inputs!I16</f>
        <v>276</v>
      </c>
      <c r="J16" s="301">
        <f>F_Inputs!J16</f>
        <v>344</v>
      </c>
      <c r="K16" s="301">
        <f>F_Inputs!K16</f>
        <v>478</v>
      </c>
      <c r="L16" s="301">
        <f>F_Inputs!L16</f>
        <v>820</v>
      </c>
      <c r="Q16" s="3" t="str">
        <f t="shared" si="1"/>
        <v>CWW20_</v>
      </c>
      <c r="R16" s="296">
        <f t="shared" si="2"/>
        <v>0</v>
      </c>
      <c r="S16" s="296">
        <f t="shared" si="3"/>
        <v>0</v>
      </c>
      <c r="T16" s="296">
        <f t="shared" si="4"/>
        <v>0</v>
      </c>
      <c r="U16" s="296">
        <f t="shared" si="5"/>
        <v>276</v>
      </c>
      <c r="V16" s="296">
        <f t="shared" si="6"/>
        <v>344</v>
      </c>
      <c r="W16" s="296">
        <f t="shared" si="7"/>
        <v>478</v>
      </c>
      <c r="X16" s="296">
        <f t="shared" si="8"/>
        <v>820</v>
      </c>
    </row>
    <row r="17" spans="1:24" s="296" customFormat="1" ht="13.15">
      <c r="A17" s="298" t="str">
        <f>F_Inputs!A17</f>
        <v>ANH</v>
      </c>
      <c r="B17" s="298" t="str">
        <f>F_Inputs!B17</f>
        <v>CWW20_051_PR24</v>
      </c>
      <c r="C17" s="298" t="str">
        <f>F_Inputs!C17</f>
        <v>Network / Storm overflow data - Number of new MCERTs flow monitors (PFF) installed at SPSs with combined emergency and storm overflows.</v>
      </c>
      <c r="D17" s="298" t="str">
        <f>F_Inputs!D17</f>
        <v>nr</v>
      </c>
      <c r="E17" s="298" t="str">
        <f>F_Inputs!E17</f>
        <v>Price Review 2024</v>
      </c>
      <c r="F17" s="301">
        <f>F_Inputs!F17</f>
        <v>0</v>
      </c>
      <c r="G17" s="301">
        <f>F_Inputs!G17</f>
        <v>0</v>
      </c>
      <c r="H17" s="301">
        <f>F_Inputs!H17</f>
        <v>0</v>
      </c>
      <c r="I17" s="301">
        <f>F_Inputs!I17</f>
        <v>137</v>
      </c>
      <c r="J17" s="301">
        <f>F_Inputs!J17</f>
        <v>130</v>
      </c>
      <c r="K17" s="301">
        <f>F_Inputs!K17</f>
        <v>232</v>
      </c>
      <c r="L17" s="301">
        <f>F_Inputs!L17</f>
        <v>0</v>
      </c>
      <c r="Q17" s="3" t="str">
        <f t="shared" si="1"/>
        <v>CWW20_</v>
      </c>
      <c r="R17" s="296">
        <f t="shared" si="2"/>
        <v>0</v>
      </c>
      <c r="S17" s="296">
        <f t="shared" si="3"/>
        <v>0</v>
      </c>
      <c r="T17" s="296">
        <f t="shared" si="4"/>
        <v>0</v>
      </c>
      <c r="U17" s="296">
        <f t="shared" si="5"/>
        <v>137</v>
      </c>
      <c r="V17" s="296">
        <f t="shared" si="6"/>
        <v>130</v>
      </c>
      <c r="W17" s="296">
        <f t="shared" si="7"/>
        <v>232</v>
      </c>
      <c r="X17" s="296">
        <f t="shared" si="8"/>
        <v>0</v>
      </c>
    </row>
    <row r="18" spans="1:24" s="296" customFormat="1" ht="13.15">
      <c r="A18" s="298" t="str">
        <f>F_Inputs!A18</f>
        <v>ANH</v>
      </c>
      <c r="B18" s="298" t="str">
        <f>F_Inputs!B18</f>
        <v>CWW20A_050_PR24</v>
      </c>
      <c r="C18" s="298" t="str">
        <f>F_Inputs!C18</f>
        <v>Network / Storm overflow data - Number of new MCERTs event duration monitors installed at SPS emergency overflows</v>
      </c>
      <c r="D18" s="298" t="str">
        <f>F_Inputs!D18</f>
        <v>nr</v>
      </c>
      <c r="E18" s="298" t="str">
        <f>F_Inputs!E18</f>
        <v>Price Review 2024</v>
      </c>
      <c r="F18" s="301" t="str">
        <f>F_Inputs!F18</f>
        <v/>
      </c>
      <c r="G18" s="301" t="str">
        <f>F_Inputs!G18</f>
        <v/>
      </c>
      <c r="H18" s="301" t="str">
        <f>F_Inputs!H18</f>
        <v/>
      </c>
      <c r="I18" s="301" t="str">
        <f>F_Inputs!I18</f>
        <v/>
      </c>
      <c r="J18" s="301" t="str">
        <f>F_Inputs!J18</f>
        <v/>
      </c>
      <c r="K18" s="301" t="str">
        <f>F_Inputs!K18</f>
        <v/>
      </c>
      <c r="L18" s="301" t="str">
        <f>F_Inputs!L18</f>
        <v/>
      </c>
      <c r="Q18" s="3" t="str">
        <f t="shared" si="1"/>
        <v>CWW20A</v>
      </c>
      <c r="R18" s="296" t="str">
        <f t="shared" si="2"/>
        <v/>
      </c>
      <c r="S18" s="296" t="str">
        <f t="shared" si="3"/>
        <v/>
      </c>
      <c r="T18" s="296">
        <f t="shared" si="4"/>
        <v>0</v>
      </c>
      <c r="U18" s="296">
        <f t="shared" si="5"/>
        <v>0</v>
      </c>
      <c r="V18" s="296">
        <f t="shared" si="6"/>
        <v>0</v>
      </c>
      <c r="W18" s="296">
        <f t="shared" si="7"/>
        <v>0</v>
      </c>
      <c r="X18" s="296">
        <f t="shared" si="8"/>
        <v>0</v>
      </c>
    </row>
    <row r="19" spans="1:24" s="296" customFormat="1" ht="13.15">
      <c r="A19" s="298" t="str">
        <f>F_Inputs!A19</f>
        <v>ANH</v>
      </c>
      <c r="B19" s="298" t="str">
        <f>F_Inputs!B19</f>
        <v>CWW20A_051_PR24</v>
      </c>
      <c r="C19" s="298" t="str">
        <f>F_Inputs!C19</f>
        <v>Network / Storm overflow data - Number of new MCERTs flow monitors (PFF) installed at SPSs with combined emergency and storm overflows.</v>
      </c>
      <c r="D19" s="298" t="str">
        <f>F_Inputs!D19</f>
        <v>nr</v>
      </c>
      <c r="E19" s="298" t="str">
        <f>F_Inputs!E19</f>
        <v>Price Review 2024</v>
      </c>
      <c r="F19" s="301" t="str">
        <f>F_Inputs!F19</f>
        <v/>
      </c>
      <c r="G19" s="301" t="str">
        <f>F_Inputs!G19</f>
        <v/>
      </c>
      <c r="H19" s="301" t="str">
        <f>F_Inputs!H19</f>
        <v/>
      </c>
      <c r="I19" s="301" t="str">
        <f>F_Inputs!I19</f>
        <v/>
      </c>
      <c r="J19" s="301" t="str">
        <f>F_Inputs!J19</f>
        <v/>
      </c>
      <c r="K19" s="301" t="str">
        <f>F_Inputs!K19</f>
        <v/>
      </c>
      <c r="L19" s="301" t="str">
        <f>F_Inputs!L19</f>
        <v/>
      </c>
      <c r="Q19" s="3" t="str">
        <f t="shared" si="1"/>
        <v>CWW20A</v>
      </c>
      <c r="R19" s="296" t="str">
        <f t="shared" si="2"/>
        <v/>
      </c>
      <c r="S19" s="296" t="str">
        <f t="shared" si="3"/>
        <v/>
      </c>
      <c r="T19" s="296">
        <f t="shared" si="4"/>
        <v>0</v>
      </c>
      <c r="U19" s="296">
        <f t="shared" si="5"/>
        <v>0</v>
      </c>
      <c r="V19" s="296">
        <f t="shared" si="6"/>
        <v>0</v>
      </c>
      <c r="W19" s="296">
        <f t="shared" si="7"/>
        <v>0</v>
      </c>
      <c r="X19" s="296">
        <f t="shared" si="8"/>
        <v>0</v>
      </c>
    </row>
    <row r="20" spans="1:24" s="296" customFormat="1" ht="13.15">
      <c r="A20" s="298" t="str">
        <f>F_Inputs!A20</f>
        <v>ANH</v>
      </c>
      <c r="B20" s="298" t="str">
        <f>F_Inputs!B20</f>
        <v>CWW1A_015TOT_PR24</v>
      </c>
      <c r="C20" s="298" t="str">
        <f>F_Inputs!C20</f>
        <v>Net totex - Total</v>
      </c>
      <c r="D20" s="298" t="str">
        <f>F_Inputs!D20</f>
        <v>£m</v>
      </c>
      <c r="E20" s="298" t="str">
        <f>F_Inputs!E20</f>
        <v>Price Review 2024</v>
      </c>
      <c r="F20" s="301">
        <f>F_Inputs!F20</f>
        <v>678.24128242532845</v>
      </c>
      <c r="G20" s="301">
        <f>F_Inputs!G20</f>
        <v>838.85920750518312</v>
      </c>
      <c r="H20" s="301">
        <f>F_Inputs!H20</f>
        <v>918.35791855506159</v>
      </c>
      <c r="I20" s="301">
        <f>F_Inputs!I20</f>
        <v>1252.510714614566</v>
      </c>
      <c r="J20" s="301">
        <f>F_Inputs!J20</f>
        <v>1373.6720073368151</v>
      </c>
      <c r="K20" s="301">
        <f>F_Inputs!K20</f>
        <v>1412.752604889323</v>
      </c>
      <c r="L20" s="301">
        <f>F_Inputs!L20</f>
        <v>1043.517799885112</v>
      </c>
      <c r="Q20" s="3" t="str">
        <f t="shared" si="1"/>
        <v>CWW1A_</v>
      </c>
      <c r="R20" s="296">
        <f t="shared" si="2"/>
        <v>0</v>
      </c>
      <c r="S20" s="296">
        <f t="shared" si="3"/>
        <v>0</v>
      </c>
      <c r="T20" s="296">
        <f t="shared" si="4"/>
        <v>918.35791855506159</v>
      </c>
      <c r="U20" s="296">
        <f t="shared" si="5"/>
        <v>1252.510714614566</v>
      </c>
      <c r="V20" s="296">
        <f t="shared" si="6"/>
        <v>1373.6720073368151</v>
      </c>
      <c r="W20" s="296">
        <f t="shared" si="7"/>
        <v>1412.752604889323</v>
      </c>
      <c r="X20" s="296">
        <f t="shared" si="8"/>
        <v>1043.517799885112</v>
      </c>
    </row>
    <row r="21" spans="1:24" s="296" customFormat="1" ht="13.15">
      <c r="A21" s="298" t="str">
        <f>F_Inputs!A21</f>
        <v>WSH</v>
      </c>
      <c r="B21" s="298" t="str">
        <f>F_Inputs!B21</f>
        <v>CWW3_010TOT_PR24</v>
      </c>
      <c r="C21" s="298" t="str">
        <f>F_Inputs!C21</f>
        <v>EA/NRW environmental programme wastewater (WINEP/NEP) - MCERTs monitoring at emergency sewage pumping station overflows (WINEP/NEP) wastewater capex - Total</v>
      </c>
      <c r="D21" s="298" t="str">
        <f>F_Inputs!D21</f>
        <v>£m</v>
      </c>
      <c r="E21" s="298" t="str">
        <f>F_Inputs!E21</f>
        <v>Price Review 2024</v>
      </c>
      <c r="F21" s="301">
        <f>F_Inputs!F21</f>
        <v>0</v>
      </c>
      <c r="G21" s="301">
        <f>F_Inputs!G21</f>
        <v>0</v>
      </c>
      <c r="H21" s="301">
        <f>F_Inputs!H21</f>
        <v>3.8420000000000001</v>
      </c>
      <c r="I21" s="301">
        <f>F_Inputs!I21</f>
        <v>5.617</v>
      </c>
      <c r="J21" s="301">
        <f>F_Inputs!J21</f>
        <v>5.5249999999999986</v>
      </c>
      <c r="K21" s="301">
        <f>F_Inputs!K21</f>
        <v>3.722999999999999</v>
      </c>
      <c r="L21" s="301">
        <f>F_Inputs!L21</f>
        <v>0</v>
      </c>
      <c r="Q21" s="3" t="str">
        <f t="shared" si="1"/>
        <v>CWW3_0</v>
      </c>
      <c r="R21" s="296">
        <f t="shared" si="2"/>
        <v>0</v>
      </c>
      <c r="S21" s="296">
        <f t="shared" si="3"/>
        <v>0</v>
      </c>
      <c r="T21" s="296">
        <f t="shared" si="4"/>
        <v>3.8420000000000001</v>
      </c>
      <c r="U21" s="296">
        <f t="shared" si="5"/>
        <v>5.617</v>
      </c>
      <c r="V21" s="296">
        <f t="shared" si="6"/>
        <v>5.5249999999999986</v>
      </c>
      <c r="W21" s="296">
        <f t="shared" si="7"/>
        <v>3.722999999999999</v>
      </c>
      <c r="X21" s="296">
        <f t="shared" si="8"/>
        <v>0</v>
      </c>
    </row>
    <row r="22" spans="1:24" s="296" customFormat="1" ht="13.15">
      <c r="A22" s="298" t="str">
        <f>F_Inputs!A22</f>
        <v>WSH</v>
      </c>
      <c r="B22" s="298" t="str">
        <f>F_Inputs!B22</f>
        <v>CWW3_011TOT_PR24</v>
      </c>
      <c r="C22" s="298" t="str">
        <f>F_Inputs!C22</f>
        <v>EA/NRW environmental programme wastewater (WINEP/NEP) - MCERTs monitoring at emergency sewage pumping station overflows (WINEP/NEP) wastewater opex - Total</v>
      </c>
      <c r="D22" s="298" t="str">
        <f>F_Inputs!D22</f>
        <v>£m</v>
      </c>
      <c r="E22" s="298" t="str">
        <f>F_Inputs!E22</f>
        <v>Price Review 2024</v>
      </c>
      <c r="F22" s="301">
        <f>F_Inputs!F22</f>
        <v>0</v>
      </c>
      <c r="G22" s="301">
        <f>F_Inputs!G22</f>
        <v>0</v>
      </c>
      <c r="H22" s="301">
        <f>F_Inputs!H22</f>
        <v>0.14000000000000001</v>
      </c>
      <c r="I22" s="301">
        <f>F_Inputs!I22</f>
        <v>0.35099999999999998</v>
      </c>
      <c r="J22" s="301">
        <f>F_Inputs!J22</f>
        <v>0.56700000000000006</v>
      </c>
      <c r="K22" s="301">
        <f>F_Inputs!K22</f>
        <v>0.71299999999999997</v>
      </c>
      <c r="L22" s="301">
        <f>F_Inputs!L22</f>
        <v>0.71399999999999997</v>
      </c>
      <c r="Q22" s="3" t="str">
        <f t="shared" si="1"/>
        <v>CWW3_0</v>
      </c>
      <c r="R22" s="296">
        <f t="shared" si="2"/>
        <v>0</v>
      </c>
      <c r="S22" s="296">
        <f t="shared" si="3"/>
        <v>0</v>
      </c>
      <c r="T22" s="296">
        <f t="shared" si="4"/>
        <v>0.14000000000000001</v>
      </c>
      <c r="U22" s="296">
        <f t="shared" si="5"/>
        <v>0.35099999999999998</v>
      </c>
      <c r="V22" s="296">
        <f t="shared" si="6"/>
        <v>0.56700000000000006</v>
      </c>
      <c r="W22" s="296">
        <f t="shared" si="7"/>
        <v>0.71299999999999997</v>
      </c>
      <c r="X22" s="296">
        <f t="shared" si="8"/>
        <v>0.71399999999999997</v>
      </c>
    </row>
    <row r="23" spans="1:24" s="296" customFormat="1" ht="13.15">
      <c r="A23" s="298" t="str">
        <f>F_Inputs!A23</f>
        <v>WSH</v>
      </c>
      <c r="B23" s="298" t="str">
        <f>F_Inputs!B23</f>
        <v>CWW3_012TOT_PR24</v>
      </c>
      <c r="C23" s="298" t="str">
        <f>F_Inputs!C23</f>
        <v>EA/NRW environmental programme wastewater (WINEP/NEP) - MCERTs monitoring at emergency sewage pumping station overflows (WINEP/NEP) wastewater totex - Total</v>
      </c>
      <c r="D23" s="298" t="str">
        <f>F_Inputs!D23</f>
        <v>£m</v>
      </c>
      <c r="E23" s="298" t="str">
        <f>F_Inputs!E23</f>
        <v>Price Review 2024</v>
      </c>
      <c r="F23" s="301">
        <f>F_Inputs!F23</f>
        <v>0</v>
      </c>
      <c r="G23" s="301">
        <f>F_Inputs!G23</f>
        <v>0</v>
      </c>
      <c r="H23" s="301">
        <f>F_Inputs!H23</f>
        <v>3.9820000000000002</v>
      </c>
      <c r="I23" s="301">
        <f>F_Inputs!I23</f>
        <v>5.9680000000000009</v>
      </c>
      <c r="J23" s="301">
        <f>F_Inputs!J23</f>
        <v>6.0919999999999996</v>
      </c>
      <c r="K23" s="301">
        <f>F_Inputs!K23</f>
        <v>4.4359999999999999</v>
      </c>
      <c r="L23" s="301">
        <f>F_Inputs!L23</f>
        <v>0.71399999999999997</v>
      </c>
      <c r="Q23" s="3" t="str">
        <f t="shared" si="1"/>
        <v>CWW3_0</v>
      </c>
      <c r="R23" s="296">
        <f t="shared" si="2"/>
        <v>0</v>
      </c>
      <c r="S23" s="296">
        <f t="shared" si="3"/>
        <v>0</v>
      </c>
      <c r="T23" s="296">
        <f t="shared" si="4"/>
        <v>3.9820000000000002</v>
      </c>
      <c r="U23" s="296">
        <f t="shared" si="5"/>
        <v>5.9680000000000009</v>
      </c>
      <c r="V23" s="296">
        <f t="shared" si="6"/>
        <v>6.0919999999999996</v>
      </c>
      <c r="W23" s="296">
        <f t="shared" si="7"/>
        <v>4.4359999999999999</v>
      </c>
      <c r="X23" s="296">
        <f t="shared" si="8"/>
        <v>0.71399999999999997</v>
      </c>
    </row>
    <row r="24" spans="1:24" s="296" customFormat="1" ht="13.15">
      <c r="A24" s="298" t="str">
        <f>F_Inputs!A24</f>
        <v>WSH</v>
      </c>
      <c r="B24" s="298" t="str">
        <f>F_Inputs!B24</f>
        <v>CWW12_010TOT_PR24</v>
      </c>
      <c r="C24" s="298" t="str">
        <f>F_Inputs!C24</f>
        <v>EA/NRW environmental programme wastewater (WINEP/NEP) - MCERTs monitoring at emergency sewage pumping station overflows (WINEP/NEP) wastewater capex - Total</v>
      </c>
      <c r="D24" s="298" t="str">
        <f>F_Inputs!D24</f>
        <v>£m</v>
      </c>
      <c r="E24" s="298" t="str">
        <f>F_Inputs!E24</f>
        <v>Price Review 2024</v>
      </c>
      <c r="F24" s="301">
        <f>F_Inputs!F24</f>
        <v>0</v>
      </c>
      <c r="G24" s="301">
        <f>F_Inputs!G24</f>
        <v>0</v>
      </c>
      <c r="H24" s="301" t="str">
        <f>F_Inputs!H24</f>
        <v/>
      </c>
      <c r="I24" s="301" t="str">
        <f>F_Inputs!I24</f>
        <v/>
      </c>
      <c r="J24" s="301" t="str">
        <f>F_Inputs!J24</f>
        <v/>
      </c>
      <c r="K24" s="301" t="str">
        <f>F_Inputs!K24</f>
        <v/>
      </c>
      <c r="L24" s="301" t="str">
        <f>F_Inputs!L24</f>
        <v/>
      </c>
      <c r="Q24" s="3" t="str">
        <f t="shared" si="1"/>
        <v>CWW12_</v>
      </c>
      <c r="R24" s="296">
        <f t="shared" si="2"/>
        <v>0</v>
      </c>
      <c r="S24" s="296">
        <f t="shared" si="3"/>
        <v>0</v>
      </c>
      <c r="T24" s="296">
        <f t="shared" si="4"/>
        <v>0</v>
      </c>
      <c r="U24" s="296">
        <f t="shared" si="5"/>
        <v>0</v>
      </c>
      <c r="V24" s="296">
        <f t="shared" si="6"/>
        <v>0</v>
      </c>
      <c r="W24" s="296">
        <f t="shared" si="7"/>
        <v>0</v>
      </c>
      <c r="X24" s="296">
        <f t="shared" si="8"/>
        <v>0</v>
      </c>
    </row>
    <row r="25" spans="1:24" s="296" customFormat="1" ht="13.15">
      <c r="A25" s="298" t="str">
        <f>F_Inputs!A25</f>
        <v>WSH</v>
      </c>
      <c r="B25" s="298" t="str">
        <f>F_Inputs!B25</f>
        <v>CWW12_011TOT_PR24</v>
      </c>
      <c r="C25" s="298" t="str">
        <f>F_Inputs!C25</f>
        <v>EA/NRW environmental programme wastewater (WINEP/NEP) - MCERTs monitoring at emergency sewage pumping station overflows (WINEP/NEP) wastewater opex - Total</v>
      </c>
      <c r="D25" s="298" t="str">
        <f>F_Inputs!D25</f>
        <v>£m</v>
      </c>
      <c r="E25" s="298" t="str">
        <f>F_Inputs!E25</f>
        <v>Price Review 2024</v>
      </c>
      <c r="F25" s="301">
        <f>F_Inputs!F25</f>
        <v>0</v>
      </c>
      <c r="G25" s="301">
        <f>F_Inputs!G25</f>
        <v>0</v>
      </c>
      <c r="H25" s="301" t="str">
        <f>F_Inputs!H25</f>
        <v/>
      </c>
      <c r="I25" s="301" t="str">
        <f>F_Inputs!I25</f>
        <v/>
      </c>
      <c r="J25" s="301" t="str">
        <f>F_Inputs!J25</f>
        <v/>
      </c>
      <c r="K25" s="301" t="str">
        <f>F_Inputs!K25</f>
        <v/>
      </c>
      <c r="L25" s="301" t="str">
        <f>F_Inputs!L25</f>
        <v/>
      </c>
      <c r="Q25" s="3" t="str">
        <f t="shared" si="1"/>
        <v>CWW12_</v>
      </c>
      <c r="R25" s="296">
        <f t="shared" si="2"/>
        <v>0</v>
      </c>
      <c r="S25" s="296">
        <f t="shared" si="3"/>
        <v>0</v>
      </c>
      <c r="T25" s="296">
        <f t="shared" si="4"/>
        <v>0</v>
      </c>
      <c r="U25" s="296">
        <f t="shared" si="5"/>
        <v>0</v>
      </c>
      <c r="V25" s="296">
        <f t="shared" si="6"/>
        <v>0</v>
      </c>
      <c r="W25" s="296">
        <f t="shared" si="7"/>
        <v>0</v>
      </c>
      <c r="X25" s="296">
        <f t="shared" si="8"/>
        <v>0</v>
      </c>
    </row>
    <row r="26" spans="1:24" s="296" customFormat="1" ht="13.15">
      <c r="A26" s="298" t="str">
        <f>F_Inputs!A26</f>
        <v>WSH</v>
      </c>
      <c r="B26" s="298" t="str">
        <f>F_Inputs!B26</f>
        <v>CWW12_012TOT_PR24</v>
      </c>
      <c r="C26" s="298" t="str">
        <f>F_Inputs!C26</f>
        <v>EA/NRW environmental programme wastewater (WINEP/NEP) - MCERTs monitoring at emergency sewage pumping station overflows (WINEP/NEP) wastewater totex - Total</v>
      </c>
      <c r="D26" s="298" t="str">
        <f>F_Inputs!D26</f>
        <v>£m</v>
      </c>
      <c r="E26" s="298" t="str">
        <f>F_Inputs!E26</f>
        <v>Price Review 2024</v>
      </c>
      <c r="F26" s="301">
        <f>F_Inputs!F26</f>
        <v>0</v>
      </c>
      <c r="G26" s="301">
        <f>F_Inputs!G26</f>
        <v>0</v>
      </c>
      <c r="H26" s="301" t="str">
        <f>F_Inputs!H26</f>
        <v/>
      </c>
      <c r="I26" s="301" t="str">
        <f>F_Inputs!I26</f>
        <v/>
      </c>
      <c r="J26" s="301" t="str">
        <f>F_Inputs!J26</f>
        <v/>
      </c>
      <c r="K26" s="301" t="str">
        <f>F_Inputs!K26</f>
        <v/>
      </c>
      <c r="L26" s="301" t="str">
        <f>F_Inputs!L26</f>
        <v/>
      </c>
      <c r="Q26" s="3" t="str">
        <f t="shared" si="1"/>
        <v>CWW12_</v>
      </c>
      <c r="R26" s="296">
        <f t="shared" si="2"/>
        <v>0</v>
      </c>
      <c r="S26" s="296">
        <f t="shared" si="3"/>
        <v>0</v>
      </c>
      <c r="T26" s="296">
        <f t="shared" si="4"/>
        <v>0</v>
      </c>
      <c r="U26" s="296">
        <f t="shared" si="5"/>
        <v>0</v>
      </c>
      <c r="V26" s="296">
        <f t="shared" si="6"/>
        <v>0</v>
      </c>
      <c r="W26" s="296">
        <f t="shared" si="7"/>
        <v>0</v>
      </c>
      <c r="X26" s="296">
        <f t="shared" si="8"/>
        <v>0</v>
      </c>
    </row>
    <row r="27" spans="1:24" s="296" customFormat="1" ht="13.15">
      <c r="A27" s="298" t="str">
        <f>F_Inputs!A27</f>
        <v>WSH</v>
      </c>
      <c r="B27" s="298" t="str">
        <f>F_Inputs!B27</f>
        <v>CWW17_010TOT_PR24</v>
      </c>
      <c r="C27" s="298" t="str">
        <f>F_Inputs!C27</f>
        <v>EA/NRW environmental programme wastewater (WINEP/NEP) - MCERTs monitoring at emergency sewage pumping station overflows (WINEP/NEP) wastewater capex - Total</v>
      </c>
      <c r="D27" s="298" t="str">
        <f>F_Inputs!D27</f>
        <v>£m</v>
      </c>
      <c r="E27" s="298" t="str">
        <f>F_Inputs!E27</f>
        <v>Price Review 2024</v>
      </c>
      <c r="F27" s="301">
        <f>F_Inputs!F27</f>
        <v>0</v>
      </c>
      <c r="G27" s="301">
        <f>F_Inputs!G27</f>
        <v>0</v>
      </c>
      <c r="H27" s="301">
        <f>F_Inputs!H27</f>
        <v>0</v>
      </c>
      <c r="I27" s="301">
        <f>F_Inputs!I27</f>
        <v>0</v>
      </c>
      <c r="J27" s="301">
        <f>F_Inputs!J27</f>
        <v>0</v>
      </c>
      <c r="K27" s="301">
        <f>F_Inputs!K27</f>
        <v>0</v>
      </c>
      <c r="L27" s="301">
        <f>F_Inputs!L27</f>
        <v>0</v>
      </c>
      <c r="Q27" s="3" t="str">
        <f t="shared" si="1"/>
        <v>CWW17_</v>
      </c>
      <c r="R27" s="296">
        <f t="shared" si="2"/>
        <v>0</v>
      </c>
      <c r="S27" s="296">
        <f t="shared" si="3"/>
        <v>0</v>
      </c>
      <c r="T27" s="296">
        <f t="shared" si="4"/>
        <v>0</v>
      </c>
      <c r="U27" s="296">
        <f t="shared" si="5"/>
        <v>0</v>
      </c>
      <c r="V27" s="296">
        <f t="shared" si="6"/>
        <v>0</v>
      </c>
      <c r="W27" s="296">
        <f t="shared" si="7"/>
        <v>0</v>
      </c>
      <c r="X27" s="296">
        <f t="shared" si="8"/>
        <v>0</v>
      </c>
    </row>
    <row r="28" spans="1:24" s="296" customFormat="1" ht="13.15">
      <c r="A28" s="298" t="str">
        <f>F_Inputs!A28</f>
        <v>WSH</v>
      </c>
      <c r="B28" s="298" t="str">
        <f>F_Inputs!B28</f>
        <v>CWW17_011TOT_PR24</v>
      </c>
      <c r="C28" s="298" t="str">
        <f>F_Inputs!C28</f>
        <v>EA/NRW environmental programme wastewater (WINEP/NEP) - MCERTs monitoring at emergency sewage pumping station overflows (WINEP/NEP) wastewater opex - Total</v>
      </c>
      <c r="D28" s="298" t="str">
        <f>F_Inputs!D28</f>
        <v>£m</v>
      </c>
      <c r="E28" s="298" t="str">
        <f>F_Inputs!E28</f>
        <v>Price Review 2024</v>
      </c>
      <c r="F28" s="301">
        <f>F_Inputs!F28</f>
        <v>0</v>
      </c>
      <c r="G28" s="301">
        <f>F_Inputs!G28</f>
        <v>0</v>
      </c>
      <c r="H28" s="301">
        <f>F_Inputs!H28</f>
        <v>0</v>
      </c>
      <c r="I28" s="301">
        <f>F_Inputs!I28</f>
        <v>0</v>
      </c>
      <c r="J28" s="301">
        <f>F_Inputs!J28</f>
        <v>0</v>
      </c>
      <c r="K28" s="301">
        <f>F_Inputs!K28</f>
        <v>0</v>
      </c>
      <c r="L28" s="301">
        <f>F_Inputs!L28</f>
        <v>0</v>
      </c>
      <c r="Q28" s="3" t="str">
        <f t="shared" si="1"/>
        <v>CWW17_</v>
      </c>
      <c r="R28" s="296">
        <f t="shared" si="2"/>
        <v>0</v>
      </c>
      <c r="S28" s="296">
        <f t="shared" si="3"/>
        <v>0</v>
      </c>
      <c r="T28" s="296">
        <f t="shared" si="4"/>
        <v>0</v>
      </c>
      <c r="U28" s="296">
        <f t="shared" si="5"/>
        <v>0</v>
      </c>
      <c r="V28" s="296">
        <f t="shared" si="6"/>
        <v>0</v>
      </c>
      <c r="W28" s="296">
        <f t="shared" si="7"/>
        <v>0</v>
      </c>
      <c r="X28" s="296">
        <f t="shared" si="8"/>
        <v>0</v>
      </c>
    </row>
    <row r="29" spans="1:24" s="296" customFormat="1" ht="13.15">
      <c r="A29" s="298" t="str">
        <f>F_Inputs!A29</f>
        <v>WSH</v>
      </c>
      <c r="B29" s="298" t="str">
        <f>F_Inputs!B29</f>
        <v>CWW17_012TOT_PR24</v>
      </c>
      <c r="C29" s="298" t="str">
        <f>F_Inputs!C29</f>
        <v>EA/NRW environmental programme wastewater (WINEP/NEP) - MCERTs monitoring at emergency sewage pumping station overflows (WINEP/NEP) wastewater totex - Total</v>
      </c>
      <c r="D29" s="298" t="str">
        <f>F_Inputs!D29</f>
        <v>£m</v>
      </c>
      <c r="E29" s="298" t="str">
        <f>F_Inputs!E29</f>
        <v>Price Review 2024</v>
      </c>
      <c r="F29" s="301">
        <f>F_Inputs!F29</f>
        <v>0</v>
      </c>
      <c r="G29" s="301">
        <f>F_Inputs!G29</f>
        <v>0</v>
      </c>
      <c r="H29" s="301">
        <f>F_Inputs!H29</f>
        <v>0</v>
      </c>
      <c r="I29" s="301">
        <f>F_Inputs!I29</f>
        <v>0</v>
      </c>
      <c r="J29" s="301">
        <f>F_Inputs!J29</f>
        <v>0</v>
      </c>
      <c r="K29" s="301">
        <f>F_Inputs!K29</f>
        <v>0</v>
      </c>
      <c r="L29" s="301">
        <f>F_Inputs!L29</f>
        <v>0</v>
      </c>
      <c r="Q29" s="3" t="str">
        <f t="shared" si="1"/>
        <v>CWW17_</v>
      </c>
      <c r="R29" s="296">
        <f t="shared" si="2"/>
        <v>0</v>
      </c>
      <c r="S29" s="296">
        <f t="shared" si="3"/>
        <v>0</v>
      </c>
      <c r="T29" s="296">
        <f t="shared" si="4"/>
        <v>0</v>
      </c>
      <c r="U29" s="296">
        <f t="shared" si="5"/>
        <v>0</v>
      </c>
      <c r="V29" s="296">
        <f t="shared" si="6"/>
        <v>0</v>
      </c>
      <c r="W29" s="296">
        <f t="shared" si="7"/>
        <v>0</v>
      </c>
      <c r="X29" s="296">
        <f t="shared" si="8"/>
        <v>0</v>
      </c>
    </row>
    <row r="30" spans="1:24" s="296" customFormat="1" ht="13.15">
      <c r="A30" s="298" t="str">
        <f>F_Inputs!A30</f>
        <v>WSH</v>
      </c>
      <c r="B30" s="298" t="str">
        <f>F_Inputs!B30</f>
        <v>CWW20_050_PR24</v>
      </c>
      <c r="C30" s="298" t="str">
        <f>F_Inputs!C30</f>
        <v>Network / Storm overflow data - Number of new MCERTs event duration monitors installed at SPS emergency overflows</v>
      </c>
      <c r="D30" s="298" t="str">
        <f>F_Inputs!D30</f>
        <v>nr</v>
      </c>
      <c r="E30" s="298" t="str">
        <f>F_Inputs!E30</f>
        <v>Price Review 2024</v>
      </c>
      <c r="F30" s="301">
        <f>F_Inputs!F30</f>
        <v>0</v>
      </c>
      <c r="G30" s="301">
        <f>F_Inputs!G30</f>
        <v>0</v>
      </c>
      <c r="H30" s="301">
        <f>F_Inputs!H30</f>
        <v>162</v>
      </c>
      <c r="I30" s="301">
        <f>F_Inputs!I30</f>
        <v>244</v>
      </c>
      <c r="J30" s="301">
        <f>F_Inputs!J30</f>
        <v>244</v>
      </c>
      <c r="K30" s="301">
        <f>F_Inputs!K30</f>
        <v>163</v>
      </c>
      <c r="L30" s="301">
        <f>F_Inputs!L30</f>
        <v>0</v>
      </c>
      <c r="Q30" s="3" t="str">
        <f t="shared" si="1"/>
        <v>CWW20_</v>
      </c>
      <c r="R30" s="296">
        <f t="shared" si="2"/>
        <v>0</v>
      </c>
      <c r="S30" s="296">
        <f t="shared" si="3"/>
        <v>0</v>
      </c>
      <c r="T30" s="296">
        <f t="shared" si="4"/>
        <v>162</v>
      </c>
      <c r="U30" s="296">
        <f t="shared" si="5"/>
        <v>244</v>
      </c>
      <c r="V30" s="296">
        <f t="shared" si="6"/>
        <v>244</v>
      </c>
      <c r="W30" s="296">
        <f t="shared" si="7"/>
        <v>163</v>
      </c>
      <c r="X30" s="296">
        <f t="shared" si="8"/>
        <v>0</v>
      </c>
    </row>
    <row r="31" spans="1:24" s="296" customFormat="1" ht="13.15">
      <c r="A31" s="298" t="str">
        <f>F_Inputs!A31</f>
        <v>WSH</v>
      </c>
      <c r="B31" s="298" t="str">
        <f>F_Inputs!B31</f>
        <v>CWW20_051_PR24</v>
      </c>
      <c r="C31" s="298" t="str">
        <f>F_Inputs!C31</f>
        <v>Network / Storm overflow data - Number of new MCERTs flow monitors (PFF) installed at SPSs with combined emergency and storm overflows.</v>
      </c>
      <c r="D31" s="298" t="str">
        <f>F_Inputs!D31</f>
        <v>nr</v>
      </c>
      <c r="E31" s="298" t="str">
        <f>F_Inputs!E31</f>
        <v>Price Review 2024</v>
      </c>
      <c r="F31" s="301">
        <f>F_Inputs!F31</f>
        <v>0</v>
      </c>
      <c r="G31" s="301">
        <f>F_Inputs!G31</f>
        <v>0</v>
      </c>
      <c r="H31" s="301">
        <f>F_Inputs!H31</f>
        <v>1</v>
      </c>
      <c r="I31" s="301">
        <f>F_Inputs!I31</f>
        <v>2</v>
      </c>
      <c r="J31" s="301">
        <f>F_Inputs!J31</f>
        <v>2</v>
      </c>
      <c r="K31" s="301">
        <f>F_Inputs!K31</f>
        <v>2</v>
      </c>
      <c r="L31" s="301">
        <f>F_Inputs!L31</f>
        <v>0</v>
      </c>
      <c r="Q31" s="3" t="str">
        <f t="shared" si="1"/>
        <v>CWW20_</v>
      </c>
      <c r="R31" s="296">
        <f t="shared" si="2"/>
        <v>0</v>
      </c>
      <c r="S31" s="296">
        <f t="shared" si="3"/>
        <v>0</v>
      </c>
      <c r="T31" s="296">
        <f t="shared" si="4"/>
        <v>1</v>
      </c>
      <c r="U31" s="296">
        <f t="shared" si="5"/>
        <v>2</v>
      </c>
      <c r="V31" s="296">
        <f t="shared" si="6"/>
        <v>2</v>
      </c>
      <c r="W31" s="296">
        <f t="shared" si="7"/>
        <v>2</v>
      </c>
      <c r="X31" s="296">
        <f t="shared" si="8"/>
        <v>0</v>
      </c>
    </row>
    <row r="32" spans="1:24" s="296" customFormat="1" ht="13.15">
      <c r="A32" s="298" t="str">
        <f>F_Inputs!A32</f>
        <v>WSH</v>
      </c>
      <c r="B32" s="298" t="str">
        <f>F_Inputs!B32</f>
        <v>CWW20A_050_PR24</v>
      </c>
      <c r="C32" s="298" t="str">
        <f>F_Inputs!C32</f>
        <v>Network / Storm overflow data - Number of new MCERTs event duration monitors installed at SPS emergency overflows</v>
      </c>
      <c r="D32" s="298" t="str">
        <f>F_Inputs!D32</f>
        <v>nr</v>
      </c>
      <c r="E32" s="298" t="str">
        <f>F_Inputs!E32</f>
        <v>Price Review 2024</v>
      </c>
      <c r="F32" s="301" t="str">
        <f>F_Inputs!F32</f>
        <v/>
      </c>
      <c r="G32" s="301" t="str">
        <f>F_Inputs!G32</f>
        <v/>
      </c>
      <c r="H32" s="301" t="str">
        <f>F_Inputs!H32</f>
        <v/>
      </c>
      <c r="I32" s="301" t="str">
        <f>F_Inputs!I32</f>
        <v/>
      </c>
      <c r="J32" s="301" t="str">
        <f>F_Inputs!J32</f>
        <v/>
      </c>
      <c r="K32" s="301" t="str">
        <f>F_Inputs!K32</f>
        <v/>
      </c>
      <c r="L32" s="301" t="str">
        <f>F_Inputs!L32</f>
        <v/>
      </c>
      <c r="Q32" s="3" t="str">
        <f t="shared" si="1"/>
        <v>CWW20A</v>
      </c>
      <c r="R32" s="296" t="str">
        <f t="shared" si="2"/>
        <v/>
      </c>
      <c r="S32" s="296" t="str">
        <f t="shared" si="3"/>
        <v/>
      </c>
      <c r="T32" s="296">
        <f t="shared" si="4"/>
        <v>0</v>
      </c>
      <c r="U32" s="296">
        <f t="shared" si="5"/>
        <v>0</v>
      </c>
      <c r="V32" s="296">
        <f t="shared" si="6"/>
        <v>0</v>
      </c>
      <c r="W32" s="296">
        <f t="shared" si="7"/>
        <v>0</v>
      </c>
      <c r="X32" s="296">
        <f t="shared" si="8"/>
        <v>0</v>
      </c>
    </row>
    <row r="33" spans="1:24" s="296" customFormat="1" ht="13.15">
      <c r="A33" s="298" t="str">
        <f>F_Inputs!A33</f>
        <v>WSH</v>
      </c>
      <c r="B33" s="298" t="str">
        <f>F_Inputs!B33</f>
        <v>CWW20A_051_PR24</v>
      </c>
      <c r="C33" s="298" t="str">
        <f>F_Inputs!C33</f>
        <v>Network / Storm overflow data - Number of new MCERTs flow monitors (PFF) installed at SPSs with combined emergency and storm overflows.</v>
      </c>
      <c r="D33" s="298" t="str">
        <f>F_Inputs!D33</f>
        <v>nr</v>
      </c>
      <c r="E33" s="298" t="str">
        <f>F_Inputs!E33</f>
        <v>Price Review 2024</v>
      </c>
      <c r="F33" s="301" t="str">
        <f>F_Inputs!F33</f>
        <v/>
      </c>
      <c r="G33" s="301" t="str">
        <f>F_Inputs!G33</f>
        <v/>
      </c>
      <c r="H33" s="301" t="str">
        <f>F_Inputs!H33</f>
        <v/>
      </c>
      <c r="I33" s="301" t="str">
        <f>F_Inputs!I33</f>
        <v/>
      </c>
      <c r="J33" s="301" t="str">
        <f>F_Inputs!J33</f>
        <v/>
      </c>
      <c r="K33" s="301" t="str">
        <f>F_Inputs!K33</f>
        <v/>
      </c>
      <c r="L33" s="301" t="str">
        <f>F_Inputs!L33</f>
        <v/>
      </c>
      <c r="Q33" s="3" t="str">
        <f t="shared" si="1"/>
        <v>CWW20A</v>
      </c>
      <c r="R33" s="296" t="str">
        <f t="shared" si="2"/>
        <v/>
      </c>
      <c r="S33" s="296" t="str">
        <f t="shared" si="3"/>
        <v/>
      </c>
      <c r="T33" s="296">
        <f t="shared" si="4"/>
        <v>0</v>
      </c>
      <c r="U33" s="296">
        <f t="shared" si="5"/>
        <v>0</v>
      </c>
      <c r="V33" s="296">
        <f t="shared" si="6"/>
        <v>0</v>
      </c>
      <c r="W33" s="296">
        <f t="shared" si="7"/>
        <v>0</v>
      </c>
      <c r="X33" s="296">
        <f t="shared" si="8"/>
        <v>0</v>
      </c>
    </row>
    <row r="34" spans="1:24" s="296" customFormat="1" ht="13.15">
      <c r="A34" s="298" t="str">
        <f>F_Inputs!A34</f>
        <v>WSH</v>
      </c>
      <c r="B34" s="298" t="str">
        <f>F_Inputs!B34</f>
        <v>CWW1A_015TOT_PR24</v>
      </c>
      <c r="C34" s="298" t="str">
        <f>F_Inputs!C34</f>
        <v>Net totex - Total</v>
      </c>
      <c r="D34" s="298" t="str">
        <f>F_Inputs!D34</f>
        <v>£m</v>
      </c>
      <c r="E34" s="298" t="str">
        <f>F_Inputs!E34</f>
        <v>Price Review 2024</v>
      </c>
      <c r="F34" s="301">
        <f>F_Inputs!F34</f>
        <v>350.28846713347019</v>
      </c>
      <c r="G34" s="301">
        <f>F_Inputs!G34</f>
        <v>406.59500000000008</v>
      </c>
      <c r="H34" s="301">
        <f>F_Inputs!H34</f>
        <v>532.04300000000001</v>
      </c>
      <c r="I34" s="301">
        <f>F_Inputs!I34</f>
        <v>677.46500000000003</v>
      </c>
      <c r="J34" s="301">
        <f>F_Inputs!J34</f>
        <v>781.62900000000002</v>
      </c>
      <c r="K34" s="301">
        <f>F_Inputs!K34</f>
        <v>743.375</v>
      </c>
      <c r="L34" s="301">
        <f>F_Inputs!L34</f>
        <v>583.65700000000004</v>
      </c>
      <c r="Q34" s="3" t="str">
        <f t="shared" si="1"/>
        <v>CWW1A_</v>
      </c>
      <c r="R34" s="296">
        <f t="shared" si="2"/>
        <v>0</v>
      </c>
      <c r="S34" s="296">
        <f t="shared" si="3"/>
        <v>0</v>
      </c>
      <c r="T34" s="296">
        <f t="shared" si="4"/>
        <v>532.04300000000001</v>
      </c>
      <c r="U34" s="296">
        <f t="shared" si="5"/>
        <v>677.46500000000003</v>
      </c>
      <c r="V34" s="296">
        <f t="shared" si="6"/>
        <v>781.62900000000002</v>
      </c>
      <c r="W34" s="296">
        <f t="shared" si="7"/>
        <v>743.375</v>
      </c>
      <c r="X34" s="296">
        <f t="shared" si="8"/>
        <v>583.65700000000004</v>
      </c>
    </row>
    <row r="35" spans="1:24" s="296" customFormat="1" ht="13.15">
      <c r="A35" s="298" t="str">
        <f>F_Inputs!A35</f>
        <v>HDD</v>
      </c>
      <c r="B35" s="298" t="str">
        <f>F_Inputs!B35</f>
        <v>CWW3_010TOT_PR24</v>
      </c>
      <c r="C35" s="298" t="str">
        <f>F_Inputs!C35</f>
        <v>EA/NRW environmental programme wastewater (WINEP/NEP) - MCERTs monitoring at emergency sewage pumping station overflows (WINEP/NEP) wastewater capex - Total</v>
      </c>
      <c r="D35" s="298" t="str">
        <f>F_Inputs!D35</f>
        <v>£m</v>
      </c>
      <c r="E35" s="298" t="str">
        <f>F_Inputs!E35</f>
        <v>Price Review 2024</v>
      </c>
      <c r="F35" s="301">
        <f>F_Inputs!F35</f>
        <v>0</v>
      </c>
      <c r="G35" s="301">
        <f>F_Inputs!G35</f>
        <v>0</v>
      </c>
      <c r="H35" s="301">
        <f>F_Inputs!H35</f>
        <v>5.3999999999999999E-2</v>
      </c>
      <c r="I35" s="301">
        <f>F_Inputs!I35</f>
        <v>5.3999999999999999E-2</v>
      </c>
      <c r="J35" s="301">
        <f>F_Inputs!J35</f>
        <v>0.13600000000000001</v>
      </c>
      <c r="K35" s="301">
        <f>F_Inputs!K35</f>
        <v>0.16500000000000001</v>
      </c>
      <c r="L35" s="301">
        <f>F_Inputs!L35</f>
        <v>0.13800000000000001</v>
      </c>
      <c r="Q35" s="3" t="str">
        <f t="shared" si="1"/>
        <v>CWW3_0</v>
      </c>
      <c r="R35" s="296">
        <f t="shared" si="2"/>
        <v>0</v>
      </c>
      <c r="S35" s="296">
        <f t="shared" si="3"/>
        <v>0</v>
      </c>
      <c r="T35" s="296">
        <f t="shared" si="4"/>
        <v>5.3999999999999999E-2</v>
      </c>
      <c r="U35" s="296">
        <f t="shared" si="5"/>
        <v>5.3999999999999999E-2</v>
      </c>
      <c r="V35" s="296">
        <f t="shared" si="6"/>
        <v>0.13600000000000001</v>
      </c>
      <c r="W35" s="296">
        <f t="shared" si="7"/>
        <v>0.16500000000000001</v>
      </c>
      <c r="X35" s="296">
        <f t="shared" si="8"/>
        <v>0.13800000000000001</v>
      </c>
    </row>
    <row r="36" spans="1:24" s="296" customFormat="1" ht="13.15">
      <c r="A36" s="298" t="str">
        <f>F_Inputs!A36</f>
        <v>HDD</v>
      </c>
      <c r="B36" s="298" t="str">
        <f>F_Inputs!B36</f>
        <v>CWW3_011TOT_PR24</v>
      </c>
      <c r="C36" s="298" t="str">
        <f>F_Inputs!C36</f>
        <v>EA/NRW environmental programme wastewater (WINEP/NEP) - MCERTs monitoring at emergency sewage pumping station overflows (WINEP/NEP) wastewater opex - Total</v>
      </c>
      <c r="D36" s="298" t="str">
        <f>F_Inputs!D36</f>
        <v>£m</v>
      </c>
      <c r="E36" s="298" t="str">
        <f>F_Inputs!E36</f>
        <v>Price Review 2024</v>
      </c>
      <c r="F36" s="301">
        <f>F_Inputs!F36</f>
        <v>0</v>
      </c>
      <c r="G36" s="301">
        <f>F_Inputs!G36</f>
        <v>0</v>
      </c>
      <c r="H36" s="301">
        <f>F_Inputs!H36</f>
        <v>1E-3</v>
      </c>
      <c r="I36" s="301">
        <f>F_Inputs!I36</f>
        <v>1E-3</v>
      </c>
      <c r="J36" s="301">
        <f>F_Inputs!J36</f>
        <v>3.0000000000000001E-3</v>
      </c>
      <c r="K36" s="301">
        <f>F_Inputs!K36</f>
        <v>6.0000000000000001E-3</v>
      </c>
      <c r="L36" s="301">
        <f>F_Inputs!L36</f>
        <v>8.0000000000000002E-3</v>
      </c>
      <c r="Q36" s="3" t="str">
        <f t="shared" si="1"/>
        <v>CWW3_0</v>
      </c>
      <c r="R36" s="296">
        <f t="shared" si="2"/>
        <v>0</v>
      </c>
      <c r="S36" s="296">
        <f t="shared" si="3"/>
        <v>0</v>
      </c>
      <c r="T36" s="296">
        <f t="shared" si="4"/>
        <v>1E-3</v>
      </c>
      <c r="U36" s="296">
        <f t="shared" si="5"/>
        <v>1E-3</v>
      </c>
      <c r="V36" s="296">
        <f t="shared" si="6"/>
        <v>3.0000000000000001E-3</v>
      </c>
      <c r="W36" s="296">
        <f t="shared" si="7"/>
        <v>6.0000000000000001E-3</v>
      </c>
      <c r="X36" s="296">
        <f t="shared" si="8"/>
        <v>8.0000000000000002E-3</v>
      </c>
    </row>
    <row r="37" spans="1:24" s="296" customFormat="1" ht="13.15">
      <c r="A37" s="298" t="str">
        <f>F_Inputs!A37</f>
        <v>HDD</v>
      </c>
      <c r="B37" s="298" t="str">
        <f>F_Inputs!B37</f>
        <v>CWW3_012TOT_PR24</v>
      </c>
      <c r="C37" s="298" t="str">
        <f>F_Inputs!C37</f>
        <v>EA/NRW environmental programme wastewater (WINEP/NEP) - MCERTs monitoring at emergency sewage pumping station overflows (WINEP/NEP) wastewater totex - Total</v>
      </c>
      <c r="D37" s="298" t="str">
        <f>F_Inputs!D37</f>
        <v>£m</v>
      </c>
      <c r="E37" s="298" t="str">
        <f>F_Inputs!E37</f>
        <v>Price Review 2024</v>
      </c>
      <c r="F37" s="301">
        <f>F_Inputs!F37</f>
        <v>0</v>
      </c>
      <c r="G37" s="301">
        <f>F_Inputs!G37</f>
        <v>0</v>
      </c>
      <c r="H37" s="301">
        <f>F_Inputs!H37</f>
        <v>5.5E-2</v>
      </c>
      <c r="I37" s="301">
        <f>F_Inputs!I37</f>
        <v>5.5E-2</v>
      </c>
      <c r="J37" s="301">
        <f>F_Inputs!J37</f>
        <v>0.13900000000000001</v>
      </c>
      <c r="K37" s="301">
        <f>F_Inputs!K37</f>
        <v>0.17100000000000001</v>
      </c>
      <c r="L37" s="301">
        <f>F_Inputs!L37</f>
        <v>0.14599999999999999</v>
      </c>
      <c r="Q37" s="3" t="str">
        <f t="shared" si="1"/>
        <v>CWW3_0</v>
      </c>
      <c r="R37" s="296">
        <f t="shared" si="2"/>
        <v>0</v>
      </c>
      <c r="S37" s="296">
        <f t="shared" si="3"/>
        <v>0</v>
      </c>
      <c r="T37" s="296">
        <f t="shared" si="4"/>
        <v>5.5E-2</v>
      </c>
      <c r="U37" s="296">
        <f t="shared" si="5"/>
        <v>5.5E-2</v>
      </c>
      <c r="V37" s="296">
        <f t="shared" si="6"/>
        <v>0.13900000000000001</v>
      </c>
      <c r="W37" s="296">
        <f t="shared" si="7"/>
        <v>0.17100000000000001</v>
      </c>
      <c r="X37" s="296">
        <f t="shared" si="8"/>
        <v>0.14599999999999999</v>
      </c>
    </row>
    <row r="38" spans="1:24" s="296" customFormat="1" ht="13.15">
      <c r="A38" s="298" t="str">
        <f>F_Inputs!A38</f>
        <v>HDD</v>
      </c>
      <c r="B38" s="298" t="str">
        <f>F_Inputs!B38</f>
        <v>CWW12_010TOT_PR24</v>
      </c>
      <c r="C38" s="298" t="str">
        <f>F_Inputs!C38</f>
        <v>EA/NRW environmental programme wastewater (WINEP/NEP) - MCERTs monitoring at emergency sewage pumping station overflows (WINEP/NEP) wastewater capex - Total</v>
      </c>
      <c r="D38" s="298" t="str">
        <f>F_Inputs!D38</f>
        <v>£m</v>
      </c>
      <c r="E38" s="298" t="str">
        <f>F_Inputs!E38</f>
        <v>Price Review 2024</v>
      </c>
      <c r="F38" s="301">
        <f>F_Inputs!F38</f>
        <v>0</v>
      </c>
      <c r="G38" s="301">
        <f>F_Inputs!G38</f>
        <v>0</v>
      </c>
      <c r="H38" s="301" t="str">
        <f>F_Inputs!H38</f>
        <v/>
      </c>
      <c r="I38" s="301" t="str">
        <f>F_Inputs!I38</f>
        <v/>
      </c>
      <c r="J38" s="301" t="str">
        <f>F_Inputs!J38</f>
        <v/>
      </c>
      <c r="K38" s="301" t="str">
        <f>F_Inputs!K38</f>
        <v/>
      </c>
      <c r="L38" s="301" t="str">
        <f>F_Inputs!L38</f>
        <v/>
      </c>
      <c r="Q38" s="3" t="str">
        <f t="shared" si="1"/>
        <v>CWW12_</v>
      </c>
      <c r="R38" s="296">
        <f t="shared" si="2"/>
        <v>0</v>
      </c>
      <c r="S38" s="296">
        <f t="shared" si="3"/>
        <v>0</v>
      </c>
      <c r="T38" s="296">
        <f t="shared" si="4"/>
        <v>0</v>
      </c>
      <c r="U38" s="296">
        <f t="shared" si="5"/>
        <v>0</v>
      </c>
      <c r="V38" s="296">
        <f t="shared" si="6"/>
        <v>0</v>
      </c>
      <c r="W38" s="296">
        <f t="shared" si="7"/>
        <v>0</v>
      </c>
      <c r="X38" s="296">
        <f t="shared" si="8"/>
        <v>0</v>
      </c>
    </row>
    <row r="39" spans="1:24" s="296" customFormat="1" ht="13.15">
      <c r="A39" s="298" t="str">
        <f>F_Inputs!A39</f>
        <v>HDD</v>
      </c>
      <c r="B39" s="298" t="str">
        <f>F_Inputs!B39</f>
        <v>CWW12_011TOT_PR24</v>
      </c>
      <c r="C39" s="298" t="str">
        <f>F_Inputs!C39</f>
        <v>EA/NRW environmental programme wastewater (WINEP/NEP) - MCERTs monitoring at emergency sewage pumping station overflows (WINEP/NEP) wastewater opex - Total</v>
      </c>
      <c r="D39" s="298" t="str">
        <f>F_Inputs!D39</f>
        <v>£m</v>
      </c>
      <c r="E39" s="298" t="str">
        <f>F_Inputs!E39</f>
        <v>Price Review 2024</v>
      </c>
      <c r="F39" s="301">
        <f>F_Inputs!F39</f>
        <v>0</v>
      </c>
      <c r="G39" s="301">
        <f>F_Inputs!G39</f>
        <v>0</v>
      </c>
      <c r="H39" s="301" t="str">
        <f>F_Inputs!H39</f>
        <v/>
      </c>
      <c r="I39" s="301" t="str">
        <f>F_Inputs!I39</f>
        <v/>
      </c>
      <c r="J39" s="301" t="str">
        <f>F_Inputs!J39</f>
        <v/>
      </c>
      <c r="K39" s="301" t="str">
        <f>F_Inputs!K39</f>
        <v/>
      </c>
      <c r="L39" s="301" t="str">
        <f>F_Inputs!L39</f>
        <v/>
      </c>
      <c r="Q39" s="3" t="str">
        <f t="shared" si="1"/>
        <v>CWW12_</v>
      </c>
      <c r="R39" s="296">
        <f t="shared" si="2"/>
        <v>0</v>
      </c>
      <c r="S39" s="296">
        <f t="shared" si="3"/>
        <v>0</v>
      </c>
      <c r="T39" s="296">
        <f t="shared" si="4"/>
        <v>0</v>
      </c>
      <c r="U39" s="296">
        <f t="shared" si="5"/>
        <v>0</v>
      </c>
      <c r="V39" s="296">
        <f t="shared" si="6"/>
        <v>0</v>
      </c>
      <c r="W39" s="296">
        <f t="shared" si="7"/>
        <v>0</v>
      </c>
      <c r="X39" s="296">
        <f t="shared" si="8"/>
        <v>0</v>
      </c>
    </row>
    <row r="40" spans="1:24" s="296" customFormat="1" ht="13.15">
      <c r="A40" s="298" t="str">
        <f>F_Inputs!A40</f>
        <v>HDD</v>
      </c>
      <c r="B40" s="298" t="str">
        <f>F_Inputs!B40</f>
        <v>CWW12_012TOT_PR24</v>
      </c>
      <c r="C40" s="298" t="str">
        <f>F_Inputs!C40</f>
        <v>EA/NRW environmental programme wastewater (WINEP/NEP) - MCERTs monitoring at emergency sewage pumping station overflows (WINEP/NEP) wastewater totex - Total</v>
      </c>
      <c r="D40" s="298" t="str">
        <f>F_Inputs!D40</f>
        <v>£m</v>
      </c>
      <c r="E40" s="298" t="str">
        <f>F_Inputs!E40</f>
        <v>Price Review 2024</v>
      </c>
      <c r="F40" s="301">
        <f>F_Inputs!F40</f>
        <v>0</v>
      </c>
      <c r="G40" s="301">
        <f>F_Inputs!G40</f>
        <v>0</v>
      </c>
      <c r="H40" s="301" t="str">
        <f>F_Inputs!H40</f>
        <v/>
      </c>
      <c r="I40" s="301" t="str">
        <f>F_Inputs!I40</f>
        <v/>
      </c>
      <c r="J40" s="301" t="str">
        <f>F_Inputs!J40</f>
        <v/>
      </c>
      <c r="K40" s="301" t="str">
        <f>F_Inputs!K40</f>
        <v/>
      </c>
      <c r="L40" s="301" t="str">
        <f>F_Inputs!L40</f>
        <v/>
      </c>
      <c r="Q40" s="3" t="str">
        <f t="shared" si="1"/>
        <v>CWW12_</v>
      </c>
      <c r="R40" s="296">
        <f t="shared" si="2"/>
        <v>0</v>
      </c>
      <c r="S40" s="296">
        <f t="shared" si="3"/>
        <v>0</v>
      </c>
      <c r="T40" s="296">
        <f t="shared" si="4"/>
        <v>0</v>
      </c>
      <c r="U40" s="296">
        <f t="shared" si="5"/>
        <v>0</v>
      </c>
      <c r="V40" s="296">
        <f t="shared" si="6"/>
        <v>0</v>
      </c>
      <c r="W40" s="296">
        <f t="shared" si="7"/>
        <v>0</v>
      </c>
      <c r="X40" s="296">
        <f t="shared" si="8"/>
        <v>0</v>
      </c>
    </row>
    <row r="41" spans="1:24" s="296" customFormat="1" ht="13.15">
      <c r="A41" s="298" t="str">
        <f>F_Inputs!A41</f>
        <v>HDD</v>
      </c>
      <c r="B41" s="298" t="str">
        <f>F_Inputs!B41</f>
        <v>CWW17_010TOT_PR24</v>
      </c>
      <c r="C41" s="298" t="str">
        <f>F_Inputs!C41</f>
        <v>EA/NRW environmental programme wastewater (WINEP/NEP) - MCERTs monitoring at emergency sewage pumping station overflows (WINEP/NEP) wastewater capex - Total</v>
      </c>
      <c r="D41" s="298" t="str">
        <f>F_Inputs!D41</f>
        <v>£m</v>
      </c>
      <c r="E41" s="298" t="str">
        <f>F_Inputs!E41</f>
        <v>Price Review 2024</v>
      </c>
      <c r="F41" s="301">
        <f>F_Inputs!F41</f>
        <v>0</v>
      </c>
      <c r="G41" s="301">
        <f>F_Inputs!G41</f>
        <v>0</v>
      </c>
      <c r="H41" s="301">
        <f>F_Inputs!H41</f>
        <v>0</v>
      </c>
      <c r="I41" s="301">
        <f>F_Inputs!I41</f>
        <v>0</v>
      </c>
      <c r="J41" s="301">
        <f>F_Inputs!J41</f>
        <v>0</v>
      </c>
      <c r="K41" s="301">
        <f>F_Inputs!K41</f>
        <v>0</v>
      </c>
      <c r="L41" s="301">
        <f>F_Inputs!L41</f>
        <v>0</v>
      </c>
      <c r="Q41" s="3" t="str">
        <f t="shared" si="1"/>
        <v>CWW17_</v>
      </c>
      <c r="R41" s="296">
        <f t="shared" si="2"/>
        <v>0</v>
      </c>
      <c r="S41" s="296">
        <f t="shared" si="3"/>
        <v>0</v>
      </c>
      <c r="T41" s="296">
        <f t="shared" si="4"/>
        <v>0</v>
      </c>
      <c r="U41" s="296">
        <f t="shared" si="5"/>
        <v>0</v>
      </c>
      <c r="V41" s="296">
        <f t="shared" si="6"/>
        <v>0</v>
      </c>
      <c r="W41" s="296">
        <f t="shared" si="7"/>
        <v>0</v>
      </c>
      <c r="X41" s="296">
        <f t="shared" si="8"/>
        <v>0</v>
      </c>
    </row>
    <row r="42" spans="1:24" s="296" customFormat="1" ht="13.15">
      <c r="A42" s="298" t="str">
        <f>F_Inputs!A42</f>
        <v>HDD</v>
      </c>
      <c r="B42" s="298" t="str">
        <f>F_Inputs!B42</f>
        <v>CWW17_011TOT_PR24</v>
      </c>
      <c r="C42" s="298" t="str">
        <f>F_Inputs!C42</f>
        <v>EA/NRW environmental programme wastewater (WINEP/NEP) - MCERTs monitoring at emergency sewage pumping station overflows (WINEP/NEP) wastewater opex - Total</v>
      </c>
      <c r="D42" s="298" t="str">
        <f>F_Inputs!D42</f>
        <v>£m</v>
      </c>
      <c r="E42" s="298" t="str">
        <f>F_Inputs!E42</f>
        <v>Price Review 2024</v>
      </c>
      <c r="F42" s="301">
        <f>F_Inputs!F42</f>
        <v>0</v>
      </c>
      <c r="G42" s="301">
        <f>F_Inputs!G42</f>
        <v>0</v>
      </c>
      <c r="H42" s="301">
        <f>F_Inputs!H42</f>
        <v>0</v>
      </c>
      <c r="I42" s="301">
        <f>F_Inputs!I42</f>
        <v>0</v>
      </c>
      <c r="J42" s="301">
        <f>F_Inputs!J42</f>
        <v>0</v>
      </c>
      <c r="K42" s="301">
        <f>F_Inputs!K42</f>
        <v>0</v>
      </c>
      <c r="L42" s="301">
        <f>F_Inputs!L42</f>
        <v>0</v>
      </c>
      <c r="Q42" s="3" t="str">
        <f t="shared" si="1"/>
        <v>CWW17_</v>
      </c>
      <c r="R42" s="296">
        <f t="shared" si="2"/>
        <v>0</v>
      </c>
      <c r="S42" s="296">
        <f t="shared" si="3"/>
        <v>0</v>
      </c>
      <c r="T42" s="296">
        <f t="shared" si="4"/>
        <v>0</v>
      </c>
      <c r="U42" s="296">
        <f t="shared" si="5"/>
        <v>0</v>
      </c>
      <c r="V42" s="296">
        <f t="shared" si="6"/>
        <v>0</v>
      </c>
      <c r="W42" s="296">
        <f t="shared" si="7"/>
        <v>0</v>
      </c>
      <c r="X42" s="296">
        <f t="shared" si="8"/>
        <v>0</v>
      </c>
    </row>
    <row r="43" spans="1:24" s="296" customFormat="1" ht="13.15">
      <c r="A43" s="298" t="str">
        <f>F_Inputs!A43</f>
        <v>HDD</v>
      </c>
      <c r="B43" s="298" t="str">
        <f>F_Inputs!B43</f>
        <v>CWW17_012TOT_PR24</v>
      </c>
      <c r="C43" s="298" t="str">
        <f>F_Inputs!C43</f>
        <v>EA/NRW environmental programme wastewater (WINEP/NEP) - MCERTs monitoring at emergency sewage pumping station overflows (WINEP/NEP) wastewater totex - Total</v>
      </c>
      <c r="D43" s="298" t="str">
        <f>F_Inputs!D43</f>
        <v>£m</v>
      </c>
      <c r="E43" s="298" t="str">
        <f>F_Inputs!E43</f>
        <v>Price Review 2024</v>
      </c>
      <c r="F43" s="301">
        <f>F_Inputs!F43</f>
        <v>0</v>
      </c>
      <c r="G43" s="301">
        <f>F_Inputs!G43</f>
        <v>0</v>
      </c>
      <c r="H43" s="301">
        <f>F_Inputs!H43</f>
        <v>0</v>
      </c>
      <c r="I43" s="301">
        <f>F_Inputs!I43</f>
        <v>0</v>
      </c>
      <c r="J43" s="301">
        <f>F_Inputs!J43</f>
        <v>0</v>
      </c>
      <c r="K43" s="301">
        <f>F_Inputs!K43</f>
        <v>0</v>
      </c>
      <c r="L43" s="301">
        <f>F_Inputs!L43</f>
        <v>0</v>
      </c>
      <c r="Q43" s="3" t="str">
        <f t="shared" si="1"/>
        <v>CWW17_</v>
      </c>
      <c r="R43" s="296">
        <f t="shared" si="2"/>
        <v>0</v>
      </c>
      <c r="S43" s="296">
        <f t="shared" si="3"/>
        <v>0</v>
      </c>
      <c r="T43" s="296">
        <f t="shared" si="4"/>
        <v>0</v>
      </c>
      <c r="U43" s="296">
        <f t="shared" si="5"/>
        <v>0</v>
      </c>
      <c r="V43" s="296">
        <f t="shared" si="6"/>
        <v>0</v>
      </c>
      <c r="W43" s="296">
        <f t="shared" si="7"/>
        <v>0</v>
      </c>
      <c r="X43" s="296">
        <f t="shared" si="8"/>
        <v>0</v>
      </c>
    </row>
    <row r="44" spans="1:24" s="296" customFormat="1" ht="13.15">
      <c r="A44" s="298" t="str">
        <f>F_Inputs!A44</f>
        <v>HDD</v>
      </c>
      <c r="B44" s="298" t="str">
        <f>F_Inputs!B44</f>
        <v>CWW20_050_PR24</v>
      </c>
      <c r="C44" s="298" t="str">
        <f>F_Inputs!C44</f>
        <v>Network / Storm overflow data - Number of new MCERTs event duration monitors installed at SPS emergency overflows</v>
      </c>
      <c r="D44" s="298" t="str">
        <f>F_Inputs!D44</f>
        <v>nr</v>
      </c>
      <c r="E44" s="298" t="str">
        <f>F_Inputs!E44</f>
        <v>Price Review 2024</v>
      </c>
      <c r="F44" s="301">
        <f>F_Inputs!F44</f>
        <v>0</v>
      </c>
      <c r="G44" s="301">
        <f>F_Inputs!G44</f>
        <v>0</v>
      </c>
      <c r="H44" s="301">
        <f>F_Inputs!H44</f>
        <v>1</v>
      </c>
      <c r="I44" s="301">
        <f>F_Inputs!I44</f>
        <v>1</v>
      </c>
      <c r="J44" s="301">
        <f>F_Inputs!J44</f>
        <v>1</v>
      </c>
      <c r="K44" s="301">
        <f>F_Inputs!K44</f>
        <v>1</v>
      </c>
      <c r="L44" s="301">
        <f>F_Inputs!L44</f>
        <v>1</v>
      </c>
      <c r="Q44" s="3" t="str">
        <f t="shared" si="1"/>
        <v>CWW20_</v>
      </c>
      <c r="R44" s="296">
        <f t="shared" si="2"/>
        <v>0</v>
      </c>
      <c r="S44" s="296">
        <f t="shared" si="3"/>
        <v>0</v>
      </c>
      <c r="T44" s="296">
        <f t="shared" si="4"/>
        <v>1</v>
      </c>
      <c r="U44" s="296">
        <f t="shared" si="5"/>
        <v>1</v>
      </c>
      <c r="V44" s="296">
        <f t="shared" si="6"/>
        <v>1</v>
      </c>
      <c r="W44" s="296">
        <f t="shared" si="7"/>
        <v>1</v>
      </c>
      <c r="X44" s="296">
        <f t="shared" si="8"/>
        <v>1</v>
      </c>
    </row>
    <row r="45" spans="1:24" s="296" customFormat="1" ht="13.15">
      <c r="A45" s="298" t="str">
        <f>F_Inputs!A45</f>
        <v>HDD</v>
      </c>
      <c r="B45" s="298" t="str">
        <f>F_Inputs!B45</f>
        <v>CWW20_051_PR24</v>
      </c>
      <c r="C45" s="298" t="str">
        <f>F_Inputs!C45</f>
        <v>Network / Storm overflow data - Number of new MCERTs flow monitors (PFF) installed at SPSs with combined emergency and storm overflows.</v>
      </c>
      <c r="D45" s="298" t="str">
        <f>F_Inputs!D45</f>
        <v>nr</v>
      </c>
      <c r="E45" s="298" t="str">
        <f>F_Inputs!E45</f>
        <v>Price Review 2024</v>
      </c>
      <c r="F45" s="301">
        <f>F_Inputs!F45</f>
        <v>0</v>
      </c>
      <c r="G45" s="301">
        <f>F_Inputs!G45</f>
        <v>0</v>
      </c>
      <c r="H45" s="301">
        <f>F_Inputs!H45</f>
        <v>0</v>
      </c>
      <c r="I45" s="301">
        <f>F_Inputs!I45</f>
        <v>1</v>
      </c>
      <c r="J45" s="301">
        <f>F_Inputs!J45</f>
        <v>1</v>
      </c>
      <c r="K45" s="301">
        <f>F_Inputs!K45</f>
        <v>1</v>
      </c>
      <c r="L45" s="301">
        <f>F_Inputs!L45</f>
        <v>1</v>
      </c>
      <c r="Q45" s="3" t="str">
        <f t="shared" si="1"/>
        <v>CWW20_</v>
      </c>
      <c r="R45" s="296">
        <f t="shared" si="2"/>
        <v>0</v>
      </c>
      <c r="S45" s="296">
        <f t="shared" si="3"/>
        <v>0</v>
      </c>
      <c r="T45" s="296">
        <f t="shared" si="4"/>
        <v>0</v>
      </c>
      <c r="U45" s="296">
        <f t="shared" si="5"/>
        <v>1</v>
      </c>
      <c r="V45" s="296">
        <f t="shared" si="6"/>
        <v>1</v>
      </c>
      <c r="W45" s="296">
        <f t="shared" si="7"/>
        <v>1</v>
      </c>
      <c r="X45" s="296">
        <f t="shared" si="8"/>
        <v>1</v>
      </c>
    </row>
    <row r="46" spans="1:24" s="296" customFormat="1" ht="13.15">
      <c r="A46" s="298" t="str">
        <f>F_Inputs!A46</f>
        <v>HDD</v>
      </c>
      <c r="B46" s="298" t="str">
        <f>F_Inputs!B46</f>
        <v>CWW20A_050_PR24</v>
      </c>
      <c r="C46" s="298" t="str">
        <f>F_Inputs!C46</f>
        <v>Network / Storm overflow data - Number of new MCERTs event duration monitors installed at SPS emergency overflows</v>
      </c>
      <c r="D46" s="298" t="str">
        <f>F_Inputs!D46</f>
        <v>nr</v>
      </c>
      <c r="E46" s="298" t="str">
        <f>F_Inputs!E46</f>
        <v>Price Review 2024</v>
      </c>
      <c r="F46" s="301" t="str">
        <f>F_Inputs!F46</f>
        <v/>
      </c>
      <c r="G46" s="301" t="str">
        <f>F_Inputs!G46</f>
        <v/>
      </c>
      <c r="H46" s="301" t="str">
        <f>F_Inputs!H46</f>
        <v/>
      </c>
      <c r="I46" s="301" t="str">
        <f>F_Inputs!I46</f>
        <v/>
      </c>
      <c r="J46" s="301" t="str">
        <f>F_Inputs!J46</f>
        <v/>
      </c>
      <c r="K46" s="301" t="str">
        <f>F_Inputs!K46</f>
        <v/>
      </c>
      <c r="L46" s="301" t="str">
        <f>F_Inputs!L46</f>
        <v/>
      </c>
      <c r="Q46" s="3" t="str">
        <f t="shared" si="1"/>
        <v>CWW20A</v>
      </c>
      <c r="R46" s="296" t="str">
        <f t="shared" si="2"/>
        <v/>
      </c>
      <c r="S46" s="296" t="str">
        <f t="shared" si="3"/>
        <v/>
      </c>
      <c r="T46" s="296">
        <f t="shared" si="4"/>
        <v>0</v>
      </c>
      <c r="U46" s="296">
        <f t="shared" si="5"/>
        <v>0</v>
      </c>
      <c r="V46" s="296">
        <f t="shared" si="6"/>
        <v>0</v>
      </c>
      <c r="W46" s="296">
        <f t="shared" si="7"/>
        <v>0</v>
      </c>
      <c r="X46" s="296">
        <f t="shared" si="8"/>
        <v>0</v>
      </c>
    </row>
    <row r="47" spans="1:24" s="296" customFormat="1" ht="13.15">
      <c r="A47" s="298" t="str">
        <f>F_Inputs!A47</f>
        <v>HDD</v>
      </c>
      <c r="B47" s="298" t="str">
        <f>F_Inputs!B47</f>
        <v>CWW20A_051_PR24</v>
      </c>
      <c r="C47" s="298" t="str">
        <f>F_Inputs!C47</f>
        <v>Network / Storm overflow data - Number of new MCERTs flow monitors (PFF) installed at SPSs with combined emergency and storm overflows.</v>
      </c>
      <c r="D47" s="298" t="str">
        <f>F_Inputs!D47</f>
        <v>nr</v>
      </c>
      <c r="E47" s="298" t="str">
        <f>F_Inputs!E47</f>
        <v>Price Review 2024</v>
      </c>
      <c r="F47" s="301" t="str">
        <f>F_Inputs!F47</f>
        <v/>
      </c>
      <c r="G47" s="301" t="str">
        <f>F_Inputs!G47</f>
        <v/>
      </c>
      <c r="H47" s="301" t="str">
        <f>F_Inputs!H47</f>
        <v/>
      </c>
      <c r="I47" s="301" t="str">
        <f>F_Inputs!I47</f>
        <v/>
      </c>
      <c r="J47" s="301" t="str">
        <f>F_Inputs!J47</f>
        <v/>
      </c>
      <c r="K47" s="301" t="str">
        <f>F_Inputs!K47</f>
        <v/>
      </c>
      <c r="L47" s="301" t="str">
        <f>F_Inputs!L47</f>
        <v/>
      </c>
      <c r="Q47" s="3" t="str">
        <f t="shared" si="1"/>
        <v>CWW20A</v>
      </c>
      <c r="R47" s="296" t="str">
        <f t="shared" si="2"/>
        <v/>
      </c>
      <c r="S47" s="296" t="str">
        <f t="shared" si="3"/>
        <v/>
      </c>
      <c r="T47" s="296">
        <f t="shared" si="4"/>
        <v>0</v>
      </c>
      <c r="U47" s="296">
        <f t="shared" si="5"/>
        <v>0</v>
      </c>
      <c r="V47" s="296">
        <f t="shared" si="6"/>
        <v>0</v>
      </c>
      <c r="W47" s="296">
        <f t="shared" si="7"/>
        <v>0</v>
      </c>
      <c r="X47" s="296">
        <f t="shared" si="8"/>
        <v>0</v>
      </c>
    </row>
    <row r="48" spans="1:24" s="296" customFormat="1" ht="13.15">
      <c r="A48" s="298" t="str">
        <f>F_Inputs!A48</f>
        <v>HDD</v>
      </c>
      <c r="B48" s="298" t="str">
        <f>F_Inputs!B48</f>
        <v>CWW1A_015TOT_PR24</v>
      </c>
      <c r="C48" s="298" t="str">
        <f>F_Inputs!C48</f>
        <v>Net totex - Total</v>
      </c>
      <c r="D48" s="298" t="str">
        <f>F_Inputs!D48</f>
        <v>£m</v>
      </c>
      <c r="E48" s="298" t="str">
        <f>F_Inputs!E48</f>
        <v>Price Review 2024</v>
      </c>
      <c r="F48" s="301">
        <f>F_Inputs!F48</f>
        <v>7.3578121791581106</v>
      </c>
      <c r="G48" s="301">
        <f>F_Inputs!G48</f>
        <v>9.863093736902691</v>
      </c>
      <c r="H48" s="301">
        <f>F_Inputs!H48</f>
        <v>8.9449866348255469</v>
      </c>
      <c r="I48" s="301">
        <f>F_Inputs!I48</f>
        <v>10.513360129683161</v>
      </c>
      <c r="J48" s="301">
        <f>F_Inputs!J48</f>
        <v>14.777142001610789</v>
      </c>
      <c r="K48" s="301">
        <f>F_Inputs!K48</f>
        <v>17.269327311959941</v>
      </c>
      <c r="L48" s="301">
        <f>F_Inputs!L48</f>
        <v>9.7979959403769783</v>
      </c>
      <c r="Q48" s="3" t="str">
        <f t="shared" si="1"/>
        <v>CWW1A_</v>
      </c>
      <c r="R48" s="296">
        <f t="shared" si="2"/>
        <v>0</v>
      </c>
      <c r="S48" s="296">
        <f t="shared" si="3"/>
        <v>0</v>
      </c>
      <c r="T48" s="296">
        <f t="shared" si="4"/>
        <v>8.9449866348255469</v>
      </c>
      <c r="U48" s="296">
        <f t="shared" si="5"/>
        <v>10.513360129683161</v>
      </c>
      <c r="V48" s="296">
        <f t="shared" si="6"/>
        <v>14.777142001610789</v>
      </c>
      <c r="W48" s="296">
        <f t="shared" si="7"/>
        <v>17.269327311959941</v>
      </c>
      <c r="X48" s="296">
        <f t="shared" si="8"/>
        <v>9.7979959403769783</v>
      </c>
    </row>
    <row r="49" spans="1:24" s="296" customFormat="1" ht="13.15">
      <c r="A49" s="298" t="str">
        <f>F_Inputs!A49</f>
        <v>NES</v>
      </c>
      <c r="B49" s="298" t="str">
        <f>F_Inputs!B49</f>
        <v>CWW3_010TOT_PR24</v>
      </c>
      <c r="C49" s="298" t="str">
        <f>F_Inputs!C49</f>
        <v>EA/NRW environmental programme wastewater (WINEP/NEP) - MCERTs monitoring at emergency sewage pumping station overflows (WINEP/NEP) wastewater capex - Total</v>
      </c>
      <c r="D49" s="298" t="str">
        <f>F_Inputs!D49</f>
        <v>£m</v>
      </c>
      <c r="E49" s="298" t="str">
        <f>F_Inputs!E49</f>
        <v>Price Review 2024</v>
      </c>
      <c r="F49" s="301">
        <f>F_Inputs!F49</f>
        <v>0</v>
      </c>
      <c r="G49" s="301">
        <f>F_Inputs!G49</f>
        <v>0</v>
      </c>
      <c r="H49" s="301">
        <f>F_Inputs!H49</f>
        <v>5.6752500000000001</v>
      </c>
      <c r="I49" s="301">
        <f>F_Inputs!I49</f>
        <v>5.6752500000000001</v>
      </c>
      <c r="J49" s="301">
        <f>F_Inputs!J49</f>
        <v>5.6752500000000001</v>
      </c>
      <c r="K49" s="301">
        <f>F_Inputs!K49</f>
        <v>5.6752500000000001</v>
      </c>
      <c r="L49" s="301">
        <f>F_Inputs!L49</f>
        <v>5.6752500000000001</v>
      </c>
      <c r="Q49" s="3" t="str">
        <f t="shared" si="1"/>
        <v>CWW3_0</v>
      </c>
      <c r="R49" s="296">
        <f t="shared" si="2"/>
        <v>0</v>
      </c>
      <c r="S49" s="296">
        <f t="shared" si="3"/>
        <v>0</v>
      </c>
      <c r="T49" s="296">
        <f t="shared" si="4"/>
        <v>5.6752500000000001</v>
      </c>
      <c r="U49" s="296">
        <f t="shared" si="5"/>
        <v>5.6752500000000001</v>
      </c>
      <c r="V49" s="296">
        <f t="shared" si="6"/>
        <v>5.6752500000000001</v>
      </c>
      <c r="W49" s="296">
        <f t="shared" si="7"/>
        <v>5.6752500000000001</v>
      </c>
      <c r="X49" s="296">
        <f t="shared" si="8"/>
        <v>5.6752500000000001</v>
      </c>
    </row>
    <row r="50" spans="1:24" s="296" customFormat="1" ht="13.15">
      <c r="A50" s="298" t="str">
        <f>F_Inputs!A50</f>
        <v>NES</v>
      </c>
      <c r="B50" s="298" t="str">
        <f>F_Inputs!B50</f>
        <v>CWW3_011TOT_PR24</v>
      </c>
      <c r="C50" s="298" t="str">
        <f>F_Inputs!C50</f>
        <v>EA/NRW environmental programme wastewater (WINEP/NEP) - MCERTs monitoring at emergency sewage pumping station overflows (WINEP/NEP) wastewater opex - Total</v>
      </c>
      <c r="D50" s="298" t="str">
        <f>F_Inputs!D50</f>
        <v>£m</v>
      </c>
      <c r="E50" s="298" t="str">
        <f>F_Inputs!E50</f>
        <v>Price Review 2024</v>
      </c>
      <c r="F50" s="301">
        <f>F_Inputs!F50</f>
        <v>0</v>
      </c>
      <c r="G50" s="301">
        <f>F_Inputs!G50</f>
        <v>0</v>
      </c>
      <c r="H50" s="301">
        <f>F_Inputs!H50</f>
        <v>0</v>
      </c>
      <c r="I50" s="301">
        <f>F_Inputs!I50</f>
        <v>0.73750000000000004</v>
      </c>
      <c r="J50" s="301">
        <f>F_Inputs!J50</f>
        <v>0.73750000000000004</v>
      </c>
      <c r="K50" s="301">
        <f>F_Inputs!K50</f>
        <v>0.73750000000000004</v>
      </c>
      <c r="L50" s="301">
        <f>F_Inputs!L50</f>
        <v>0.73750000000000004</v>
      </c>
      <c r="Q50" s="3" t="str">
        <f t="shared" si="1"/>
        <v>CWW3_0</v>
      </c>
      <c r="R50" s="296">
        <f t="shared" si="2"/>
        <v>0</v>
      </c>
      <c r="S50" s="296">
        <f t="shared" si="3"/>
        <v>0</v>
      </c>
      <c r="T50" s="296">
        <f t="shared" si="4"/>
        <v>0</v>
      </c>
      <c r="U50" s="296">
        <f t="shared" si="5"/>
        <v>0.73750000000000004</v>
      </c>
      <c r="V50" s="296">
        <f t="shared" si="6"/>
        <v>0.73750000000000004</v>
      </c>
      <c r="W50" s="296">
        <f t="shared" si="7"/>
        <v>0.73750000000000004</v>
      </c>
      <c r="X50" s="296">
        <f t="shared" si="8"/>
        <v>0.73750000000000004</v>
      </c>
    </row>
    <row r="51" spans="1:24" s="296" customFormat="1" ht="13.15">
      <c r="A51" s="298" t="str">
        <f>F_Inputs!A51</f>
        <v>NES</v>
      </c>
      <c r="B51" s="298" t="str">
        <f>F_Inputs!B51</f>
        <v>CWW3_012TOT_PR24</v>
      </c>
      <c r="C51" s="298" t="str">
        <f>F_Inputs!C51</f>
        <v>EA/NRW environmental programme wastewater (WINEP/NEP) - MCERTs monitoring at emergency sewage pumping station overflows (WINEP/NEP) wastewater totex - Total</v>
      </c>
      <c r="D51" s="298" t="str">
        <f>F_Inputs!D51</f>
        <v>£m</v>
      </c>
      <c r="E51" s="298" t="str">
        <f>F_Inputs!E51</f>
        <v>Price Review 2024</v>
      </c>
      <c r="F51" s="301">
        <f>F_Inputs!F51</f>
        <v>0</v>
      </c>
      <c r="G51" s="301">
        <f>F_Inputs!G51</f>
        <v>0</v>
      </c>
      <c r="H51" s="301">
        <f>F_Inputs!H51</f>
        <v>5.6752500000000001</v>
      </c>
      <c r="I51" s="301">
        <f>F_Inputs!I51</f>
        <v>6.4127500000000008</v>
      </c>
      <c r="J51" s="301">
        <f>F_Inputs!J51</f>
        <v>6.4127500000000008</v>
      </c>
      <c r="K51" s="301">
        <f>F_Inputs!K51</f>
        <v>6.4127500000000008</v>
      </c>
      <c r="L51" s="301">
        <f>F_Inputs!L51</f>
        <v>6.4127500000000008</v>
      </c>
      <c r="Q51" s="3" t="str">
        <f t="shared" si="1"/>
        <v>CWW3_0</v>
      </c>
      <c r="R51" s="296">
        <f t="shared" si="2"/>
        <v>0</v>
      </c>
      <c r="S51" s="296">
        <f t="shared" si="3"/>
        <v>0</v>
      </c>
      <c r="T51" s="296">
        <f t="shared" si="4"/>
        <v>5.6752500000000001</v>
      </c>
      <c r="U51" s="296">
        <f t="shared" si="5"/>
        <v>6.4127500000000008</v>
      </c>
      <c r="V51" s="296">
        <f t="shared" si="6"/>
        <v>6.4127500000000008</v>
      </c>
      <c r="W51" s="296">
        <f t="shared" si="7"/>
        <v>6.4127500000000008</v>
      </c>
      <c r="X51" s="296">
        <f t="shared" si="8"/>
        <v>6.4127500000000008</v>
      </c>
    </row>
    <row r="52" spans="1:24" s="296" customFormat="1" ht="13.15">
      <c r="A52" s="298" t="str">
        <f>F_Inputs!A52</f>
        <v>NES</v>
      </c>
      <c r="B52" s="298" t="str">
        <f>F_Inputs!B52</f>
        <v>CWW12_010TOT_PR24</v>
      </c>
      <c r="C52" s="298" t="str">
        <f>F_Inputs!C52</f>
        <v>EA/NRW environmental programme wastewater (WINEP/NEP) - MCERTs monitoring at emergency sewage pumping station overflows (WINEP/NEP) wastewater capex - Total</v>
      </c>
      <c r="D52" s="298" t="str">
        <f>F_Inputs!D52</f>
        <v>£m</v>
      </c>
      <c r="E52" s="298" t="str">
        <f>F_Inputs!E52</f>
        <v>Price Review 2024</v>
      </c>
      <c r="F52" s="301">
        <f>F_Inputs!F52</f>
        <v>0</v>
      </c>
      <c r="G52" s="301">
        <f>F_Inputs!G52</f>
        <v>0</v>
      </c>
      <c r="H52" s="301" t="str">
        <f>F_Inputs!H52</f>
        <v/>
      </c>
      <c r="I52" s="301" t="str">
        <f>F_Inputs!I52</f>
        <v/>
      </c>
      <c r="J52" s="301" t="str">
        <f>F_Inputs!J52</f>
        <v/>
      </c>
      <c r="K52" s="301" t="str">
        <f>F_Inputs!K52</f>
        <v/>
      </c>
      <c r="L52" s="301" t="str">
        <f>F_Inputs!L52</f>
        <v/>
      </c>
      <c r="Q52" s="3" t="str">
        <f t="shared" si="1"/>
        <v>CWW12_</v>
      </c>
      <c r="R52" s="296">
        <f t="shared" si="2"/>
        <v>0</v>
      </c>
      <c r="S52" s="296">
        <f t="shared" si="3"/>
        <v>0</v>
      </c>
      <c r="T52" s="296">
        <f t="shared" si="4"/>
        <v>0</v>
      </c>
      <c r="U52" s="296">
        <f t="shared" si="5"/>
        <v>0</v>
      </c>
      <c r="V52" s="296">
        <f t="shared" si="6"/>
        <v>0</v>
      </c>
      <c r="W52" s="296">
        <f t="shared" si="7"/>
        <v>0</v>
      </c>
      <c r="X52" s="296">
        <f t="shared" si="8"/>
        <v>0</v>
      </c>
    </row>
    <row r="53" spans="1:24" s="296" customFormat="1" ht="13.15">
      <c r="A53" s="298" t="str">
        <f>F_Inputs!A53</f>
        <v>NES</v>
      </c>
      <c r="B53" s="298" t="str">
        <f>F_Inputs!B53</f>
        <v>CWW12_011TOT_PR24</v>
      </c>
      <c r="C53" s="298" t="str">
        <f>F_Inputs!C53</f>
        <v>EA/NRW environmental programme wastewater (WINEP/NEP) - MCERTs monitoring at emergency sewage pumping station overflows (WINEP/NEP) wastewater opex - Total</v>
      </c>
      <c r="D53" s="298" t="str">
        <f>F_Inputs!D53</f>
        <v>£m</v>
      </c>
      <c r="E53" s="298" t="str">
        <f>F_Inputs!E53</f>
        <v>Price Review 2024</v>
      </c>
      <c r="F53" s="301">
        <f>F_Inputs!F53</f>
        <v>0</v>
      </c>
      <c r="G53" s="301">
        <f>F_Inputs!G53</f>
        <v>0</v>
      </c>
      <c r="H53" s="301" t="str">
        <f>F_Inputs!H53</f>
        <v/>
      </c>
      <c r="I53" s="301" t="str">
        <f>F_Inputs!I53</f>
        <v/>
      </c>
      <c r="J53" s="301" t="str">
        <f>F_Inputs!J53</f>
        <v/>
      </c>
      <c r="K53" s="301" t="str">
        <f>F_Inputs!K53</f>
        <v/>
      </c>
      <c r="L53" s="301" t="str">
        <f>F_Inputs!L53</f>
        <v/>
      </c>
      <c r="Q53" s="3" t="str">
        <f t="shared" si="1"/>
        <v>CWW12_</v>
      </c>
      <c r="R53" s="296">
        <f t="shared" si="2"/>
        <v>0</v>
      </c>
      <c r="S53" s="296">
        <f t="shared" si="3"/>
        <v>0</v>
      </c>
      <c r="T53" s="296">
        <f t="shared" si="4"/>
        <v>0</v>
      </c>
      <c r="U53" s="296">
        <f t="shared" si="5"/>
        <v>0</v>
      </c>
      <c r="V53" s="296">
        <f t="shared" si="6"/>
        <v>0</v>
      </c>
      <c r="W53" s="296">
        <f t="shared" si="7"/>
        <v>0</v>
      </c>
      <c r="X53" s="296">
        <f t="shared" si="8"/>
        <v>0</v>
      </c>
    </row>
    <row r="54" spans="1:24" s="296" customFormat="1" ht="13.15">
      <c r="A54" s="298" t="str">
        <f>F_Inputs!A54</f>
        <v>NES</v>
      </c>
      <c r="B54" s="298" t="str">
        <f>F_Inputs!B54</f>
        <v>CWW12_012TOT_PR24</v>
      </c>
      <c r="C54" s="298" t="str">
        <f>F_Inputs!C54</f>
        <v>EA/NRW environmental programme wastewater (WINEP/NEP) - MCERTs monitoring at emergency sewage pumping station overflows (WINEP/NEP) wastewater totex - Total</v>
      </c>
      <c r="D54" s="298" t="str">
        <f>F_Inputs!D54</f>
        <v>£m</v>
      </c>
      <c r="E54" s="298" t="str">
        <f>F_Inputs!E54</f>
        <v>Price Review 2024</v>
      </c>
      <c r="F54" s="301">
        <f>F_Inputs!F54</f>
        <v>0</v>
      </c>
      <c r="G54" s="301">
        <f>F_Inputs!G54</f>
        <v>0</v>
      </c>
      <c r="H54" s="301" t="str">
        <f>F_Inputs!H54</f>
        <v/>
      </c>
      <c r="I54" s="301" t="str">
        <f>F_Inputs!I54</f>
        <v/>
      </c>
      <c r="J54" s="301" t="str">
        <f>F_Inputs!J54</f>
        <v/>
      </c>
      <c r="K54" s="301" t="str">
        <f>F_Inputs!K54</f>
        <v/>
      </c>
      <c r="L54" s="301" t="str">
        <f>F_Inputs!L54</f>
        <v/>
      </c>
      <c r="Q54" s="3" t="str">
        <f t="shared" si="1"/>
        <v>CWW12_</v>
      </c>
      <c r="R54" s="296">
        <f t="shared" si="2"/>
        <v>0</v>
      </c>
      <c r="S54" s="296">
        <f t="shared" si="3"/>
        <v>0</v>
      </c>
      <c r="T54" s="296">
        <f t="shared" si="4"/>
        <v>0</v>
      </c>
      <c r="U54" s="296">
        <f t="shared" si="5"/>
        <v>0</v>
      </c>
      <c r="V54" s="296">
        <f t="shared" si="6"/>
        <v>0</v>
      </c>
      <c r="W54" s="296">
        <f t="shared" si="7"/>
        <v>0</v>
      </c>
      <c r="X54" s="296">
        <f t="shared" si="8"/>
        <v>0</v>
      </c>
    </row>
    <row r="55" spans="1:24" s="296" customFormat="1" ht="13.15">
      <c r="A55" s="298" t="str">
        <f>F_Inputs!A55</f>
        <v>NES</v>
      </c>
      <c r="B55" s="298" t="str">
        <f>F_Inputs!B55</f>
        <v>CWW17_010TOT_PR24</v>
      </c>
      <c r="C55" s="298" t="str">
        <f>F_Inputs!C55</f>
        <v>EA/NRW environmental programme wastewater (WINEP/NEP) - MCERTs monitoring at emergency sewage pumping station overflows (WINEP/NEP) wastewater capex - Total</v>
      </c>
      <c r="D55" s="298" t="str">
        <f>F_Inputs!D55</f>
        <v>£m</v>
      </c>
      <c r="E55" s="298" t="str">
        <f>F_Inputs!E55</f>
        <v>Price Review 2024</v>
      </c>
      <c r="F55" s="301">
        <f>F_Inputs!F55</f>
        <v>0</v>
      </c>
      <c r="G55" s="301">
        <f>F_Inputs!G55</f>
        <v>0</v>
      </c>
      <c r="H55" s="301">
        <f>F_Inputs!H55</f>
        <v>0</v>
      </c>
      <c r="I55" s="301">
        <f>F_Inputs!I55</f>
        <v>0</v>
      </c>
      <c r="J55" s="301">
        <f>F_Inputs!J55</f>
        <v>0</v>
      </c>
      <c r="K55" s="301">
        <f>F_Inputs!K55</f>
        <v>0</v>
      </c>
      <c r="L55" s="301">
        <f>F_Inputs!L55</f>
        <v>0</v>
      </c>
      <c r="Q55" s="3" t="str">
        <f t="shared" si="1"/>
        <v>CWW17_</v>
      </c>
      <c r="R55" s="296">
        <f t="shared" si="2"/>
        <v>0</v>
      </c>
      <c r="S55" s="296">
        <f t="shared" si="3"/>
        <v>0</v>
      </c>
      <c r="T55" s="296">
        <f t="shared" si="4"/>
        <v>0</v>
      </c>
      <c r="U55" s="296">
        <f t="shared" si="5"/>
        <v>0</v>
      </c>
      <c r="V55" s="296">
        <f t="shared" si="6"/>
        <v>0</v>
      </c>
      <c r="W55" s="296">
        <f t="shared" si="7"/>
        <v>0</v>
      </c>
      <c r="X55" s="296">
        <f t="shared" si="8"/>
        <v>0</v>
      </c>
    </row>
    <row r="56" spans="1:24" s="296" customFormat="1" ht="13.15">
      <c r="A56" s="298" t="str">
        <f>F_Inputs!A56</f>
        <v>NES</v>
      </c>
      <c r="B56" s="298" t="str">
        <f>F_Inputs!B56</f>
        <v>CWW17_011TOT_PR24</v>
      </c>
      <c r="C56" s="298" t="str">
        <f>F_Inputs!C56</f>
        <v>EA/NRW environmental programme wastewater (WINEP/NEP) - MCERTs monitoring at emergency sewage pumping station overflows (WINEP/NEP) wastewater opex - Total</v>
      </c>
      <c r="D56" s="298" t="str">
        <f>F_Inputs!D56</f>
        <v>£m</v>
      </c>
      <c r="E56" s="298" t="str">
        <f>F_Inputs!E56</f>
        <v>Price Review 2024</v>
      </c>
      <c r="F56" s="301">
        <f>F_Inputs!F56</f>
        <v>0</v>
      </c>
      <c r="G56" s="301">
        <f>F_Inputs!G56</f>
        <v>0</v>
      </c>
      <c r="H56" s="301">
        <f>F_Inputs!H56</f>
        <v>0</v>
      </c>
      <c r="I56" s="301">
        <f>F_Inputs!I56</f>
        <v>0</v>
      </c>
      <c r="J56" s="301">
        <f>F_Inputs!J56</f>
        <v>0</v>
      </c>
      <c r="K56" s="301">
        <f>F_Inputs!K56</f>
        <v>0</v>
      </c>
      <c r="L56" s="301">
        <f>F_Inputs!L56</f>
        <v>0</v>
      </c>
      <c r="Q56" s="3" t="str">
        <f t="shared" si="1"/>
        <v>CWW17_</v>
      </c>
      <c r="R56" s="296">
        <f t="shared" si="2"/>
        <v>0</v>
      </c>
      <c r="S56" s="296">
        <f t="shared" si="3"/>
        <v>0</v>
      </c>
      <c r="T56" s="296">
        <f t="shared" si="4"/>
        <v>0</v>
      </c>
      <c r="U56" s="296">
        <f t="shared" si="5"/>
        <v>0</v>
      </c>
      <c r="V56" s="296">
        <f t="shared" si="6"/>
        <v>0</v>
      </c>
      <c r="W56" s="296">
        <f t="shared" si="7"/>
        <v>0</v>
      </c>
      <c r="X56" s="296">
        <f t="shared" si="8"/>
        <v>0</v>
      </c>
    </row>
    <row r="57" spans="1:24" s="296" customFormat="1" ht="13.15">
      <c r="A57" s="298" t="str">
        <f>F_Inputs!A57</f>
        <v>NES</v>
      </c>
      <c r="B57" s="298" t="str">
        <f>F_Inputs!B57</f>
        <v>CWW17_012TOT_PR24</v>
      </c>
      <c r="C57" s="298" t="str">
        <f>F_Inputs!C57</f>
        <v>EA/NRW environmental programme wastewater (WINEP/NEP) - MCERTs monitoring at emergency sewage pumping station overflows (WINEP/NEP) wastewater totex - Total</v>
      </c>
      <c r="D57" s="298" t="str">
        <f>F_Inputs!D57</f>
        <v>£m</v>
      </c>
      <c r="E57" s="298" t="str">
        <f>F_Inputs!E57</f>
        <v>Price Review 2024</v>
      </c>
      <c r="F57" s="301">
        <f>F_Inputs!F57</f>
        <v>0</v>
      </c>
      <c r="G57" s="301">
        <f>F_Inputs!G57</f>
        <v>0</v>
      </c>
      <c r="H57" s="301">
        <f>F_Inputs!H57</f>
        <v>0</v>
      </c>
      <c r="I57" s="301">
        <f>F_Inputs!I57</f>
        <v>0</v>
      </c>
      <c r="J57" s="301">
        <f>F_Inputs!J57</f>
        <v>0</v>
      </c>
      <c r="K57" s="301">
        <f>F_Inputs!K57</f>
        <v>0</v>
      </c>
      <c r="L57" s="301">
        <f>F_Inputs!L57</f>
        <v>0</v>
      </c>
      <c r="Q57" s="3" t="str">
        <f t="shared" si="1"/>
        <v>CWW17_</v>
      </c>
      <c r="R57" s="296">
        <f t="shared" si="2"/>
        <v>0</v>
      </c>
      <c r="S57" s="296">
        <f t="shared" si="3"/>
        <v>0</v>
      </c>
      <c r="T57" s="296">
        <f t="shared" si="4"/>
        <v>0</v>
      </c>
      <c r="U57" s="296">
        <f t="shared" si="5"/>
        <v>0</v>
      </c>
      <c r="V57" s="296">
        <f t="shared" si="6"/>
        <v>0</v>
      </c>
      <c r="W57" s="296">
        <f t="shared" si="7"/>
        <v>0</v>
      </c>
      <c r="X57" s="296">
        <f t="shared" si="8"/>
        <v>0</v>
      </c>
    </row>
    <row r="58" spans="1:24" s="296" customFormat="1" ht="13.15">
      <c r="A58" s="298" t="str">
        <f>F_Inputs!A58</f>
        <v>NES</v>
      </c>
      <c r="B58" s="298" t="str">
        <f>F_Inputs!B58</f>
        <v>CWW20_050_PR24</v>
      </c>
      <c r="C58" s="298" t="str">
        <f>F_Inputs!C58</f>
        <v>Network / Storm overflow data - Number of new MCERTs event duration monitors installed at SPS emergency overflows</v>
      </c>
      <c r="D58" s="298" t="str">
        <f>F_Inputs!D58</f>
        <v>nr</v>
      </c>
      <c r="E58" s="298" t="str">
        <f>F_Inputs!E58</f>
        <v>Price Review 2024</v>
      </c>
      <c r="F58" s="301">
        <f>F_Inputs!F58</f>
        <v>0</v>
      </c>
      <c r="G58" s="301">
        <f>F_Inputs!G58</f>
        <v>0</v>
      </c>
      <c r="H58" s="301">
        <f>F_Inputs!H58</f>
        <v>29</v>
      </c>
      <c r="I58" s="301">
        <f>F_Inputs!I58</f>
        <v>30</v>
      </c>
      <c r="J58" s="301">
        <f>F_Inputs!J58</f>
        <v>30</v>
      </c>
      <c r="K58" s="301">
        <f>F_Inputs!K58</f>
        <v>30</v>
      </c>
      <c r="L58" s="301">
        <f>F_Inputs!L58</f>
        <v>30</v>
      </c>
      <c r="Q58" s="3" t="str">
        <f t="shared" si="1"/>
        <v>CWW20_</v>
      </c>
      <c r="R58" s="296">
        <f t="shared" si="2"/>
        <v>0</v>
      </c>
      <c r="S58" s="296">
        <f t="shared" si="3"/>
        <v>0</v>
      </c>
      <c r="T58" s="296">
        <f t="shared" si="4"/>
        <v>29</v>
      </c>
      <c r="U58" s="296">
        <f t="shared" si="5"/>
        <v>30</v>
      </c>
      <c r="V58" s="296">
        <f t="shared" si="6"/>
        <v>30</v>
      </c>
      <c r="W58" s="296">
        <f t="shared" si="7"/>
        <v>30</v>
      </c>
      <c r="X58" s="296">
        <f t="shared" si="8"/>
        <v>30</v>
      </c>
    </row>
    <row r="59" spans="1:24" s="296" customFormat="1" ht="13.15">
      <c r="A59" s="298" t="str">
        <f>F_Inputs!A59</f>
        <v>NES</v>
      </c>
      <c r="B59" s="298" t="str">
        <f>F_Inputs!B59</f>
        <v>CWW20_051_PR24</v>
      </c>
      <c r="C59" s="298" t="str">
        <f>F_Inputs!C59</f>
        <v>Network / Storm overflow data - Number of new MCERTs flow monitors (PFF) installed at SPSs with combined emergency and storm overflows.</v>
      </c>
      <c r="D59" s="298" t="str">
        <f>F_Inputs!D59</f>
        <v>nr</v>
      </c>
      <c r="E59" s="298" t="str">
        <f>F_Inputs!E59</f>
        <v>Price Review 2024</v>
      </c>
      <c r="F59" s="301">
        <f>F_Inputs!F59</f>
        <v>0</v>
      </c>
      <c r="G59" s="301">
        <f>F_Inputs!G59</f>
        <v>0</v>
      </c>
      <c r="H59" s="301">
        <f>F_Inputs!H59</f>
        <v>12</v>
      </c>
      <c r="I59" s="301">
        <f>F_Inputs!I59</f>
        <v>13</v>
      </c>
      <c r="J59" s="301">
        <f>F_Inputs!J59</f>
        <v>13</v>
      </c>
      <c r="K59" s="301">
        <f>F_Inputs!K59</f>
        <v>13</v>
      </c>
      <c r="L59" s="301">
        <f>F_Inputs!L59</f>
        <v>13</v>
      </c>
      <c r="Q59" s="3" t="str">
        <f t="shared" si="1"/>
        <v>CWW20_</v>
      </c>
      <c r="R59" s="296">
        <f t="shared" si="2"/>
        <v>0</v>
      </c>
      <c r="S59" s="296">
        <f t="shared" si="3"/>
        <v>0</v>
      </c>
      <c r="T59" s="296">
        <f t="shared" si="4"/>
        <v>12</v>
      </c>
      <c r="U59" s="296">
        <f t="shared" si="5"/>
        <v>13</v>
      </c>
      <c r="V59" s="296">
        <f t="shared" si="6"/>
        <v>13</v>
      </c>
      <c r="W59" s="296">
        <f t="shared" si="7"/>
        <v>13</v>
      </c>
      <c r="X59" s="296">
        <f t="shared" si="8"/>
        <v>13</v>
      </c>
    </row>
    <row r="60" spans="1:24" s="296" customFormat="1" ht="13.15">
      <c r="A60" s="298" t="str">
        <f>F_Inputs!A60</f>
        <v>NES</v>
      </c>
      <c r="B60" s="298" t="str">
        <f>F_Inputs!B60</f>
        <v>CWW20A_050_PR24</v>
      </c>
      <c r="C60" s="298" t="str">
        <f>F_Inputs!C60</f>
        <v>Network / Storm overflow data - Number of new MCERTs event duration monitors installed at SPS emergency overflows</v>
      </c>
      <c r="D60" s="298" t="str">
        <f>F_Inputs!D60</f>
        <v>nr</v>
      </c>
      <c r="E60" s="298" t="str">
        <f>F_Inputs!E60</f>
        <v>Price Review 2024</v>
      </c>
      <c r="F60" s="301" t="str">
        <f>F_Inputs!F60</f>
        <v/>
      </c>
      <c r="G60" s="301" t="str">
        <f>F_Inputs!G60</f>
        <v/>
      </c>
      <c r="H60" s="301" t="str">
        <f>F_Inputs!H60</f>
        <v/>
      </c>
      <c r="I60" s="301" t="str">
        <f>F_Inputs!I60</f>
        <v/>
      </c>
      <c r="J60" s="301" t="str">
        <f>F_Inputs!J60</f>
        <v/>
      </c>
      <c r="K60" s="301" t="str">
        <f>F_Inputs!K60</f>
        <v/>
      </c>
      <c r="L60" s="301" t="str">
        <f>F_Inputs!L60</f>
        <v/>
      </c>
      <c r="Q60" s="3" t="str">
        <f t="shared" si="1"/>
        <v>CWW20A</v>
      </c>
      <c r="R60" s="296" t="str">
        <f t="shared" si="2"/>
        <v/>
      </c>
      <c r="S60" s="296" t="str">
        <f t="shared" si="3"/>
        <v/>
      </c>
      <c r="T60" s="296">
        <f t="shared" si="4"/>
        <v>0</v>
      </c>
      <c r="U60" s="296">
        <f t="shared" si="5"/>
        <v>0</v>
      </c>
      <c r="V60" s="296">
        <f t="shared" si="6"/>
        <v>0</v>
      </c>
      <c r="W60" s="296">
        <f t="shared" si="7"/>
        <v>0</v>
      </c>
      <c r="X60" s="296">
        <f t="shared" si="8"/>
        <v>0</v>
      </c>
    </row>
    <row r="61" spans="1:24" s="296" customFormat="1" ht="13.15">
      <c r="A61" s="298" t="str">
        <f>F_Inputs!A61</f>
        <v>NES</v>
      </c>
      <c r="B61" s="298" t="str">
        <f>F_Inputs!B61</f>
        <v>CWW20A_051_PR24</v>
      </c>
      <c r="C61" s="298" t="str">
        <f>F_Inputs!C61</f>
        <v>Network / Storm overflow data - Number of new MCERTs flow monitors (PFF) installed at SPSs with combined emergency and storm overflows.</v>
      </c>
      <c r="D61" s="298" t="str">
        <f>F_Inputs!D61</f>
        <v>nr</v>
      </c>
      <c r="E61" s="298" t="str">
        <f>F_Inputs!E61</f>
        <v>Price Review 2024</v>
      </c>
      <c r="F61" s="301" t="str">
        <f>F_Inputs!F61</f>
        <v/>
      </c>
      <c r="G61" s="301" t="str">
        <f>F_Inputs!G61</f>
        <v/>
      </c>
      <c r="H61" s="301" t="str">
        <f>F_Inputs!H61</f>
        <v/>
      </c>
      <c r="I61" s="301" t="str">
        <f>F_Inputs!I61</f>
        <v/>
      </c>
      <c r="J61" s="301" t="str">
        <f>F_Inputs!J61</f>
        <v/>
      </c>
      <c r="K61" s="301" t="str">
        <f>F_Inputs!K61</f>
        <v/>
      </c>
      <c r="L61" s="301" t="str">
        <f>F_Inputs!L61</f>
        <v/>
      </c>
      <c r="Q61" s="3" t="str">
        <f t="shared" si="1"/>
        <v>CWW20A</v>
      </c>
      <c r="R61" s="296" t="str">
        <f t="shared" si="2"/>
        <v/>
      </c>
      <c r="S61" s="296" t="str">
        <f t="shared" si="3"/>
        <v/>
      </c>
      <c r="T61" s="296">
        <f t="shared" si="4"/>
        <v>0</v>
      </c>
      <c r="U61" s="296">
        <f t="shared" si="5"/>
        <v>0</v>
      </c>
      <c r="V61" s="296">
        <f t="shared" si="6"/>
        <v>0</v>
      </c>
      <c r="W61" s="296">
        <f t="shared" si="7"/>
        <v>0</v>
      </c>
      <c r="X61" s="296">
        <f t="shared" si="8"/>
        <v>0</v>
      </c>
    </row>
    <row r="62" spans="1:24" s="296" customFormat="1" ht="13.15">
      <c r="A62" s="298" t="str">
        <f>F_Inputs!A62</f>
        <v>NES</v>
      </c>
      <c r="B62" s="298" t="str">
        <f>F_Inputs!B62</f>
        <v>CWW1A_015TOT_PR24</v>
      </c>
      <c r="C62" s="298" t="str">
        <f>F_Inputs!C62</f>
        <v>Net totex - Total</v>
      </c>
      <c r="D62" s="298" t="str">
        <f>F_Inputs!D62</f>
        <v>£m</v>
      </c>
      <c r="E62" s="298" t="str">
        <f>F_Inputs!E62</f>
        <v>Price Review 2024</v>
      </c>
      <c r="F62" s="301">
        <f>F_Inputs!F62</f>
        <v>269.75279587178778</v>
      </c>
      <c r="G62" s="301">
        <f>F_Inputs!G62</f>
        <v>351.36383189367382</v>
      </c>
      <c r="H62" s="301">
        <f>F_Inputs!H62</f>
        <v>637.49235151146331</v>
      </c>
      <c r="I62" s="301">
        <f>F_Inputs!I62</f>
        <v>649.43938105100824</v>
      </c>
      <c r="J62" s="301">
        <f>F_Inputs!J62</f>
        <v>633.75696696428611</v>
      </c>
      <c r="K62" s="301">
        <f>F_Inputs!K62</f>
        <v>617.35869124562396</v>
      </c>
      <c r="L62" s="301">
        <f>F_Inputs!L62</f>
        <v>590.04476795521828</v>
      </c>
      <c r="Q62" s="3" t="str">
        <f t="shared" si="1"/>
        <v>CWW1A_</v>
      </c>
      <c r="R62" s="296">
        <f t="shared" si="2"/>
        <v>0</v>
      </c>
      <c r="S62" s="296">
        <f t="shared" si="3"/>
        <v>0</v>
      </c>
      <c r="T62" s="296">
        <f t="shared" si="4"/>
        <v>637.49235151146331</v>
      </c>
      <c r="U62" s="296">
        <f t="shared" si="5"/>
        <v>649.43938105100824</v>
      </c>
      <c r="V62" s="296">
        <f t="shared" si="6"/>
        <v>633.75696696428611</v>
      </c>
      <c r="W62" s="296">
        <f t="shared" si="7"/>
        <v>617.35869124562396</v>
      </c>
      <c r="X62" s="296">
        <f t="shared" si="8"/>
        <v>590.04476795521828</v>
      </c>
    </row>
    <row r="63" spans="1:24" s="296" customFormat="1" ht="13.15">
      <c r="A63" s="298" t="str">
        <f>F_Inputs!A63</f>
        <v>SVE</v>
      </c>
      <c r="B63" s="298" t="str">
        <f>F_Inputs!B63</f>
        <v>CWW3_010TOT_PR24</v>
      </c>
      <c r="C63" s="298" t="str">
        <f>F_Inputs!C63</f>
        <v>EA/NRW environmental programme wastewater (WINEP/NEP) - MCERTs monitoring at emergency sewage pumping station overflows (WINEP/NEP) wastewater capex - Total</v>
      </c>
      <c r="D63" s="298" t="str">
        <f>F_Inputs!D63</f>
        <v>£m</v>
      </c>
      <c r="E63" s="298" t="str">
        <f>F_Inputs!E63</f>
        <v>Price Review 2024</v>
      </c>
      <c r="F63" s="301">
        <f>F_Inputs!F63</f>
        <v>0</v>
      </c>
      <c r="G63" s="301">
        <f>F_Inputs!G63</f>
        <v>5.643126094345547E-2</v>
      </c>
      <c r="H63" s="301">
        <f>F_Inputs!H63</f>
        <v>2.4222169876894881</v>
      </c>
      <c r="I63" s="301">
        <f>F_Inputs!I63</f>
        <v>2.4970623405963779</v>
      </c>
      <c r="J63" s="301">
        <f>F_Inputs!J63</f>
        <v>3.8897476747409718</v>
      </c>
      <c r="K63" s="301">
        <f>F_Inputs!K63</f>
        <v>7.0000714619806184</v>
      </c>
      <c r="L63" s="301">
        <f>F_Inputs!L63</f>
        <v>9.6531095508949765</v>
      </c>
      <c r="Q63" s="3" t="str">
        <f t="shared" si="1"/>
        <v>CWW3_0</v>
      </c>
      <c r="R63" s="296">
        <f t="shared" si="2"/>
        <v>0</v>
      </c>
      <c r="S63" s="296">
        <f t="shared" si="3"/>
        <v>0</v>
      </c>
      <c r="T63" s="296">
        <f t="shared" si="4"/>
        <v>2.4222169876894881</v>
      </c>
      <c r="U63" s="296">
        <f t="shared" si="5"/>
        <v>2.4970623405963779</v>
      </c>
      <c r="V63" s="296">
        <f t="shared" si="6"/>
        <v>3.8897476747409718</v>
      </c>
      <c r="W63" s="296">
        <f t="shared" si="7"/>
        <v>7.0000714619806184</v>
      </c>
      <c r="X63" s="296">
        <f t="shared" si="8"/>
        <v>9.6531095508949765</v>
      </c>
    </row>
    <row r="64" spans="1:24" s="296" customFormat="1" ht="13.15">
      <c r="A64" s="298" t="str">
        <f>F_Inputs!A64</f>
        <v>SVE</v>
      </c>
      <c r="B64" s="298" t="str">
        <f>F_Inputs!B64</f>
        <v>CWW3_011TOT_PR24</v>
      </c>
      <c r="C64" s="298" t="str">
        <f>F_Inputs!C64</f>
        <v>EA/NRW environmental programme wastewater (WINEP/NEP) - MCERTs monitoring at emergency sewage pumping station overflows (WINEP/NEP) wastewater opex - Total</v>
      </c>
      <c r="D64" s="298" t="str">
        <f>F_Inputs!D64</f>
        <v>£m</v>
      </c>
      <c r="E64" s="298" t="str">
        <f>F_Inputs!E64</f>
        <v>Price Review 2024</v>
      </c>
      <c r="F64" s="301">
        <f>F_Inputs!F64</f>
        <v>0</v>
      </c>
      <c r="G64" s="301">
        <f>F_Inputs!G64</f>
        <v>0</v>
      </c>
      <c r="H64" s="301">
        <f>F_Inputs!H64</f>
        <v>2.3422693943730269E-2</v>
      </c>
      <c r="I64" s="301">
        <f>F_Inputs!I64</f>
        <v>9.861570446027397E-2</v>
      </c>
      <c r="J64" s="301">
        <f>F_Inputs!J64</f>
        <v>0.122151844582109</v>
      </c>
      <c r="K64" s="301">
        <f>F_Inputs!K64</f>
        <v>0.18052658330507129</v>
      </c>
      <c r="L64" s="301">
        <f>F_Inputs!L64</f>
        <v>0.31020580326515701</v>
      </c>
      <c r="Q64" s="3" t="str">
        <f t="shared" si="1"/>
        <v>CWW3_0</v>
      </c>
      <c r="R64" s="296">
        <f t="shared" si="2"/>
        <v>0</v>
      </c>
      <c r="S64" s="296">
        <f t="shared" si="3"/>
        <v>0</v>
      </c>
      <c r="T64" s="296">
        <f t="shared" si="4"/>
        <v>2.3422693943730269E-2</v>
      </c>
      <c r="U64" s="296">
        <f t="shared" si="5"/>
        <v>9.861570446027397E-2</v>
      </c>
      <c r="V64" s="296">
        <f t="shared" si="6"/>
        <v>0.122151844582109</v>
      </c>
      <c r="W64" s="296">
        <f t="shared" si="7"/>
        <v>0.18052658330507129</v>
      </c>
      <c r="X64" s="296">
        <f t="shared" si="8"/>
        <v>0.31020580326515701</v>
      </c>
    </row>
    <row r="65" spans="1:24" s="296" customFormat="1" ht="13.15">
      <c r="A65" s="298" t="str">
        <f>F_Inputs!A65</f>
        <v>SVE</v>
      </c>
      <c r="B65" s="298" t="str">
        <f>F_Inputs!B65</f>
        <v>CWW3_012TOT_PR24</v>
      </c>
      <c r="C65" s="298" t="str">
        <f>F_Inputs!C65</f>
        <v>EA/NRW environmental programme wastewater (WINEP/NEP) - MCERTs monitoring at emergency sewage pumping station overflows (WINEP/NEP) wastewater totex - Total</v>
      </c>
      <c r="D65" s="298" t="str">
        <f>F_Inputs!D65</f>
        <v>£m</v>
      </c>
      <c r="E65" s="298" t="str">
        <f>F_Inputs!E65</f>
        <v>Price Review 2024</v>
      </c>
      <c r="F65" s="301">
        <f>F_Inputs!F65</f>
        <v>0</v>
      </c>
      <c r="G65" s="301">
        <f>F_Inputs!G65</f>
        <v>5.643126094345547E-2</v>
      </c>
      <c r="H65" s="301">
        <f>F_Inputs!H65</f>
        <v>2.4456396816332191</v>
      </c>
      <c r="I65" s="301">
        <f>F_Inputs!I65</f>
        <v>2.5956780450566521</v>
      </c>
      <c r="J65" s="301">
        <f>F_Inputs!J65</f>
        <v>4.0118995193230811</v>
      </c>
      <c r="K65" s="301">
        <f>F_Inputs!K65</f>
        <v>7.1805980452856897</v>
      </c>
      <c r="L65" s="301">
        <f>F_Inputs!L65</f>
        <v>9.963315354160132</v>
      </c>
      <c r="Q65" s="3" t="str">
        <f t="shared" si="1"/>
        <v>CWW3_0</v>
      </c>
      <c r="R65" s="296">
        <f t="shared" si="2"/>
        <v>0</v>
      </c>
      <c r="S65" s="296">
        <f t="shared" si="3"/>
        <v>0</v>
      </c>
      <c r="T65" s="296">
        <f t="shared" si="4"/>
        <v>2.4456396816332191</v>
      </c>
      <c r="U65" s="296">
        <f t="shared" si="5"/>
        <v>2.5956780450566521</v>
      </c>
      <c r="V65" s="296">
        <f t="shared" si="6"/>
        <v>4.0118995193230811</v>
      </c>
      <c r="W65" s="296">
        <f t="shared" si="7"/>
        <v>7.1805980452856897</v>
      </c>
      <c r="X65" s="296">
        <f t="shared" si="8"/>
        <v>9.963315354160132</v>
      </c>
    </row>
    <row r="66" spans="1:24" s="296" customFormat="1" ht="13.15">
      <c r="A66" s="298" t="str">
        <f>F_Inputs!A66</f>
        <v>SVE</v>
      </c>
      <c r="B66" s="298" t="str">
        <f>F_Inputs!B66</f>
        <v>CWW12_010TOT_PR24</v>
      </c>
      <c r="C66" s="298" t="str">
        <f>F_Inputs!C66</f>
        <v>EA/NRW environmental programme wastewater (WINEP/NEP) - MCERTs monitoring at emergency sewage pumping station overflows (WINEP/NEP) wastewater capex - Total</v>
      </c>
      <c r="D66" s="298" t="str">
        <f>F_Inputs!D66</f>
        <v>£m</v>
      </c>
      <c r="E66" s="298" t="str">
        <f>F_Inputs!E66</f>
        <v>Price Review 2024</v>
      </c>
      <c r="F66" s="301">
        <f>F_Inputs!F66</f>
        <v>0</v>
      </c>
      <c r="G66" s="301">
        <f>F_Inputs!G66</f>
        <v>5.643126094345547E-2</v>
      </c>
      <c r="H66" s="301" t="str">
        <f>F_Inputs!H66</f>
        <v/>
      </c>
      <c r="I66" s="301" t="str">
        <f>F_Inputs!I66</f>
        <v/>
      </c>
      <c r="J66" s="301" t="str">
        <f>F_Inputs!J66</f>
        <v/>
      </c>
      <c r="K66" s="301" t="str">
        <f>F_Inputs!K66</f>
        <v/>
      </c>
      <c r="L66" s="301" t="str">
        <f>F_Inputs!L66</f>
        <v/>
      </c>
      <c r="Q66" s="3" t="str">
        <f t="shared" si="1"/>
        <v>CWW12_</v>
      </c>
      <c r="R66" s="296">
        <f t="shared" si="2"/>
        <v>0</v>
      </c>
      <c r="S66" s="296">
        <f t="shared" si="3"/>
        <v>5.643126094345547E-2</v>
      </c>
      <c r="T66" s="296">
        <f t="shared" si="4"/>
        <v>0</v>
      </c>
      <c r="U66" s="296">
        <f t="shared" si="5"/>
        <v>0</v>
      </c>
      <c r="V66" s="296">
        <f t="shared" si="6"/>
        <v>0</v>
      </c>
      <c r="W66" s="296">
        <f t="shared" si="7"/>
        <v>0</v>
      </c>
      <c r="X66" s="296">
        <f t="shared" si="8"/>
        <v>0</v>
      </c>
    </row>
    <row r="67" spans="1:24" s="296" customFormat="1" ht="13.15">
      <c r="A67" s="298" t="str">
        <f>F_Inputs!A67</f>
        <v>SVE</v>
      </c>
      <c r="B67" s="298" t="str">
        <f>F_Inputs!B67</f>
        <v>CWW12_011TOT_PR24</v>
      </c>
      <c r="C67" s="298" t="str">
        <f>F_Inputs!C67</f>
        <v>EA/NRW environmental programme wastewater (WINEP/NEP) - MCERTs monitoring at emergency sewage pumping station overflows (WINEP/NEP) wastewater opex - Total</v>
      </c>
      <c r="D67" s="298" t="str">
        <f>F_Inputs!D67</f>
        <v>£m</v>
      </c>
      <c r="E67" s="298" t="str">
        <f>F_Inputs!E67</f>
        <v>Price Review 2024</v>
      </c>
      <c r="F67" s="301">
        <f>F_Inputs!F67</f>
        <v>0</v>
      </c>
      <c r="G67" s="301">
        <f>F_Inputs!G67</f>
        <v>0</v>
      </c>
      <c r="H67" s="301" t="str">
        <f>F_Inputs!H67</f>
        <v/>
      </c>
      <c r="I67" s="301" t="str">
        <f>F_Inputs!I67</f>
        <v/>
      </c>
      <c r="J67" s="301" t="str">
        <f>F_Inputs!J67</f>
        <v/>
      </c>
      <c r="K67" s="301" t="str">
        <f>F_Inputs!K67</f>
        <v/>
      </c>
      <c r="L67" s="301" t="str">
        <f>F_Inputs!L67</f>
        <v/>
      </c>
      <c r="Q67" s="3" t="str">
        <f t="shared" si="1"/>
        <v>CWW12_</v>
      </c>
      <c r="R67" s="296">
        <f t="shared" si="2"/>
        <v>0</v>
      </c>
      <c r="S67" s="296">
        <f t="shared" si="3"/>
        <v>0</v>
      </c>
      <c r="T67" s="296">
        <f t="shared" si="4"/>
        <v>0</v>
      </c>
      <c r="U67" s="296">
        <f t="shared" si="5"/>
        <v>0</v>
      </c>
      <c r="V67" s="296">
        <f t="shared" si="6"/>
        <v>0</v>
      </c>
      <c r="W67" s="296">
        <f t="shared" si="7"/>
        <v>0</v>
      </c>
      <c r="X67" s="296">
        <f t="shared" si="8"/>
        <v>0</v>
      </c>
    </row>
    <row r="68" spans="1:24" s="296" customFormat="1" ht="13.15">
      <c r="A68" s="298" t="str">
        <f>F_Inputs!A68</f>
        <v>SVE</v>
      </c>
      <c r="B68" s="298" t="str">
        <f>F_Inputs!B68</f>
        <v>CWW12_012TOT_PR24</v>
      </c>
      <c r="C68" s="298" t="str">
        <f>F_Inputs!C68</f>
        <v>EA/NRW environmental programme wastewater (WINEP/NEP) - MCERTs monitoring at emergency sewage pumping station overflows (WINEP/NEP) wastewater totex - Total</v>
      </c>
      <c r="D68" s="298" t="str">
        <f>F_Inputs!D68</f>
        <v>£m</v>
      </c>
      <c r="E68" s="298" t="str">
        <f>F_Inputs!E68</f>
        <v>Price Review 2024</v>
      </c>
      <c r="F68" s="301">
        <f>F_Inputs!F68</f>
        <v>0</v>
      </c>
      <c r="G68" s="301">
        <f>F_Inputs!G68</f>
        <v>5.643126094345547E-2</v>
      </c>
      <c r="H68" s="301" t="str">
        <f>F_Inputs!H68</f>
        <v/>
      </c>
      <c r="I68" s="301" t="str">
        <f>F_Inputs!I68</f>
        <v/>
      </c>
      <c r="J68" s="301" t="str">
        <f>F_Inputs!J68</f>
        <v/>
      </c>
      <c r="K68" s="301" t="str">
        <f>F_Inputs!K68</f>
        <v/>
      </c>
      <c r="L68" s="301" t="str">
        <f>F_Inputs!L68</f>
        <v/>
      </c>
      <c r="Q68" s="3" t="str">
        <f t="shared" si="1"/>
        <v>CWW12_</v>
      </c>
      <c r="R68" s="296">
        <f t="shared" si="2"/>
        <v>0</v>
      </c>
      <c r="S68" s="296">
        <f t="shared" si="3"/>
        <v>5.643126094345547E-2</v>
      </c>
      <c r="T68" s="296">
        <f t="shared" si="4"/>
        <v>0</v>
      </c>
      <c r="U68" s="296">
        <f t="shared" si="5"/>
        <v>0</v>
      </c>
      <c r="V68" s="296">
        <f t="shared" si="6"/>
        <v>0</v>
      </c>
      <c r="W68" s="296">
        <f t="shared" si="7"/>
        <v>0</v>
      </c>
      <c r="X68" s="296">
        <f t="shared" si="8"/>
        <v>0</v>
      </c>
    </row>
    <row r="69" spans="1:24" s="296" customFormat="1" ht="13.15">
      <c r="A69" s="298" t="str">
        <f>F_Inputs!A69</f>
        <v>SVE</v>
      </c>
      <c r="B69" s="298" t="str">
        <f>F_Inputs!B69</f>
        <v>CWW17_010TOT_PR24</v>
      </c>
      <c r="C69" s="298" t="str">
        <f>F_Inputs!C69</f>
        <v>EA/NRW environmental programme wastewater (WINEP/NEP) - MCERTs monitoring at emergency sewage pumping station overflows (WINEP/NEP) wastewater capex - Total</v>
      </c>
      <c r="D69" s="298" t="str">
        <f>F_Inputs!D69</f>
        <v>£m</v>
      </c>
      <c r="E69" s="298" t="str">
        <f>F_Inputs!E69</f>
        <v>Price Review 2024</v>
      </c>
      <c r="F69" s="301">
        <f>F_Inputs!F69</f>
        <v>0</v>
      </c>
      <c r="G69" s="301">
        <f>F_Inputs!G69</f>
        <v>0</v>
      </c>
      <c r="H69" s="301">
        <f>F_Inputs!H69</f>
        <v>0</v>
      </c>
      <c r="I69" s="301">
        <f>F_Inputs!I69</f>
        <v>0</v>
      </c>
      <c r="J69" s="301">
        <f>F_Inputs!J69</f>
        <v>0</v>
      </c>
      <c r="K69" s="301">
        <f>F_Inputs!K69</f>
        <v>0</v>
      </c>
      <c r="L69" s="301">
        <f>F_Inputs!L69</f>
        <v>0</v>
      </c>
      <c r="Q69" s="3" t="str">
        <f t="shared" si="1"/>
        <v>CWW17_</v>
      </c>
      <c r="R69" s="296">
        <f t="shared" si="2"/>
        <v>0</v>
      </c>
      <c r="S69" s="296">
        <f t="shared" si="3"/>
        <v>0</v>
      </c>
      <c r="T69" s="296">
        <f t="shared" si="4"/>
        <v>0</v>
      </c>
      <c r="U69" s="296">
        <f t="shared" si="5"/>
        <v>0</v>
      </c>
      <c r="V69" s="296">
        <f t="shared" si="6"/>
        <v>0</v>
      </c>
      <c r="W69" s="296">
        <f t="shared" si="7"/>
        <v>0</v>
      </c>
      <c r="X69" s="296">
        <f t="shared" si="8"/>
        <v>0</v>
      </c>
    </row>
    <row r="70" spans="1:24" s="296" customFormat="1" ht="13.15">
      <c r="A70" s="298" t="str">
        <f>F_Inputs!A70</f>
        <v>SVE</v>
      </c>
      <c r="B70" s="298" t="str">
        <f>F_Inputs!B70</f>
        <v>CWW17_011TOT_PR24</v>
      </c>
      <c r="C70" s="298" t="str">
        <f>F_Inputs!C70</f>
        <v>EA/NRW environmental programme wastewater (WINEP/NEP) - MCERTs monitoring at emergency sewage pumping station overflows (WINEP/NEP) wastewater opex - Total</v>
      </c>
      <c r="D70" s="298" t="str">
        <f>F_Inputs!D70</f>
        <v>£m</v>
      </c>
      <c r="E70" s="298" t="str">
        <f>F_Inputs!E70</f>
        <v>Price Review 2024</v>
      </c>
      <c r="F70" s="301">
        <f>F_Inputs!F70</f>
        <v>0</v>
      </c>
      <c r="G70" s="301">
        <f>F_Inputs!G70</f>
        <v>0</v>
      </c>
      <c r="H70" s="301">
        <f>F_Inputs!H70</f>
        <v>0</v>
      </c>
      <c r="I70" s="301">
        <f>F_Inputs!I70</f>
        <v>0</v>
      </c>
      <c r="J70" s="301">
        <f>F_Inputs!J70</f>
        <v>0</v>
      </c>
      <c r="K70" s="301">
        <f>F_Inputs!K70</f>
        <v>0</v>
      </c>
      <c r="L70" s="301">
        <f>F_Inputs!L70</f>
        <v>0</v>
      </c>
      <c r="Q70" s="3" t="str">
        <f t="shared" si="1"/>
        <v>CWW17_</v>
      </c>
      <c r="R70" s="296">
        <f t="shared" si="2"/>
        <v>0</v>
      </c>
      <c r="S70" s="296">
        <f t="shared" si="3"/>
        <v>0</v>
      </c>
      <c r="T70" s="296">
        <f t="shared" si="4"/>
        <v>0</v>
      </c>
      <c r="U70" s="296">
        <f t="shared" si="5"/>
        <v>0</v>
      </c>
      <c r="V70" s="296">
        <f t="shared" si="6"/>
        <v>0</v>
      </c>
      <c r="W70" s="296">
        <f t="shared" si="7"/>
        <v>0</v>
      </c>
      <c r="X70" s="296">
        <f t="shared" si="8"/>
        <v>0</v>
      </c>
    </row>
    <row r="71" spans="1:24" s="296" customFormat="1" ht="13.15">
      <c r="A71" s="298" t="str">
        <f>F_Inputs!A71</f>
        <v>SVE</v>
      </c>
      <c r="B71" s="298" t="str">
        <f>F_Inputs!B71</f>
        <v>CWW17_012TOT_PR24</v>
      </c>
      <c r="C71" s="298" t="str">
        <f>F_Inputs!C71</f>
        <v>EA/NRW environmental programme wastewater (WINEP/NEP) - MCERTs monitoring at emergency sewage pumping station overflows (WINEP/NEP) wastewater totex - Total</v>
      </c>
      <c r="D71" s="298" t="str">
        <f>F_Inputs!D71</f>
        <v>£m</v>
      </c>
      <c r="E71" s="298" t="str">
        <f>F_Inputs!E71</f>
        <v>Price Review 2024</v>
      </c>
      <c r="F71" s="301">
        <f>F_Inputs!F71</f>
        <v>0</v>
      </c>
      <c r="G71" s="301">
        <f>F_Inputs!G71</f>
        <v>0</v>
      </c>
      <c r="H71" s="301">
        <f>F_Inputs!H71</f>
        <v>0</v>
      </c>
      <c r="I71" s="301">
        <f>F_Inputs!I71</f>
        <v>0</v>
      </c>
      <c r="J71" s="301">
        <f>F_Inputs!J71</f>
        <v>0</v>
      </c>
      <c r="K71" s="301">
        <f>F_Inputs!K71</f>
        <v>0</v>
      </c>
      <c r="L71" s="301">
        <f>F_Inputs!L71</f>
        <v>0</v>
      </c>
      <c r="Q71" s="3" t="str">
        <f t="shared" si="1"/>
        <v>CWW17_</v>
      </c>
      <c r="R71" s="296">
        <f t="shared" si="2"/>
        <v>0</v>
      </c>
      <c r="S71" s="296">
        <f t="shared" si="3"/>
        <v>0</v>
      </c>
      <c r="T71" s="296">
        <f t="shared" si="4"/>
        <v>0</v>
      </c>
      <c r="U71" s="296">
        <f t="shared" si="5"/>
        <v>0</v>
      </c>
      <c r="V71" s="296">
        <f t="shared" si="6"/>
        <v>0</v>
      </c>
      <c r="W71" s="296">
        <f t="shared" si="7"/>
        <v>0</v>
      </c>
      <c r="X71" s="296">
        <f t="shared" si="8"/>
        <v>0</v>
      </c>
    </row>
    <row r="72" spans="1:24" s="296" customFormat="1" ht="13.15">
      <c r="A72" s="298" t="str">
        <f>F_Inputs!A72</f>
        <v>SVE</v>
      </c>
      <c r="B72" s="298" t="str">
        <f>F_Inputs!B72</f>
        <v>CWW20_050_PR24</v>
      </c>
      <c r="C72" s="298" t="str">
        <f>F_Inputs!C72</f>
        <v>Network / Storm overflow data - Number of new MCERTs event duration monitors installed at SPS emergency overflows</v>
      </c>
      <c r="D72" s="298" t="str">
        <f>F_Inputs!D72</f>
        <v>nr</v>
      </c>
      <c r="E72" s="298" t="str">
        <f>F_Inputs!E72</f>
        <v>Price Review 2024</v>
      </c>
      <c r="F72" s="301">
        <f>F_Inputs!F72</f>
        <v>0</v>
      </c>
      <c r="G72" s="301">
        <f>F_Inputs!G72</f>
        <v>0</v>
      </c>
      <c r="H72" s="301">
        <f>F_Inputs!H72</f>
        <v>73</v>
      </c>
      <c r="I72" s="301">
        <f>F_Inputs!I72</f>
        <v>73</v>
      </c>
      <c r="J72" s="301">
        <f>F_Inputs!J72</f>
        <v>73</v>
      </c>
      <c r="K72" s="301">
        <f>F_Inputs!K72</f>
        <v>73</v>
      </c>
      <c r="L72" s="301">
        <f>F_Inputs!L72</f>
        <v>74</v>
      </c>
      <c r="Q72" s="3" t="str">
        <f t="shared" ref="Q72:Q135" si="9">LEFT(B72,6)</f>
        <v>CWW20_</v>
      </c>
      <c r="R72" s="296">
        <f t="shared" ref="R72:R135" si="10">IF(OR($Q72="CWW12_",$Q72= "CWW17_",$Q72= "CWW20A"),F72,0)</f>
        <v>0</v>
      </c>
      <c r="S72" s="296">
        <f t="shared" ref="S72:S135" si="11">IF(OR($Q72="CWW12_",$Q72= "CWW17_",$Q72= "CWW20A"),G72,0)</f>
        <v>0</v>
      </c>
      <c r="T72" s="296">
        <f t="shared" ref="T72:T135" si="12">IF(OR($Q72="CWW3_0",$Q72="CWW3_1", $Q72= "CWW20_",$Q72="BIO5_0",$Q72="CWW1A_"),H72,0)</f>
        <v>73</v>
      </c>
      <c r="U72" s="296">
        <f t="shared" ref="U72:U135" si="13">IF(OR($Q72="CWW3_0",$Q72="CWW3_1", $Q72= "CWW20_",$Q72="BIO5_0",$Q72="CWW1A_"),I72,0)</f>
        <v>73</v>
      </c>
      <c r="V72" s="296">
        <f t="shared" ref="V72:V135" si="14">IF(OR($Q72="CWW3_0",$Q72="CWW3_1", $Q72= "CWW20_",$Q72="BIO5_0",$Q72="CWW1A_"),J72,0)</f>
        <v>73</v>
      </c>
      <c r="W72" s="296">
        <f t="shared" ref="W72:W135" si="15">IF(OR($Q72="CWW3_0",$Q72="CWW3_1", $Q72= "CWW20_",$Q72="BIO5_0",$Q72="CWW1A_"),K72,0)</f>
        <v>73</v>
      </c>
      <c r="X72" s="296">
        <f t="shared" ref="X72:X135" si="16">IF(OR($Q72="CWW3_0",$Q72="CWW3_1", $Q72= "CWW20_",$Q72="BIO5_0",$Q72="CWW1A_"),L72,0)</f>
        <v>74</v>
      </c>
    </row>
    <row r="73" spans="1:24" s="296" customFormat="1" ht="13.15">
      <c r="A73" s="298" t="str">
        <f>F_Inputs!A73</f>
        <v>SVE</v>
      </c>
      <c r="B73" s="298" t="str">
        <f>F_Inputs!B73</f>
        <v>CWW20_051_PR24</v>
      </c>
      <c r="C73" s="298" t="str">
        <f>F_Inputs!C73</f>
        <v>Network / Storm overflow data - Number of new MCERTs flow monitors (PFF) installed at SPSs with combined emergency and storm overflows.</v>
      </c>
      <c r="D73" s="298" t="str">
        <f>F_Inputs!D73</f>
        <v>nr</v>
      </c>
      <c r="E73" s="298" t="str">
        <f>F_Inputs!E73</f>
        <v>Price Review 2024</v>
      </c>
      <c r="F73" s="301">
        <f>F_Inputs!F73</f>
        <v>0</v>
      </c>
      <c r="G73" s="301">
        <f>F_Inputs!G73</f>
        <v>0</v>
      </c>
      <c r="H73" s="301">
        <f>F_Inputs!H73</f>
        <v>46</v>
      </c>
      <c r="I73" s="301">
        <f>F_Inputs!I73</f>
        <v>48</v>
      </c>
      <c r="J73" s="301">
        <f>F_Inputs!J73</f>
        <v>48</v>
      </c>
      <c r="K73" s="301">
        <f>F_Inputs!K73</f>
        <v>48</v>
      </c>
      <c r="L73" s="301">
        <f>F_Inputs!L73</f>
        <v>48</v>
      </c>
      <c r="Q73" s="3" t="str">
        <f t="shared" si="9"/>
        <v>CWW20_</v>
      </c>
      <c r="R73" s="296">
        <f t="shared" si="10"/>
        <v>0</v>
      </c>
      <c r="S73" s="296">
        <f t="shared" si="11"/>
        <v>0</v>
      </c>
      <c r="T73" s="296">
        <f t="shared" si="12"/>
        <v>46</v>
      </c>
      <c r="U73" s="296">
        <f t="shared" si="13"/>
        <v>48</v>
      </c>
      <c r="V73" s="296">
        <f t="shared" si="14"/>
        <v>48</v>
      </c>
      <c r="W73" s="296">
        <f t="shared" si="15"/>
        <v>48</v>
      </c>
      <c r="X73" s="296">
        <f t="shared" si="16"/>
        <v>48</v>
      </c>
    </row>
    <row r="74" spans="1:24" s="296" customFormat="1" ht="13.15">
      <c r="A74" s="298" t="str">
        <f>F_Inputs!A74</f>
        <v>SVE</v>
      </c>
      <c r="B74" s="298" t="str">
        <f>F_Inputs!B74</f>
        <v>CWW20A_050_PR24</v>
      </c>
      <c r="C74" s="298" t="str">
        <f>F_Inputs!C74</f>
        <v>Network / Storm overflow data - Number of new MCERTs event duration monitors installed at SPS emergency overflows</v>
      </c>
      <c r="D74" s="298" t="str">
        <f>F_Inputs!D74</f>
        <v>nr</v>
      </c>
      <c r="E74" s="298" t="str">
        <f>F_Inputs!E74</f>
        <v>Price Review 2024</v>
      </c>
      <c r="F74" s="301" t="str">
        <f>F_Inputs!F74</f>
        <v/>
      </c>
      <c r="G74" s="301" t="str">
        <f>F_Inputs!G74</f>
        <v/>
      </c>
      <c r="H74" s="301" t="str">
        <f>F_Inputs!H74</f>
        <v/>
      </c>
      <c r="I74" s="301" t="str">
        <f>F_Inputs!I74</f>
        <v/>
      </c>
      <c r="J74" s="301" t="str">
        <f>F_Inputs!J74</f>
        <v/>
      </c>
      <c r="K74" s="301" t="str">
        <f>F_Inputs!K74</f>
        <v/>
      </c>
      <c r="L74" s="301" t="str">
        <f>F_Inputs!L74</f>
        <v/>
      </c>
      <c r="Q74" s="3" t="str">
        <f t="shared" si="9"/>
        <v>CWW20A</v>
      </c>
      <c r="R74" s="296" t="str">
        <f t="shared" si="10"/>
        <v/>
      </c>
      <c r="S74" s="296" t="str">
        <f t="shared" si="11"/>
        <v/>
      </c>
      <c r="T74" s="296">
        <f t="shared" si="12"/>
        <v>0</v>
      </c>
      <c r="U74" s="296">
        <f t="shared" si="13"/>
        <v>0</v>
      </c>
      <c r="V74" s="296">
        <f t="shared" si="14"/>
        <v>0</v>
      </c>
      <c r="W74" s="296">
        <f t="shared" si="15"/>
        <v>0</v>
      </c>
      <c r="X74" s="296">
        <f t="shared" si="16"/>
        <v>0</v>
      </c>
    </row>
    <row r="75" spans="1:24" s="296" customFormat="1" ht="13.15">
      <c r="A75" s="298" t="str">
        <f>F_Inputs!A75</f>
        <v>SVE</v>
      </c>
      <c r="B75" s="298" t="str">
        <f>F_Inputs!B75</f>
        <v>CWW20A_051_PR24</v>
      </c>
      <c r="C75" s="298" t="str">
        <f>F_Inputs!C75</f>
        <v>Network / Storm overflow data - Number of new MCERTs flow monitors (PFF) installed at SPSs with combined emergency and storm overflows.</v>
      </c>
      <c r="D75" s="298" t="str">
        <f>F_Inputs!D75</f>
        <v>nr</v>
      </c>
      <c r="E75" s="298" t="str">
        <f>F_Inputs!E75</f>
        <v>Price Review 2024</v>
      </c>
      <c r="F75" s="301" t="str">
        <f>F_Inputs!F75</f>
        <v/>
      </c>
      <c r="G75" s="301" t="str">
        <f>F_Inputs!G75</f>
        <v/>
      </c>
      <c r="H75" s="301" t="str">
        <f>F_Inputs!H75</f>
        <v/>
      </c>
      <c r="I75" s="301" t="str">
        <f>F_Inputs!I75</f>
        <v/>
      </c>
      <c r="J75" s="301" t="str">
        <f>F_Inputs!J75</f>
        <v/>
      </c>
      <c r="K75" s="301" t="str">
        <f>F_Inputs!K75</f>
        <v/>
      </c>
      <c r="L75" s="301" t="str">
        <f>F_Inputs!L75</f>
        <v/>
      </c>
      <c r="Q75" s="3" t="str">
        <f t="shared" si="9"/>
        <v>CWW20A</v>
      </c>
      <c r="R75" s="296" t="str">
        <f t="shared" si="10"/>
        <v/>
      </c>
      <c r="S75" s="296" t="str">
        <f t="shared" si="11"/>
        <v/>
      </c>
      <c r="T75" s="296">
        <f t="shared" si="12"/>
        <v>0</v>
      </c>
      <c r="U75" s="296">
        <f t="shared" si="13"/>
        <v>0</v>
      </c>
      <c r="V75" s="296">
        <f t="shared" si="14"/>
        <v>0</v>
      </c>
      <c r="W75" s="296">
        <f t="shared" si="15"/>
        <v>0</v>
      </c>
      <c r="X75" s="296">
        <f t="shared" si="16"/>
        <v>0</v>
      </c>
    </row>
    <row r="76" spans="1:24" s="296" customFormat="1" ht="13.15">
      <c r="A76" s="298" t="str">
        <f>F_Inputs!A76</f>
        <v>SVE</v>
      </c>
      <c r="B76" s="298" t="str">
        <f>F_Inputs!B76</f>
        <v>CWW1A_015TOT_PR24</v>
      </c>
      <c r="C76" s="298" t="str">
        <f>F_Inputs!C76</f>
        <v>Net totex - Total</v>
      </c>
      <c r="D76" s="298" t="str">
        <f>F_Inputs!D76</f>
        <v>£m</v>
      </c>
      <c r="E76" s="298" t="str">
        <f>F_Inputs!E76</f>
        <v>Price Review 2024</v>
      </c>
      <c r="F76" s="301">
        <f>F_Inputs!F76</f>
        <v>1013.002282116595</v>
      </c>
      <c r="G76" s="301">
        <f>F_Inputs!G76</f>
        <v>1268.46895089945</v>
      </c>
      <c r="H76" s="301">
        <f>F_Inputs!H76</f>
        <v>1627.130482039277</v>
      </c>
      <c r="I76" s="301">
        <f>F_Inputs!I76</f>
        <v>1799.6345533549929</v>
      </c>
      <c r="J76" s="301">
        <f>F_Inputs!J76</f>
        <v>1751.178437326055</v>
      </c>
      <c r="K76" s="301">
        <f>F_Inputs!K76</f>
        <v>1716.7333477224111</v>
      </c>
      <c r="L76" s="301">
        <f>F_Inputs!L76</f>
        <v>1480.0957061431859</v>
      </c>
      <c r="Q76" s="3" t="str">
        <f t="shared" si="9"/>
        <v>CWW1A_</v>
      </c>
      <c r="R76" s="296">
        <f t="shared" si="10"/>
        <v>0</v>
      </c>
      <c r="S76" s="296">
        <f t="shared" si="11"/>
        <v>0</v>
      </c>
      <c r="T76" s="296">
        <f t="shared" si="12"/>
        <v>1627.130482039277</v>
      </c>
      <c r="U76" s="296">
        <f t="shared" si="13"/>
        <v>1799.6345533549929</v>
      </c>
      <c r="V76" s="296">
        <f t="shared" si="14"/>
        <v>1751.178437326055</v>
      </c>
      <c r="W76" s="296">
        <f t="shared" si="15"/>
        <v>1716.7333477224111</v>
      </c>
      <c r="X76" s="296">
        <f t="shared" si="16"/>
        <v>1480.0957061431859</v>
      </c>
    </row>
    <row r="77" spans="1:24" s="296" customFormat="1" ht="13.15">
      <c r="A77" s="298" t="str">
        <f>F_Inputs!A77</f>
        <v>SWB</v>
      </c>
      <c r="B77" s="298" t="str">
        <f>F_Inputs!B77</f>
        <v>CWW3_010TOT_PR24</v>
      </c>
      <c r="C77" s="298" t="str">
        <f>F_Inputs!C77</f>
        <v>EA/NRW environmental programme wastewater (WINEP/NEP) - MCERTs monitoring at emergency sewage pumping station overflows (WINEP/NEP) wastewater capex - Total</v>
      </c>
      <c r="D77" s="298" t="str">
        <f>F_Inputs!D77</f>
        <v>£m</v>
      </c>
      <c r="E77" s="298" t="str">
        <f>F_Inputs!E77</f>
        <v>Price Review 2024</v>
      </c>
      <c r="F77" s="301">
        <f>F_Inputs!F77</f>
        <v>0</v>
      </c>
      <c r="G77" s="301">
        <f>F_Inputs!G77</f>
        <v>14.779</v>
      </c>
      <c r="H77" s="301">
        <f>F_Inputs!H77</f>
        <v>2.04</v>
      </c>
      <c r="I77" s="301">
        <f>F_Inputs!I77</f>
        <v>2.04</v>
      </c>
      <c r="J77" s="301">
        <f>F_Inputs!J77</f>
        <v>2.04</v>
      </c>
      <c r="K77" s="301">
        <f>F_Inputs!K77</f>
        <v>2.04</v>
      </c>
      <c r="L77" s="301">
        <f>F_Inputs!L77</f>
        <v>2.04</v>
      </c>
      <c r="Q77" s="3" t="str">
        <f t="shared" si="9"/>
        <v>CWW3_0</v>
      </c>
      <c r="R77" s="296">
        <f t="shared" si="10"/>
        <v>0</v>
      </c>
      <c r="S77" s="296">
        <f t="shared" si="11"/>
        <v>0</v>
      </c>
      <c r="T77" s="296">
        <f t="shared" si="12"/>
        <v>2.04</v>
      </c>
      <c r="U77" s="296">
        <f t="shared" si="13"/>
        <v>2.04</v>
      </c>
      <c r="V77" s="296">
        <f t="shared" si="14"/>
        <v>2.04</v>
      </c>
      <c r="W77" s="296">
        <f t="shared" si="15"/>
        <v>2.04</v>
      </c>
      <c r="X77" s="296">
        <f t="shared" si="16"/>
        <v>2.04</v>
      </c>
    </row>
    <row r="78" spans="1:24" s="296" customFormat="1" ht="13.15">
      <c r="A78" s="298" t="str">
        <f>F_Inputs!A78</f>
        <v>SWB</v>
      </c>
      <c r="B78" s="298" t="str">
        <f>F_Inputs!B78</f>
        <v>CWW3_011TOT_PR24</v>
      </c>
      <c r="C78" s="298" t="str">
        <f>F_Inputs!C78</f>
        <v>EA/NRW environmental programme wastewater (WINEP/NEP) - MCERTs monitoring at emergency sewage pumping station overflows (WINEP/NEP) wastewater opex - Total</v>
      </c>
      <c r="D78" s="298" t="str">
        <f>F_Inputs!D78</f>
        <v>£m</v>
      </c>
      <c r="E78" s="298" t="str">
        <f>F_Inputs!E78</f>
        <v>Price Review 2024</v>
      </c>
      <c r="F78" s="301">
        <f>F_Inputs!F78</f>
        <v>0</v>
      </c>
      <c r="G78" s="301">
        <f>F_Inputs!G78</f>
        <v>0.41499999999999998</v>
      </c>
      <c r="H78" s="301">
        <f>F_Inputs!H78</f>
        <v>0</v>
      </c>
      <c r="I78" s="301">
        <f>F_Inputs!I78</f>
        <v>0</v>
      </c>
      <c r="J78" s="301">
        <f>F_Inputs!J78</f>
        <v>0</v>
      </c>
      <c r="K78" s="301">
        <f>F_Inputs!K78</f>
        <v>0</v>
      </c>
      <c r="L78" s="301">
        <f>F_Inputs!L78</f>
        <v>0</v>
      </c>
      <c r="Q78" s="3" t="str">
        <f t="shared" si="9"/>
        <v>CWW3_0</v>
      </c>
      <c r="R78" s="296">
        <f t="shared" si="10"/>
        <v>0</v>
      </c>
      <c r="S78" s="296">
        <f t="shared" si="11"/>
        <v>0</v>
      </c>
      <c r="T78" s="296">
        <f t="shared" si="12"/>
        <v>0</v>
      </c>
      <c r="U78" s="296">
        <f t="shared" si="13"/>
        <v>0</v>
      </c>
      <c r="V78" s="296">
        <f t="shared" si="14"/>
        <v>0</v>
      </c>
      <c r="W78" s="296">
        <f t="shared" si="15"/>
        <v>0</v>
      </c>
      <c r="X78" s="296">
        <f t="shared" si="16"/>
        <v>0</v>
      </c>
    </row>
    <row r="79" spans="1:24" s="296" customFormat="1" ht="13.15">
      <c r="A79" s="298" t="str">
        <f>F_Inputs!A79</f>
        <v>SWB</v>
      </c>
      <c r="B79" s="298" t="str">
        <f>F_Inputs!B79</f>
        <v>CWW3_012TOT_PR24</v>
      </c>
      <c r="C79" s="298" t="str">
        <f>F_Inputs!C79</f>
        <v>EA/NRW environmental programme wastewater (WINEP/NEP) - MCERTs monitoring at emergency sewage pumping station overflows (WINEP/NEP) wastewater totex - Total</v>
      </c>
      <c r="D79" s="298" t="str">
        <f>F_Inputs!D79</f>
        <v>£m</v>
      </c>
      <c r="E79" s="298" t="str">
        <f>F_Inputs!E79</f>
        <v>Price Review 2024</v>
      </c>
      <c r="F79" s="301">
        <f>F_Inputs!F79</f>
        <v>0</v>
      </c>
      <c r="G79" s="301">
        <f>F_Inputs!G79</f>
        <v>15.194000000000001</v>
      </c>
      <c r="H79" s="301">
        <f>F_Inputs!H79</f>
        <v>2.04</v>
      </c>
      <c r="I79" s="301">
        <f>F_Inputs!I79</f>
        <v>2.04</v>
      </c>
      <c r="J79" s="301">
        <f>F_Inputs!J79</f>
        <v>2.04</v>
      </c>
      <c r="K79" s="301">
        <f>F_Inputs!K79</f>
        <v>2.04</v>
      </c>
      <c r="L79" s="301">
        <f>F_Inputs!L79</f>
        <v>2.04</v>
      </c>
      <c r="Q79" s="3" t="str">
        <f t="shared" si="9"/>
        <v>CWW3_0</v>
      </c>
      <c r="R79" s="296">
        <f t="shared" si="10"/>
        <v>0</v>
      </c>
      <c r="S79" s="296">
        <f t="shared" si="11"/>
        <v>0</v>
      </c>
      <c r="T79" s="296">
        <f t="shared" si="12"/>
        <v>2.04</v>
      </c>
      <c r="U79" s="296">
        <f t="shared" si="13"/>
        <v>2.04</v>
      </c>
      <c r="V79" s="296">
        <f t="shared" si="14"/>
        <v>2.04</v>
      </c>
      <c r="W79" s="296">
        <f t="shared" si="15"/>
        <v>2.04</v>
      </c>
      <c r="X79" s="296">
        <f t="shared" si="16"/>
        <v>2.04</v>
      </c>
    </row>
    <row r="80" spans="1:24" s="296" customFormat="1" ht="13.15">
      <c r="A80" s="298" t="str">
        <f>F_Inputs!A80</f>
        <v>SWB</v>
      </c>
      <c r="B80" s="298" t="str">
        <f>F_Inputs!B80</f>
        <v>CWW12_010TOT_PR24</v>
      </c>
      <c r="C80" s="298" t="str">
        <f>F_Inputs!C80</f>
        <v>EA/NRW environmental programme wastewater (WINEP/NEP) - MCERTs monitoring at emergency sewage pumping station overflows (WINEP/NEP) wastewater capex - Total</v>
      </c>
      <c r="D80" s="298" t="str">
        <f>F_Inputs!D80</f>
        <v>£m</v>
      </c>
      <c r="E80" s="298" t="str">
        <f>F_Inputs!E80</f>
        <v>Price Review 2024</v>
      </c>
      <c r="F80" s="301">
        <f>F_Inputs!F80</f>
        <v>0</v>
      </c>
      <c r="G80" s="301">
        <f>F_Inputs!G80</f>
        <v>0</v>
      </c>
      <c r="H80" s="301" t="str">
        <f>F_Inputs!H80</f>
        <v/>
      </c>
      <c r="I80" s="301" t="str">
        <f>F_Inputs!I80</f>
        <v/>
      </c>
      <c r="J80" s="301" t="str">
        <f>F_Inputs!J80</f>
        <v/>
      </c>
      <c r="K80" s="301" t="str">
        <f>F_Inputs!K80</f>
        <v/>
      </c>
      <c r="L80" s="301" t="str">
        <f>F_Inputs!L80</f>
        <v/>
      </c>
      <c r="Q80" s="3" t="str">
        <f t="shared" si="9"/>
        <v>CWW12_</v>
      </c>
      <c r="R80" s="296">
        <f t="shared" si="10"/>
        <v>0</v>
      </c>
      <c r="S80" s="296">
        <f t="shared" si="11"/>
        <v>0</v>
      </c>
      <c r="T80" s="296">
        <f t="shared" si="12"/>
        <v>0</v>
      </c>
      <c r="U80" s="296">
        <f t="shared" si="13"/>
        <v>0</v>
      </c>
      <c r="V80" s="296">
        <f t="shared" si="14"/>
        <v>0</v>
      </c>
      <c r="W80" s="296">
        <f t="shared" si="15"/>
        <v>0</v>
      </c>
      <c r="X80" s="296">
        <f t="shared" si="16"/>
        <v>0</v>
      </c>
    </row>
    <row r="81" spans="1:24" s="296" customFormat="1" ht="13.15">
      <c r="A81" s="298" t="str">
        <f>F_Inputs!A81</f>
        <v>SWB</v>
      </c>
      <c r="B81" s="298" t="str">
        <f>F_Inputs!B81</f>
        <v>CWW12_011TOT_PR24</v>
      </c>
      <c r="C81" s="298" t="str">
        <f>F_Inputs!C81</f>
        <v>EA/NRW environmental programme wastewater (WINEP/NEP) - MCERTs monitoring at emergency sewage pumping station overflows (WINEP/NEP) wastewater opex - Total</v>
      </c>
      <c r="D81" s="298" t="str">
        <f>F_Inputs!D81</f>
        <v>£m</v>
      </c>
      <c r="E81" s="298" t="str">
        <f>F_Inputs!E81</f>
        <v>Price Review 2024</v>
      </c>
      <c r="F81" s="301">
        <f>F_Inputs!F81</f>
        <v>0</v>
      </c>
      <c r="G81" s="301">
        <f>F_Inputs!G81</f>
        <v>0</v>
      </c>
      <c r="H81" s="301" t="str">
        <f>F_Inputs!H81</f>
        <v/>
      </c>
      <c r="I81" s="301" t="str">
        <f>F_Inputs!I81</f>
        <v/>
      </c>
      <c r="J81" s="301" t="str">
        <f>F_Inputs!J81</f>
        <v/>
      </c>
      <c r="K81" s="301" t="str">
        <f>F_Inputs!K81</f>
        <v/>
      </c>
      <c r="L81" s="301" t="str">
        <f>F_Inputs!L81</f>
        <v/>
      </c>
      <c r="Q81" s="3" t="str">
        <f t="shared" si="9"/>
        <v>CWW12_</v>
      </c>
      <c r="R81" s="296">
        <f t="shared" si="10"/>
        <v>0</v>
      </c>
      <c r="S81" s="296">
        <f t="shared" si="11"/>
        <v>0</v>
      </c>
      <c r="T81" s="296">
        <f t="shared" si="12"/>
        <v>0</v>
      </c>
      <c r="U81" s="296">
        <f t="shared" si="13"/>
        <v>0</v>
      </c>
      <c r="V81" s="296">
        <f t="shared" si="14"/>
        <v>0</v>
      </c>
      <c r="W81" s="296">
        <f t="shared" si="15"/>
        <v>0</v>
      </c>
      <c r="X81" s="296">
        <f t="shared" si="16"/>
        <v>0</v>
      </c>
    </row>
    <row r="82" spans="1:24" s="296" customFormat="1" ht="13.15">
      <c r="A82" s="298" t="str">
        <f>F_Inputs!A82</f>
        <v>SWB</v>
      </c>
      <c r="B82" s="298" t="str">
        <f>F_Inputs!B82</f>
        <v>CWW12_012TOT_PR24</v>
      </c>
      <c r="C82" s="298" t="str">
        <f>F_Inputs!C82</f>
        <v>EA/NRW environmental programme wastewater (WINEP/NEP) - MCERTs monitoring at emergency sewage pumping station overflows (WINEP/NEP) wastewater totex - Total</v>
      </c>
      <c r="D82" s="298" t="str">
        <f>F_Inputs!D82</f>
        <v>£m</v>
      </c>
      <c r="E82" s="298" t="str">
        <f>F_Inputs!E82</f>
        <v>Price Review 2024</v>
      </c>
      <c r="F82" s="301">
        <f>F_Inputs!F82</f>
        <v>0</v>
      </c>
      <c r="G82" s="301">
        <f>F_Inputs!G82</f>
        <v>0</v>
      </c>
      <c r="H82" s="301" t="str">
        <f>F_Inputs!H82</f>
        <v/>
      </c>
      <c r="I82" s="301" t="str">
        <f>F_Inputs!I82</f>
        <v/>
      </c>
      <c r="J82" s="301" t="str">
        <f>F_Inputs!J82</f>
        <v/>
      </c>
      <c r="K82" s="301" t="str">
        <f>F_Inputs!K82</f>
        <v/>
      </c>
      <c r="L82" s="301" t="str">
        <f>F_Inputs!L82</f>
        <v/>
      </c>
      <c r="Q82" s="3" t="str">
        <f t="shared" si="9"/>
        <v>CWW12_</v>
      </c>
      <c r="R82" s="296">
        <f t="shared" si="10"/>
        <v>0</v>
      </c>
      <c r="S82" s="296">
        <f t="shared" si="11"/>
        <v>0</v>
      </c>
      <c r="T82" s="296">
        <f t="shared" si="12"/>
        <v>0</v>
      </c>
      <c r="U82" s="296">
        <f t="shared" si="13"/>
        <v>0</v>
      </c>
      <c r="V82" s="296">
        <f t="shared" si="14"/>
        <v>0</v>
      </c>
      <c r="W82" s="296">
        <f t="shared" si="15"/>
        <v>0</v>
      </c>
      <c r="X82" s="296">
        <f t="shared" si="16"/>
        <v>0</v>
      </c>
    </row>
    <row r="83" spans="1:24" s="296" customFormat="1" ht="13.15">
      <c r="A83" s="298" t="str">
        <f>F_Inputs!A83</f>
        <v>SWB</v>
      </c>
      <c r="B83" s="298" t="str">
        <f>F_Inputs!B83</f>
        <v>CWW17_010TOT_PR24</v>
      </c>
      <c r="C83" s="298" t="str">
        <f>F_Inputs!C83</f>
        <v>EA/NRW environmental programme wastewater (WINEP/NEP) - MCERTs monitoring at emergency sewage pumping station overflows (WINEP/NEP) wastewater capex - Total</v>
      </c>
      <c r="D83" s="298" t="str">
        <f>F_Inputs!D83</f>
        <v>£m</v>
      </c>
      <c r="E83" s="298" t="str">
        <f>F_Inputs!E83</f>
        <v>Price Review 2024</v>
      </c>
      <c r="F83" s="301">
        <f>F_Inputs!F83</f>
        <v>0</v>
      </c>
      <c r="G83" s="301">
        <f>F_Inputs!G83</f>
        <v>0</v>
      </c>
      <c r="H83" s="301">
        <f>F_Inputs!H83</f>
        <v>0</v>
      </c>
      <c r="I83" s="301">
        <f>F_Inputs!I83</f>
        <v>0</v>
      </c>
      <c r="J83" s="301">
        <f>F_Inputs!J83</f>
        <v>0</v>
      </c>
      <c r="K83" s="301">
        <f>F_Inputs!K83</f>
        <v>0</v>
      </c>
      <c r="L83" s="301">
        <f>F_Inputs!L83</f>
        <v>0</v>
      </c>
      <c r="Q83" s="3" t="str">
        <f t="shared" si="9"/>
        <v>CWW17_</v>
      </c>
      <c r="R83" s="296">
        <f t="shared" si="10"/>
        <v>0</v>
      </c>
      <c r="S83" s="296">
        <f t="shared" si="11"/>
        <v>0</v>
      </c>
      <c r="T83" s="296">
        <f t="shared" si="12"/>
        <v>0</v>
      </c>
      <c r="U83" s="296">
        <f t="shared" si="13"/>
        <v>0</v>
      </c>
      <c r="V83" s="296">
        <f t="shared" si="14"/>
        <v>0</v>
      </c>
      <c r="W83" s="296">
        <f t="shared" si="15"/>
        <v>0</v>
      </c>
      <c r="X83" s="296">
        <f t="shared" si="16"/>
        <v>0</v>
      </c>
    </row>
    <row r="84" spans="1:24" s="296" customFormat="1" ht="13.15">
      <c r="A84" s="298" t="str">
        <f>F_Inputs!A84</f>
        <v>SWB</v>
      </c>
      <c r="B84" s="298" t="str">
        <f>F_Inputs!B84</f>
        <v>CWW17_011TOT_PR24</v>
      </c>
      <c r="C84" s="298" t="str">
        <f>F_Inputs!C84</f>
        <v>EA/NRW environmental programme wastewater (WINEP/NEP) - MCERTs monitoring at emergency sewage pumping station overflows (WINEP/NEP) wastewater opex - Total</v>
      </c>
      <c r="D84" s="298" t="str">
        <f>F_Inputs!D84</f>
        <v>£m</v>
      </c>
      <c r="E84" s="298" t="str">
        <f>F_Inputs!E84</f>
        <v>Price Review 2024</v>
      </c>
      <c r="F84" s="301">
        <f>F_Inputs!F84</f>
        <v>0</v>
      </c>
      <c r="G84" s="301">
        <f>F_Inputs!G84</f>
        <v>0</v>
      </c>
      <c r="H84" s="301">
        <f>F_Inputs!H84</f>
        <v>0</v>
      </c>
      <c r="I84" s="301">
        <f>F_Inputs!I84</f>
        <v>0</v>
      </c>
      <c r="J84" s="301">
        <f>F_Inputs!J84</f>
        <v>0</v>
      </c>
      <c r="K84" s="301">
        <f>F_Inputs!K84</f>
        <v>0</v>
      </c>
      <c r="L84" s="301">
        <f>F_Inputs!L84</f>
        <v>0</v>
      </c>
      <c r="Q84" s="3" t="str">
        <f t="shared" si="9"/>
        <v>CWW17_</v>
      </c>
      <c r="R84" s="296">
        <f t="shared" si="10"/>
        <v>0</v>
      </c>
      <c r="S84" s="296">
        <f t="shared" si="11"/>
        <v>0</v>
      </c>
      <c r="T84" s="296">
        <f t="shared" si="12"/>
        <v>0</v>
      </c>
      <c r="U84" s="296">
        <f t="shared" si="13"/>
        <v>0</v>
      </c>
      <c r="V84" s="296">
        <f t="shared" si="14"/>
        <v>0</v>
      </c>
      <c r="W84" s="296">
        <f t="shared" si="15"/>
        <v>0</v>
      </c>
      <c r="X84" s="296">
        <f t="shared" si="16"/>
        <v>0</v>
      </c>
    </row>
    <row r="85" spans="1:24" s="296" customFormat="1" ht="13.15">
      <c r="A85" s="298" t="str">
        <f>F_Inputs!A85</f>
        <v>SWB</v>
      </c>
      <c r="B85" s="298" t="str">
        <f>F_Inputs!B85</f>
        <v>CWW17_012TOT_PR24</v>
      </c>
      <c r="C85" s="298" t="str">
        <f>F_Inputs!C85</f>
        <v>EA/NRW environmental programme wastewater (WINEP/NEP) - MCERTs monitoring at emergency sewage pumping station overflows (WINEP/NEP) wastewater totex - Total</v>
      </c>
      <c r="D85" s="298" t="str">
        <f>F_Inputs!D85</f>
        <v>£m</v>
      </c>
      <c r="E85" s="298" t="str">
        <f>F_Inputs!E85</f>
        <v>Price Review 2024</v>
      </c>
      <c r="F85" s="301">
        <f>F_Inputs!F85</f>
        <v>0</v>
      </c>
      <c r="G85" s="301">
        <f>F_Inputs!G85</f>
        <v>0</v>
      </c>
      <c r="H85" s="301">
        <f>F_Inputs!H85</f>
        <v>0</v>
      </c>
      <c r="I85" s="301">
        <f>F_Inputs!I85</f>
        <v>0</v>
      </c>
      <c r="J85" s="301">
        <f>F_Inputs!J85</f>
        <v>0</v>
      </c>
      <c r="K85" s="301">
        <f>F_Inputs!K85</f>
        <v>0</v>
      </c>
      <c r="L85" s="301">
        <f>F_Inputs!L85</f>
        <v>0</v>
      </c>
      <c r="Q85" s="3" t="str">
        <f t="shared" si="9"/>
        <v>CWW17_</v>
      </c>
      <c r="R85" s="296">
        <f t="shared" si="10"/>
        <v>0</v>
      </c>
      <c r="S85" s="296">
        <f t="shared" si="11"/>
        <v>0</v>
      </c>
      <c r="T85" s="296">
        <f t="shared" si="12"/>
        <v>0</v>
      </c>
      <c r="U85" s="296">
        <f t="shared" si="13"/>
        <v>0</v>
      </c>
      <c r="V85" s="296">
        <f t="shared" si="14"/>
        <v>0</v>
      </c>
      <c r="W85" s="296">
        <f t="shared" si="15"/>
        <v>0</v>
      </c>
      <c r="X85" s="296">
        <f t="shared" si="16"/>
        <v>0</v>
      </c>
    </row>
    <row r="86" spans="1:24" s="296" customFormat="1" ht="13.15">
      <c r="A86" s="298" t="str">
        <f>F_Inputs!A86</f>
        <v>SWB</v>
      </c>
      <c r="B86" s="298" t="str">
        <f>F_Inputs!B86</f>
        <v>CWW20_050_PR24</v>
      </c>
      <c r="C86" s="298" t="str">
        <f>F_Inputs!C86</f>
        <v>Network / Storm overflow data - Number of new MCERTs event duration monitors installed at SPS emergency overflows</v>
      </c>
      <c r="D86" s="298" t="str">
        <f>F_Inputs!D86</f>
        <v>nr</v>
      </c>
      <c r="E86" s="298" t="str">
        <f>F_Inputs!E86</f>
        <v>Price Review 2024</v>
      </c>
      <c r="F86" s="301">
        <f>F_Inputs!F86</f>
        <v>0</v>
      </c>
      <c r="G86" s="301">
        <f>F_Inputs!G86</f>
        <v>0</v>
      </c>
      <c r="H86" s="301">
        <f>F_Inputs!H86</f>
        <v>0</v>
      </c>
      <c r="I86" s="301">
        <f>F_Inputs!I86</f>
        <v>0</v>
      </c>
      <c r="J86" s="301">
        <f>F_Inputs!J86</f>
        <v>0</v>
      </c>
      <c r="K86" s="301">
        <f>F_Inputs!K86</f>
        <v>0</v>
      </c>
      <c r="L86" s="301">
        <f>F_Inputs!L86</f>
        <v>193</v>
      </c>
      <c r="Q86" s="3" t="str">
        <f t="shared" si="9"/>
        <v>CWW20_</v>
      </c>
      <c r="R86" s="296">
        <f t="shared" si="10"/>
        <v>0</v>
      </c>
      <c r="S86" s="296">
        <f t="shared" si="11"/>
        <v>0</v>
      </c>
      <c r="T86" s="296">
        <f t="shared" si="12"/>
        <v>0</v>
      </c>
      <c r="U86" s="296">
        <f t="shared" si="13"/>
        <v>0</v>
      </c>
      <c r="V86" s="296">
        <f t="shared" si="14"/>
        <v>0</v>
      </c>
      <c r="W86" s="296">
        <f t="shared" si="15"/>
        <v>0</v>
      </c>
      <c r="X86" s="296">
        <f t="shared" si="16"/>
        <v>193</v>
      </c>
    </row>
    <row r="87" spans="1:24" s="296" customFormat="1" ht="13.15">
      <c r="A87" s="298" t="str">
        <f>F_Inputs!A87</f>
        <v>SWB</v>
      </c>
      <c r="B87" s="298" t="str">
        <f>F_Inputs!B87</f>
        <v>CWW20_051_PR24</v>
      </c>
      <c r="C87" s="298" t="str">
        <f>F_Inputs!C87</f>
        <v>Network / Storm overflow data - Number of new MCERTs flow monitors (PFF) installed at SPSs with combined emergency and storm overflows.</v>
      </c>
      <c r="D87" s="298" t="str">
        <f>F_Inputs!D87</f>
        <v>nr</v>
      </c>
      <c r="E87" s="298" t="str">
        <f>F_Inputs!E87</f>
        <v>Price Review 2024</v>
      </c>
      <c r="F87" s="301">
        <f>F_Inputs!F87</f>
        <v>0</v>
      </c>
      <c r="G87" s="301">
        <f>F_Inputs!G87</f>
        <v>0</v>
      </c>
      <c r="H87" s="301">
        <f>F_Inputs!H87</f>
        <v>0</v>
      </c>
      <c r="I87" s="301">
        <f>F_Inputs!I87</f>
        <v>0</v>
      </c>
      <c r="J87" s="301">
        <f>F_Inputs!J87</f>
        <v>0</v>
      </c>
      <c r="K87" s="301">
        <f>F_Inputs!K87</f>
        <v>0</v>
      </c>
      <c r="L87" s="301">
        <f>F_Inputs!L87</f>
        <v>185</v>
      </c>
      <c r="Q87" s="3" t="str">
        <f t="shared" si="9"/>
        <v>CWW20_</v>
      </c>
      <c r="R87" s="296">
        <f t="shared" si="10"/>
        <v>0</v>
      </c>
      <c r="S87" s="296">
        <f t="shared" si="11"/>
        <v>0</v>
      </c>
      <c r="T87" s="296">
        <f t="shared" si="12"/>
        <v>0</v>
      </c>
      <c r="U87" s="296">
        <f t="shared" si="13"/>
        <v>0</v>
      </c>
      <c r="V87" s="296">
        <f t="shared" si="14"/>
        <v>0</v>
      </c>
      <c r="W87" s="296">
        <f t="shared" si="15"/>
        <v>0</v>
      </c>
      <c r="X87" s="296">
        <f t="shared" si="16"/>
        <v>185</v>
      </c>
    </row>
    <row r="88" spans="1:24" s="296" customFormat="1" ht="13.15">
      <c r="A88" s="298" t="str">
        <f>F_Inputs!A88</f>
        <v>SWB</v>
      </c>
      <c r="B88" s="298" t="str">
        <f>F_Inputs!B88</f>
        <v>CWW20A_050_PR24</v>
      </c>
      <c r="C88" s="298" t="str">
        <f>F_Inputs!C88</f>
        <v>Network / Storm overflow data - Number of new MCERTs event duration monitors installed at SPS emergency overflows</v>
      </c>
      <c r="D88" s="298" t="str">
        <f>F_Inputs!D88</f>
        <v>nr</v>
      </c>
      <c r="E88" s="298" t="str">
        <f>F_Inputs!E88</f>
        <v>Price Review 2024</v>
      </c>
      <c r="F88" s="301">
        <f>F_Inputs!F88</f>
        <v>0</v>
      </c>
      <c r="G88" s="301" t="str">
        <f>F_Inputs!G88</f>
        <v/>
      </c>
      <c r="H88" s="301" t="str">
        <f>F_Inputs!H88</f>
        <v/>
      </c>
      <c r="I88" s="301" t="str">
        <f>F_Inputs!I88</f>
        <v/>
      </c>
      <c r="J88" s="301" t="str">
        <f>F_Inputs!J88</f>
        <v/>
      </c>
      <c r="K88" s="301" t="str">
        <f>F_Inputs!K88</f>
        <v/>
      </c>
      <c r="L88" s="301" t="str">
        <f>F_Inputs!L88</f>
        <v/>
      </c>
      <c r="Q88" s="3" t="str">
        <f t="shared" si="9"/>
        <v>CWW20A</v>
      </c>
      <c r="R88" s="296">
        <f t="shared" si="10"/>
        <v>0</v>
      </c>
      <c r="S88" s="296" t="str">
        <f t="shared" si="11"/>
        <v/>
      </c>
      <c r="T88" s="296">
        <f t="shared" si="12"/>
        <v>0</v>
      </c>
      <c r="U88" s="296">
        <f t="shared" si="13"/>
        <v>0</v>
      </c>
      <c r="V88" s="296">
        <f t="shared" si="14"/>
        <v>0</v>
      </c>
      <c r="W88" s="296">
        <f t="shared" si="15"/>
        <v>0</v>
      </c>
      <c r="X88" s="296">
        <f t="shared" si="16"/>
        <v>0</v>
      </c>
    </row>
    <row r="89" spans="1:24" s="296" customFormat="1" ht="13.15">
      <c r="A89" s="298" t="str">
        <f>F_Inputs!A89</f>
        <v>SWB</v>
      </c>
      <c r="B89" s="298" t="str">
        <f>F_Inputs!B89</f>
        <v>CWW20A_051_PR24</v>
      </c>
      <c r="C89" s="298" t="str">
        <f>F_Inputs!C89</f>
        <v>Network / Storm overflow data - Number of new MCERTs flow monitors (PFF) installed at SPSs with combined emergency and storm overflows.</v>
      </c>
      <c r="D89" s="298" t="str">
        <f>F_Inputs!D89</f>
        <v>nr</v>
      </c>
      <c r="E89" s="298" t="str">
        <f>F_Inputs!E89</f>
        <v>Price Review 2024</v>
      </c>
      <c r="F89" s="301">
        <f>F_Inputs!F89</f>
        <v>0</v>
      </c>
      <c r="G89" s="301" t="str">
        <f>F_Inputs!G89</f>
        <v/>
      </c>
      <c r="H89" s="301" t="str">
        <f>F_Inputs!H89</f>
        <v/>
      </c>
      <c r="I89" s="301" t="str">
        <f>F_Inputs!I89</f>
        <v/>
      </c>
      <c r="J89" s="301" t="str">
        <f>F_Inputs!J89</f>
        <v/>
      </c>
      <c r="K89" s="301" t="str">
        <f>F_Inputs!K89</f>
        <v/>
      </c>
      <c r="L89" s="301" t="str">
        <f>F_Inputs!L89</f>
        <v/>
      </c>
      <c r="Q89" s="3" t="str">
        <f t="shared" si="9"/>
        <v>CWW20A</v>
      </c>
      <c r="R89" s="296">
        <f t="shared" si="10"/>
        <v>0</v>
      </c>
      <c r="S89" s="296" t="str">
        <f t="shared" si="11"/>
        <v/>
      </c>
      <c r="T89" s="296">
        <f t="shared" si="12"/>
        <v>0</v>
      </c>
      <c r="U89" s="296">
        <f t="shared" si="13"/>
        <v>0</v>
      </c>
      <c r="V89" s="296">
        <f t="shared" si="14"/>
        <v>0</v>
      </c>
      <c r="W89" s="296">
        <f t="shared" si="15"/>
        <v>0</v>
      </c>
      <c r="X89" s="296">
        <f t="shared" si="16"/>
        <v>0</v>
      </c>
    </row>
    <row r="90" spans="1:24" s="296" customFormat="1" ht="13.15">
      <c r="A90" s="298" t="str">
        <f>F_Inputs!A90</f>
        <v>SWB</v>
      </c>
      <c r="B90" s="298" t="str">
        <f>F_Inputs!B90</f>
        <v>CWW1A_015TOT_PR24</v>
      </c>
      <c r="C90" s="298" t="str">
        <f>F_Inputs!C90</f>
        <v>Net totex - Total</v>
      </c>
      <c r="D90" s="298" t="str">
        <f>F_Inputs!D90</f>
        <v>£m</v>
      </c>
      <c r="E90" s="298" t="str">
        <f>F_Inputs!E90</f>
        <v>Price Review 2024</v>
      </c>
      <c r="F90" s="301">
        <f>F_Inputs!F90</f>
        <v>333.01299999999998</v>
      </c>
      <c r="G90" s="301">
        <f>F_Inputs!G90</f>
        <v>359.33790081544743</v>
      </c>
      <c r="H90" s="301">
        <f>F_Inputs!H90</f>
        <v>424.43672704840031</v>
      </c>
      <c r="I90" s="301">
        <f>F_Inputs!I90</f>
        <v>452.43411651686932</v>
      </c>
      <c r="J90" s="301">
        <f>F_Inputs!J90</f>
        <v>438.9042052475661</v>
      </c>
      <c r="K90" s="301">
        <f>F_Inputs!K90</f>
        <v>443.81161410521469</v>
      </c>
      <c r="L90" s="301">
        <f>F_Inputs!L90</f>
        <v>366.29748727458627</v>
      </c>
      <c r="Q90" s="3" t="str">
        <f t="shared" si="9"/>
        <v>CWW1A_</v>
      </c>
      <c r="R90" s="296">
        <f t="shared" si="10"/>
        <v>0</v>
      </c>
      <c r="S90" s="296">
        <f t="shared" si="11"/>
        <v>0</v>
      </c>
      <c r="T90" s="296">
        <f t="shared" si="12"/>
        <v>424.43672704840031</v>
      </c>
      <c r="U90" s="296">
        <f t="shared" si="13"/>
        <v>452.43411651686932</v>
      </c>
      <c r="V90" s="296">
        <f t="shared" si="14"/>
        <v>438.9042052475661</v>
      </c>
      <c r="W90" s="296">
        <f t="shared" si="15"/>
        <v>443.81161410521469</v>
      </c>
      <c r="X90" s="296">
        <f t="shared" si="16"/>
        <v>366.29748727458627</v>
      </c>
    </row>
    <row r="91" spans="1:24" s="296" customFormat="1" ht="13.15">
      <c r="A91" s="298" t="str">
        <f>F_Inputs!A91</f>
        <v>SRN</v>
      </c>
      <c r="B91" s="298" t="str">
        <f>F_Inputs!B91</f>
        <v>CWW3_010TOT_PR24</v>
      </c>
      <c r="C91" s="298" t="str">
        <f>F_Inputs!C91</f>
        <v>EA/NRW environmental programme wastewater (WINEP/NEP) - MCERTs monitoring at emergency sewage pumping station overflows (WINEP/NEP) wastewater capex - Total</v>
      </c>
      <c r="D91" s="298" t="str">
        <f>F_Inputs!D91</f>
        <v>£m</v>
      </c>
      <c r="E91" s="298" t="str">
        <f>F_Inputs!E91</f>
        <v>Price Review 2024</v>
      </c>
      <c r="F91" s="301">
        <f>F_Inputs!F91</f>
        <v>0</v>
      </c>
      <c r="G91" s="301">
        <f>F_Inputs!G91</f>
        <v>0</v>
      </c>
      <c r="H91" s="301">
        <f>F_Inputs!H91</f>
        <v>4.9539999999999997</v>
      </c>
      <c r="I91" s="301">
        <f>F_Inputs!I91</f>
        <v>5.6970000000000001</v>
      </c>
      <c r="J91" s="301">
        <f>F_Inputs!J91</f>
        <v>5.8279999999999994</v>
      </c>
      <c r="K91" s="301">
        <f>F_Inputs!K91</f>
        <v>6.4059999999999997</v>
      </c>
      <c r="L91" s="301">
        <f>F_Inputs!L91</f>
        <v>16.780999999999999</v>
      </c>
      <c r="Q91" s="3" t="str">
        <f t="shared" si="9"/>
        <v>CWW3_0</v>
      </c>
      <c r="R91" s="296">
        <f t="shared" si="10"/>
        <v>0</v>
      </c>
      <c r="S91" s="296">
        <f t="shared" si="11"/>
        <v>0</v>
      </c>
      <c r="T91" s="296">
        <f t="shared" si="12"/>
        <v>4.9539999999999997</v>
      </c>
      <c r="U91" s="296">
        <f t="shared" si="13"/>
        <v>5.6970000000000001</v>
      </c>
      <c r="V91" s="296">
        <f t="shared" si="14"/>
        <v>5.8279999999999994</v>
      </c>
      <c r="W91" s="296">
        <f t="shared" si="15"/>
        <v>6.4059999999999997</v>
      </c>
      <c r="X91" s="296">
        <f t="shared" si="16"/>
        <v>16.780999999999999</v>
      </c>
    </row>
    <row r="92" spans="1:24" s="296" customFormat="1" ht="13.15">
      <c r="A92" s="298" t="str">
        <f>F_Inputs!A92</f>
        <v>SRN</v>
      </c>
      <c r="B92" s="298" t="str">
        <f>F_Inputs!B92</f>
        <v>CWW3_011TOT_PR24</v>
      </c>
      <c r="C92" s="298" t="str">
        <f>F_Inputs!C92</f>
        <v>EA/NRW environmental programme wastewater (WINEP/NEP) - MCERTs monitoring at emergency sewage pumping station overflows (WINEP/NEP) wastewater opex - Total</v>
      </c>
      <c r="D92" s="298" t="str">
        <f>F_Inputs!D92</f>
        <v>£m</v>
      </c>
      <c r="E92" s="298" t="str">
        <f>F_Inputs!E92</f>
        <v>Price Review 2024</v>
      </c>
      <c r="F92" s="301">
        <f>F_Inputs!F92</f>
        <v>0</v>
      </c>
      <c r="G92" s="301">
        <f>F_Inputs!G92</f>
        <v>0</v>
      </c>
      <c r="H92" s="301">
        <f>F_Inputs!H92</f>
        <v>0</v>
      </c>
      <c r="I92" s="301">
        <f>F_Inputs!I92</f>
        <v>0</v>
      </c>
      <c r="J92" s="301">
        <f>F_Inputs!J92</f>
        <v>0</v>
      </c>
      <c r="K92" s="301">
        <f>F_Inputs!K92</f>
        <v>0</v>
      </c>
      <c r="L92" s="301">
        <f>F_Inputs!L92</f>
        <v>4.1000000000000002E-2</v>
      </c>
      <c r="Q92" s="3" t="str">
        <f t="shared" si="9"/>
        <v>CWW3_0</v>
      </c>
      <c r="R92" s="296">
        <f t="shared" si="10"/>
        <v>0</v>
      </c>
      <c r="S92" s="296">
        <f t="shared" si="11"/>
        <v>0</v>
      </c>
      <c r="T92" s="296">
        <f t="shared" si="12"/>
        <v>0</v>
      </c>
      <c r="U92" s="296">
        <f t="shared" si="13"/>
        <v>0</v>
      </c>
      <c r="V92" s="296">
        <f t="shared" si="14"/>
        <v>0</v>
      </c>
      <c r="W92" s="296">
        <f t="shared" si="15"/>
        <v>0</v>
      </c>
      <c r="X92" s="296">
        <f t="shared" si="16"/>
        <v>4.1000000000000002E-2</v>
      </c>
    </row>
    <row r="93" spans="1:24" s="296" customFormat="1" ht="13.15">
      <c r="A93" s="298" t="str">
        <f>F_Inputs!A93</f>
        <v>SRN</v>
      </c>
      <c r="B93" s="298" t="str">
        <f>F_Inputs!B93</f>
        <v>CWW3_012TOT_PR24</v>
      </c>
      <c r="C93" s="298" t="str">
        <f>F_Inputs!C93</f>
        <v>EA/NRW environmental programme wastewater (WINEP/NEP) - MCERTs monitoring at emergency sewage pumping station overflows (WINEP/NEP) wastewater totex - Total</v>
      </c>
      <c r="D93" s="298" t="str">
        <f>F_Inputs!D93</f>
        <v>£m</v>
      </c>
      <c r="E93" s="298" t="str">
        <f>F_Inputs!E93</f>
        <v>Price Review 2024</v>
      </c>
      <c r="F93" s="301">
        <f>F_Inputs!F93</f>
        <v>0</v>
      </c>
      <c r="G93" s="301">
        <f>F_Inputs!G93</f>
        <v>0</v>
      </c>
      <c r="H93" s="301">
        <f>F_Inputs!H93</f>
        <v>4.9539999999999997</v>
      </c>
      <c r="I93" s="301">
        <f>F_Inputs!I93</f>
        <v>5.6970000000000001</v>
      </c>
      <c r="J93" s="301">
        <f>F_Inputs!J93</f>
        <v>5.8279999999999994</v>
      </c>
      <c r="K93" s="301">
        <f>F_Inputs!K93</f>
        <v>6.4059999999999997</v>
      </c>
      <c r="L93" s="301">
        <f>F_Inputs!L93</f>
        <v>16.821999999999999</v>
      </c>
      <c r="Q93" s="3" t="str">
        <f t="shared" si="9"/>
        <v>CWW3_0</v>
      </c>
      <c r="R93" s="296">
        <f t="shared" si="10"/>
        <v>0</v>
      </c>
      <c r="S93" s="296">
        <f t="shared" si="11"/>
        <v>0</v>
      </c>
      <c r="T93" s="296">
        <f t="shared" si="12"/>
        <v>4.9539999999999997</v>
      </c>
      <c r="U93" s="296">
        <f t="shared" si="13"/>
        <v>5.6970000000000001</v>
      </c>
      <c r="V93" s="296">
        <f t="shared" si="14"/>
        <v>5.8279999999999994</v>
      </c>
      <c r="W93" s="296">
        <f t="shared" si="15"/>
        <v>6.4059999999999997</v>
      </c>
      <c r="X93" s="296">
        <f t="shared" si="16"/>
        <v>16.821999999999999</v>
      </c>
    </row>
    <row r="94" spans="1:24" s="296" customFormat="1" ht="13.15">
      <c r="A94" s="298" t="str">
        <f>F_Inputs!A94</f>
        <v>SRN</v>
      </c>
      <c r="B94" s="298" t="str">
        <f>F_Inputs!B94</f>
        <v>CWW12_010TOT_PR24</v>
      </c>
      <c r="C94" s="298" t="str">
        <f>F_Inputs!C94</f>
        <v>EA/NRW environmental programme wastewater (WINEP/NEP) - MCERTs monitoring at emergency sewage pumping station overflows (WINEP/NEP) wastewater capex - Total</v>
      </c>
      <c r="D94" s="298" t="str">
        <f>F_Inputs!D94</f>
        <v>£m</v>
      </c>
      <c r="E94" s="298" t="str">
        <f>F_Inputs!E94</f>
        <v>Price Review 2024</v>
      </c>
      <c r="F94" s="301">
        <f>F_Inputs!F94</f>
        <v>0</v>
      </c>
      <c r="G94" s="301">
        <f>F_Inputs!G94</f>
        <v>0</v>
      </c>
      <c r="H94" s="301" t="str">
        <f>F_Inputs!H94</f>
        <v/>
      </c>
      <c r="I94" s="301" t="str">
        <f>F_Inputs!I94</f>
        <v/>
      </c>
      <c r="J94" s="301" t="str">
        <f>F_Inputs!J94</f>
        <v/>
      </c>
      <c r="K94" s="301" t="str">
        <f>F_Inputs!K94</f>
        <v/>
      </c>
      <c r="L94" s="301" t="str">
        <f>F_Inputs!L94</f>
        <v/>
      </c>
      <c r="Q94" s="3" t="str">
        <f t="shared" si="9"/>
        <v>CWW12_</v>
      </c>
      <c r="R94" s="296">
        <f t="shared" si="10"/>
        <v>0</v>
      </c>
      <c r="S94" s="296">
        <f t="shared" si="11"/>
        <v>0</v>
      </c>
      <c r="T94" s="296">
        <f t="shared" si="12"/>
        <v>0</v>
      </c>
      <c r="U94" s="296">
        <f t="shared" si="13"/>
        <v>0</v>
      </c>
      <c r="V94" s="296">
        <f t="shared" si="14"/>
        <v>0</v>
      </c>
      <c r="W94" s="296">
        <f t="shared" si="15"/>
        <v>0</v>
      </c>
      <c r="X94" s="296">
        <f t="shared" si="16"/>
        <v>0</v>
      </c>
    </row>
    <row r="95" spans="1:24" s="296" customFormat="1" ht="13.15">
      <c r="A95" s="298" t="str">
        <f>F_Inputs!A95</f>
        <v>SRN</v>
      </c>
      <c r="B95" s="298" t="str">
        <f>F_Inputs!B95</f>
        <v>CWW12_011TOT_PR24</v>
      </c>
      <c r="C95" s="298" t="str">
        <f>F_Inputs!C95</f>
        <v>EA/NRW environmental programme wastewater (WINEP/NEP) - MCERTs monitoring at emergency sewage pumping station overflows (WINEP/NEP) wastewater opex - Total</v>
      </c>
      <c r="D95" s="298" t="str">
        <f>F_Inputs!D95</f>
        <v>£m</v>
      </c>
      <c r="E95" s="298" t="str">
        <f>F_Inputs!E95</f>
        <v>Price Review 2024</v>
      </c>
      <c r="F95" s="301">
        <f>F_Inputs!F95</f>
        <v>0</v>
      </c>
      <c r="G95" s="301">
        <f>F_Inputs!G95</f>
        <v>0</v>
      </c>
      <c r="H95" s="301" t="str">
        <f>F_Inputs!H95</f>
        <v/>
      </c>
      <c r="I95" s="301" t="str">
        <f>F_Inputs!I95</f>
        <v/>
      </c>
      <c r="J95" s="301" t="str">
        <f>F_Inputs!J95</f>
        <v/>
      </c>
      <c r="K95" s="301" t="str">
        <f>F_Inputs!K95</f>
        <v/>
      </c>
      <c r="L95" s="301" t="str">
        <f>F_Inputs!L95</f>
        <v/>
      </c>
      <c r="Q95" s="3" t="str">
        <f t="shared" si="9"/>
        <v>CWW12_</v>
      </c>
      <c r="R95" s="296">
        <f t="shared" si="10"/>
        <v>0</v>
      </c>
      <c r="S95" s="296">
        <f t="shared" si="11"/>
        <v>0</v>
      </c>
      <c r="T95" s="296">
        <f t="shared" si="12"/>
        <v>0</v>
      </c>
      <c r="U95" s="296">
        <f t="shared" si="13"/>
        <v>0</v>
      </c>
      <c r="V95" s="296">
        <f t="shared" si="14"/>
        <v>0</v>
      </c>
      <c r="W95" s="296">
        <f t="shared" si="15"/>
        <v>0</v>
      </c>
      <c r="X95" s="296">
        <f t="shared" si="16"/>
        <v>0</v>
      </c>
    </row>
    <row r="96" spans="1:24" s="296" customFormat="1" ht="13.15">
      <c r="A96" s="298" t="str">
        <f>F_Inputs!A96</f>
        <v>SRN</v>
      </c>
      <c r="B96" s="298" t="str">
        <f>F_Inputs!B96</f>
        <v>CWW12_012TOT_PR24</v>
      </c>
      <c r="C96" s="298" t="str">
        <f>F_Inputs!C96</f>
        <v>EA/NRW environmental programme wastewater (WINEP/NEP) - MCERTs monitoring at emergency sewage pumping station overflows (WINEP/NEP) wastewater totex - Total</v>
      </c>
      <c r="D96" s="298" t="str">
        <f>F_Inputs!D96</f>
        <v>£m</v>
      </c>
      <c r="E96" s="298" t="str">
        <f>F_Inputs!E96</f>
        <v>Price Review 2024</v>
      </c>
      <c r="F96" s="301">
        <f>F_Inputs!F96</f>
        <v>0</v>
      </c>
      <c r="G96" s="301">
        <f>F_Inputs!G96</f>
        <v>0</v>
      </c>
      <c r="H96" s="301" t="str">
        <f>F_Inputs!H96</f>
        <v/>
      </c>
      <c r="I96" s="301" t="str">
        <f>F_Inputs!I96</f>
        <v/>
      </c>
      <c r="J96" s="301" t="str">
        <f>F_Inputs!J96</f>
        <v/>
      </c>
      <c r="K96" s="301" t="str">
        <f>F_Inputs!K96</f>
        <v/>
      </c>
      <c r="L96" s="301" t="str">
        <f>F_Inputs!L96</f>
        <v/>
      </c>
      <c r="Q96" s="3" t="str">
        <f t="shared" si="9"/>
        <v>CWW12_</v>
      </c>
      <c r="R96" s="296">
        <f t="shared" si="10"/>
        <v>0</v>
      </c>
      <c r="S96" s="296">
        <f t="shared" si="11"/>
        <v>0</v>
      </c>
      <c r="T96" s="296">
        <f t="shared" si="12"/>
        <v>0</v>
      </c>
      <c r="U96" s="296">
        <f t="shared" si="13"/>
        <v>0</v>
      </c>
      <c r="V96" s="296">
        <f t="shared" si="14"/>
        <v>0</v>
      </c>
      <c r="W96" s="296">
        <f t="shared" si="15"/>
        <v>0</v>
      </c>
      <c r="X96" s="296">
        <f t="shared" si="16"/>
        <v>0</v>
      </c>
    </row>
    <row r="97" spans="1:24" s="296" customFormat="1" ht="13.15">
      <c r="A97" s="298" t="str">
        <f>F_Inputs!A97</f>
        <v>SRN</v>
      </c>
      <c r="B97" s="298" t="str">
        <f>F_Inputs!B97</f>
        <v>CWW17_010TOT_PR24</v>
      </c>
      <c r="C97" s="298" t="str">
        <f>F_Inputs!C97</f>
        <v>EA/NRW environmental programme wastewater (WINEP/NEP) - MCERTs monitoring at emergency sewage pumping station overflows (WINEP/NEP) wastewater capex - Total</v>
      </c>
      <c r="D97" s="298" t="str">
        <f>F_Inputs!D97</f>
        <v>£m</v>
      </c>
      <c r="E97" s="298" t="str">
        <f>F_Inputs!E97</f>
        <v>Price Review 2024</v>
      </c>
      <c r="F97" s="301">
        <f>F_Inputs!F97</f>
        <v>0</v>
      </c>
      <c r="G97" s="301">
        <f>F_Inputs!G97</f>
        <v>0</v>
      </c>
      <c r="H97" s="301">
        <f>F_Inputs!H97</f>
        <v>0</v>
      </c>
      <c r="I97" s="301">
        <f>F_Inputs!I97</f>
        <v>0</v>
      </c>
      <c r="J97" s="301">
        <f>F_Inputs!J97</f>
        <v>0</v>
      </c>
      <c r="K97" s="301">
        <f>F_Inputs!K97</f>
        <v>0</v>
      </c>
      <c r="L97" s="301">
        <f>F_Inputs!L97</f>
        <v>0</v>
      </c>
      <c r="Q97" s="3" t="str">
        <f t="shared" si="9"/>
        <v>CWW17_</v>
      </c>
      <c r="R97" s="296">
        <f t="shared" si="10"/>
        <v>0</v>
      </c>
      <c r="S97" s="296">
        <f t="shared" si="11"/>
        <v>0</v>
      </c>
      <c r="T97" s="296">
        <f t="shared" si="12"/>
        <v>0</v>
      </c>
      <c r="U97" s="296">
        <f t="shared" si="13"/>
        <v>0</v>
      </c>
      <c r="V97" s="296">
        <f t="shared" si="14"/>
        <v>0</v>
      </c>
      <c r="W97" s="296">
        <f t="shared" si="15"/>
        <v>0</v>
      </c>
      <c r="X97" s="296">
        <f t="shared" si="16"/>
        <v>0</v>
      </c>
    </row>
    <row r="98" spans="1:24" s="296" customFormat="1" ht="13.15">
      <c r="A98" s="298" t="str">
        <f>F_Inputs!A98</f>
        <v>SRN</v>
      </c>
      <c r="B98" s="298" t="str">
        <f>F_Inputs!B98</f>
        <v>CWW17_011TOT_PR24</v>
      </c>
      <c r="C98" s="298" t="str">
        <f>F_Inputs!C98</f>
        <v>EA/NRW environmental programme wastewater (WINEP/NEP) - MCERTs monitoring at emergency sewage pumping station overflows (WINEP/NEP) wastewater opex - Total</v>
      </c>
      <c r="D98" s="298" t="str">
        <f>F_Inputs!D98</f>
        <v>£m</v>
      </c>
      <c r="E98" s="298" t="str">
        <f>F_Inputs!E98</f>
        <v>Price Review 2024</v>
      </c>
      <c r="F98" s="301">
        <f>F_Inputs!F98</f>
        <v>0</v>
      </c>
      <c r="G98" s="301">
        <f>F_Inputs!G98</f>
        <v>0</v>
      </c>
      <c r="H98" s="301">
        <f>F_Inputs!H98</f>
        <v>0</v>
      </c>
      <c r="I98" s="301">
        <f>F_Inputs!I98</f>
        <v>0</v>
      </c>
      <c r="J98" s="301">
        <f>F_Inputs!J98</f>
        <v>0</v>
      </c>
      <c r="K98" s="301">
        <f>F_Inputs!K98</f>
        <v>0</v>
      </c>
      <c r="L98" s="301">
        <f>F_Inputs!L98</f>
        <v>0</v>
      </c>
      <c r="Q98" s="3" t="str">
        <f t="shared" si="9"/>
        <v>CWW17_</v>
      </c>
      <c r="R98" s="296">
        <f t="shared" si="10"/>
        <v>0</v>
      </c>
      <c r="S98" s="296">
        <f t="shared" si="11"/>
        <v>0</v>
      </c>
      <c r="T98" s="296">
        <f t="shared" si="12"/>
        <v>0</v>
      </c>
      <c r="U98" s="296">
        <f t="shared" si="13"/>
        <v>0</v>
      </c>
      <c r="V98" s="296">
        <f t="shared" si="14"/>
        <v>0</v>
      </c>
      <c r="W98" s="296">
        <f t="shared" si="15"/>
        <v>0</v>
      </c>
      <c r="X98" s="296">
        <f t="shared" si="16"/>
        <v>0</v>
      </c>
    </row>
    <row r="99" spans="1:24" s="296" customFormat="1" ht="13.15">
      <c r="A99" s="298" t="str">
        <f>F_Inputs!A99</f>
        <v>SRN</v>
      </c>
      <c r="B99" s="298" t="str">
        <f>F_Inputs!B99</f>
        <v>CWW17_012TOT_PR24</v>
      </c>
      <c r="C99" s="298" t="str">
        <f>F_Inputs!C99</f>
        <v>EA/NRW environmental programme wastewater (WINEP/NEP) - MCERTs monitoring at emergency sewage pumping station overflows (WINEP/NEP) wastewater totex - Total</v>
      </c>
      <c r="D99" s="298" t="str">
        <f>F_Inputs!D99</f>
        <v>£m</v>
      </c>
      <c r="E99" s="298" t="str">
        <f>F_Inputs!E99</f>
        <v>Price Review 2024</v>
      </c>
      <c r="F99" s="301">
        <f>F_Inputs!F99</f>
        <v>0</v>
      </c>
      <c r="G99" s="301">
        <f>F_Inputs!G99</f>
        <v>0</v>
      </c>
      <c r="H99" s="301">
        <f>F_Inputs!H99</f>
        <v>0</v>
      </c>
      <c r="I99" s="301">
        <f>F_Inputs!I99</f>
        <v>0</v>
      </c>
      <c r="J99" s="301">
        <f>F_Inputs!J99</f>
        <v>0</v>
      </c>
      <c r="K99" s="301">
        <f>F_Inputs!K99</f>
        <v>0</v>
      </c>
      <c r="L99" s="301">
        <f>F_Inputs!L99</f>
        <v>0</v>
      </c>
      <c r="Q99" s="3" t="str">
        <f t="shared" si="9"/>
        <v>CWW17_</v>
      </c>
      <c r="R99" s="296">
        <f t="shared" si="10"/>
        <v>0</v>
      </c>
      <c r="S99" s="296">
        <f t="shared" si="11"/>
        <v>0</v>
      </c>
      <c r="T99" s="296">
        <f t="shared" si="12"/>
        <v>0</v>
      </c>
      <c r="U99" s="296">
        <f t="shared" si="13"/>
        <v>0</v>
      </c>
      <c r="V99" s="296">
        <f t="shared" si="14"/>
        <v>0</v>
      </c>
      <c r="W99" s="296">
        <f t="shared" si="15"/>
        <v>0</v>
      </c>
      <c r="X99" s="296">
        <f t="shared" si="16"/>
        <v>0</v>
      </c>
    </row>
    <row r="100" spans="1:24" s="296" customFormat="1" ht="13.15">
      <c r="A100" s="298" t="str">
        <f>F_Inputs!A100</f>
        <v>SRN</v>
      </c>
      <c r="B100" s="298" t="str">
        <f>F_Inputs!B100</f>
        <v>CWW20_050_PR24</v>
      </c>
      <c r="C100" s="298" t="str">
        <f>F_Inputs!C100</f>
        <v>Network / Storm overflow data - Number of new MCERTs event duration monitors installed at SPS emergency overflows</v>
      </c>
      <c r="D100" s="298" t="str">
        <f>F_Inputs!D100</f>
        <v>nr</v>
      </c>
      <c r="E100" s="298" t="str">
        <f>F_Inputs!E100</f>
        <v>Price Review 2024</v>
      </c>
      <c r="F100" s="301">
        <f>F_Inputs!F100</f>
        <v>0</v>
      </c>
      <c r="G100" s="301">
        <f>F_Inputs!G100</f>
        <v>0</v>
      </c>
      <c r="H100" s="301">
        <f>F_Inputs!H100</f>
        <v>0</v>
      </c>
      <c r="I100" s="301">
        <f>F_Inputs!I100</f>
        <v>10</v>
      </c>
      <c r="J100" s="301">
        <f>F_Inputs!J100</f>
        <v>10</v>
      </c>
      <c r="K100" s="301">
        <f>F_Inputs!K100</f>
        <v>10</v>
      </c>
      <c r="L100" s="301">
        <f>F_Inputs!L100</f>
        <v>0</v>
      </c>
      <c r="Q100" s="3" t="str">
        <f t="shared" si="9"/>
        <v>CWW20_</v>
      </c>
      <c r="R100" s="296">
        <f t="shared" si="10"/>
        <v>0</v>
      </c>
      <c r="S100" s="296">
        <f t="shared" si="11"/>
        <v>0</v>
      </c>
      <c r="T100" s="296">
        <f t="shared" si="12"/>
        <v>0</v>
      </c>
      <c r="U100" s="296">
        <f t="shared" si="13"/>
        <v>10</v>
      </c>
      <c r="V100" s="296">
        <f t="shared" si="14"/>
        <v>10</v>
      </c>
      <c r="W100" s="296">
        <f t="shared" si="15"/>
        <v>10</v>
      </c>
      <c r="X100" s="296">
        <f t="shared" si="16"/>
        <v>0</v>
      </c>
    </row>
    <row r="101" spans="1:24" s="296" customFormat="1" ht="13.15">
      <c r="A101" s="298" t="str">
        <f>F_Inputs!A101</f>
        <v>SRN</v>
      </c>
      <c r="B101" s="298" t="str">
        <f>F_Inputs!B101</f>
        <v>CWW20_051_PR24</v>
      </c>
      <c r="C101" s="298" t="str">
        <f>F_Inputs!C101</f>
        <v>Network / Storm overflow data - Number of new MCERTs flow monitors (PFF) installed at SPSs with combined emergency and storm overflows.</v>
      </c>
      <c r="D101" s="298" t="str">
        <f>F_Inputs!D101</f>
        <v>nr</v>
      </c>
      <c r="E101" s="298" t="str">
        <f>F_Inputs!E101</f>
        <v>Price Review 2024</v>
      </c>
      <c r="F101" s="301">
        <f>F_Inputs!F101</f>
        <v>0</v>
      </c>
      <c r="G101" s="301">
        <f>F_Inputs!G101</f>
        <v>0</v>
      </c>
      <c r="H101" s="301">
        <f>F_Inputs!H101</f>
        <v>0</v>
      </c>
      <c r="I101" s="301">
        <f>F_Inputs!I101</f>
        <v>20</v>
      </c>
      <c r="J101" s="301">
        <f>F_Inputs!J101</f>
        <v>30</v>
      </c>
      <c r="K101" s="301">
        <f>F_Inputs!K101</f>
        <v>30</v>
      </c>
      <c r="L101" s="301">
        <f>F_Inputs!L101</f>
        <v>18</v>
      </c>
      <c r="Q101" s="3" t="str">
        <f t="shared" si="9"/>
        <v>CWW20_</v>
      </c>
      <c r="R101" s="296">
        <f t="shared" si="10"/>
        <v>0</v>
      </c>
      <c r="S101" s="296">
        <f t="shared" si="11"/>
        <v>0</v>
      </c>
      <c r="T101" s="296">
        <f t="shared" si="12"/>
        <v>0</v>
      </c>
      <c r="U101" s="296">
        <f t="shared" si="13"/>
        <v>20</v>
      </c>
      <c r="V101" s="296">
        <f t="shared" si="14"/>
        <v>30</v>
      </c>
      <c r="W101" s="296">
        <f t="shared" si="15"/>
        <v>30</v>
      </c>
      <c r="X101" s="296">
        <f t="shared" si="16"/>
        <v>18</v>
      </c>
    </row>
    <row r="102" spans="1:24" s="296" customFormat="1" ht="13.15">
      <c r="A102" s="298" t="str">
        <f>F_Inputs!A102</f>
        <v>SRN</v>
      </c>
      <c r="B102" s="298" t="str">
        <f>F_Inputs!B102</f>
        <v>CWW20A_050_PR24</v>
      </c>
      <c r="C102" s="298" t="str">
        <f>F_Inputs!C102</f>
        <v>Network / Storm overflow data - Number of new MCERTs event duration monitors installed at SPS emergency overflows</v>
      </c>
      <c r="D102" s="298" t="str">
        <f>F_Inputs!D102</f>
        <v>nr</v>
      </c>
      <c r="E102" s="298" t="str">
        <f>F_Inputs!E102</f>
        <v>Price Review 2024</v>
      </c>
      <c r="F102" s="301" t="str">
        <f>F_Inputs!F102</f>
        <v/>
      </c>
      <c r="G102" s="301" t="str">
        <f>F_Inputs!G102</f>
        <v/>
      </c>
      <c r="H102" s="301" t="str">
        <f>F_Inputs!H102</f>
        <v/>
      </c>
      <c r="I102" s="301" t="str">
        <f>F_Inputs!I102</f>
        <v/>
      </c>
      <c r="J102" s="301" t="str">
        <f>F_Inputs!J102</f>
        <v/>
      </c>
      <c r="K102" s="301" t="str">
        <f>F_Inputs!K102</f>
        <v/>
      </c>
      <c r="L102" s="301" t="str">
        <f>F_Inputs!L102</f>
        <v/>
      </c>
      <c r="Q102" s="3" t="str">
        <f t="shared" si="9"/>
        <v>CWW20A</v>
      </c>
      <c r="R102" s="296" t="str">
        <f t="shared" si="10"/>
        <v/>
      </c>
      <c r="S102" s="296" t="str">
        <f t="shared" si="11"/>
        <v/>
      </c>
      <c r="T102" s="296">
        <f t="shared" si="12"/>
        <v>0</v>
      </c>
      <c r="U102" s="296">
        <f t="shared" si="13"/>
        <v>0</v>
      </c>
      <c r="V102" s="296">
        <f t="shared" si="14"/>
        <v>0</v>
      </c>
      <c r="W102" s="296">
        <f t="shared" si="15"/>
        <v>0</v>
      </c>
      <c r="X102" s="296">
        <f t="shared" si="16"/>
        <v>0</v>
      </c>
    </row>
    <row r="103" spans="1:24" s="296" customFormat="1" ht="13.15">
      <c r="A103" s="298" t="str">
        <f>F_Inputs!A103</f>
        <v>SRN</v>
      </c>
      <c r="B103" s="298" t="str">
        <f>F_Inputs!B103</f>
        <v>CWW20A_051_PR24</v>
      </c>
      <c r="C103" s="298" t="str">
        <f>F_Inputs!C103</f>
        <v>Network / Storm overflow data - Number of new MCERTs flow monitors (PFF) installed at SPSs with combined emergency and storm overflows.</v>
      </c>
      <c r="D103" s="298" t="str">
        <f>F_Inputs!D103</f>
        <v>nr</v>
      </c>
      <c r="E103" s="298" t="str">
        <f>F_Inputs!E103</f>
        <v>Price Review 2024</v>
      </c>
      <c r="F103" s="301" t="str">
        <f>F_Inputs!F103</f>
        <v/>
      </c>
      <c r="G103" s="301" t="str">
        <f>F_Inputs!G103</f>
        <v/>
      </c>
      <c r="H103" s="301" t="str">
        <f>F_Inputs!H103</f>
        <v/>
      </c>
      <c r="I103" s="301" t="str">
        <f>F_Inputs!I103</f>
        <v/>
      </c>
      <c r="J103" s="301" t="str">
        <f>F_Inputs!J103</f>
        <v/>
      </c>
      <c r="K103" s="301" t="str">
        <f>F_Inputs!K103</f>
        <v/>
      </c>
      <c r="L103" s="301" t="str">
        <f>F_Inputs!L103</f>
        <v/>
      </c>
      <c r="Q103" s="3" t="str">
        <f t="shared" si="9"/>
        <v>CWW20A</v>
      </c>
      <c r="R103" s="296" t="str">
        <f t="shared" si="10"/>
        <v/>
      </c>
      <c r="S103" s="296" t="str">
        <f t="shared" si="11"/>
        <v/>
      </c>
      <c r="T103" s="296">
        <f t="shared" si="12"/>
        <v>0</v>
      </c>
      <c r="U103" s="296">
        <f t="shared" si="13"/>
        <v>0</v>
      </c>
      <c r="V103" s="296">
        <f t="shared" si="14"/>
        <v>0</v>
      </c>
      <c r="W103" s="296">
        <f t="shared" si="15"/>
        <v>0</v>
      </c>
      <c r="X103" s="296">
        <f t="shared" si="16"/>
        <v>0</v>
      </c>
    </row>
    <row r="104" spans="1:24" s="296" customFormat="1" ht="13.15">
      <c r="A104" s="298" t="str">
        <f>F_Inputs!A104</f>
        <v>SRN</v>
      </c>
      <c r="B104" s="298" t="str">
        <f>F_Inputs!B104</f>
        <v>CWW1A_015TOT_PR24</v>
      </c>
      <c r="C104" s="298" t="str">
        <f>F_Inputs!C104</f>
        <v>Net totex - Total</v>
      </c>
      <c r="D104" s="298" t="str">
        <f>F_Inputs!D104</f>
        <v>£m</v>
      </c>
      <c r="E104" s="298" t="str">
        <f>F_Inputs!E104</f>
        <v>Price Review 2024</v>
      </c>
      <c r="F104" s="301">
        <f>F_Inputs!F104</f>
        <v>768.65200000000004</v>
      </c>
      <c r="G104" s="301">
        <f>F_Inputs!G104</f>
        <v>785.71600000000012</v>
      </c>
      <c r="H104" s="301">
        <f>F_Inputs!H104</f>
        <v>919.95056665257835</v>
      </c>
      <c r="I104" s="301">
        <f>F_Inputs!I104</f>
        <v>1259.3054253890721</v>
      </c>
      <c r="J104" s="301">
        <f>F_Inputs!J104</f>
        <v>1000.932312638522</v>
      </c>
      <c r="K104" s="301">
        <f>F_Inputs!K104</f>
        <v>1075.9677056653011</v>
      </c>
      <c r="L104" s="301">
        <f>F_Inputs!L104</f>
        <v>779.11368189552627</v>
      </c>
      <c r="Q104" s="3" t="str">
        <f t="shared" si="9"/>
        <v>CWW1A_</v>
      </c>
      <c r="R104" s="296">
        <f t="shared" si="10"/>
        <v>0</v>
      </c>
      <c r="S104" s="296">
        <f t="shared" si="11"/>
        <v>0</v>
      </c>
      <c r="T104" s="296">
        <f t="shared" si="12"/>
        <v>919.95056665257835</v>
      </c>
      <c r="U104" s="296">
        <f t="shared" si="13"/>
        <v>1259.3054253890721</v>
      </c>
      <c r="V104" s="296">
        <f t="shared" si="14"/>
        <v>1000.932312638522</v>
      </c>
      <c r="W104" s="296">
        <f t="shared" si="15"/>
        <v>1075.9677056653011</v>
      </c>
      <c r="X104" s="296">
        <f t="shared" si="16"/>
        <v>779.11368189552627</v>
      </c>
    </row>
    <row r="105" spans="1:24" s="296" customFormat="1" ht="13.15">
      <c r="A105" s="298" t="str">
        <f>F_Inputs!A105</f>
        <v>TMS</v>
      </c>
      <c r="B105" s="298" t="str">
        <f>F_Inputs!B105</f>
        <v>CWW3_010TOT_PR24</v>
      </c>
      <c r="C105" s="298" t="str">
        <f>F_Inputs!C105</f>
        <v>EA/NRW environmental programme wastewater (WINEP/NEP) - MCERTs monitoring at emergency sewage pumping station overflows (WINEP/NEP) wastewater capex - Total</v>
      </c>
      <c r="D105" s="298" t="str">
        <f>F_Inputs!D105</f>
        <v>£m</v>
      </c>
      <c r="E105" s="298" t="str">
        <f>F_Inputs!E105</f>
        <v>Price Review 2024</v>
      </c>
      <c r="F105" s="301">
        <f>F_Inputs!F105</f>
        <v>0</v>
      </c>
      <c r="G105" s="301">
        <f>F_Inputs!G105</f>
        <v>0</v>
      </c>
      <c r="H105" s="301">
        <f>F_Inputs!H105</f>
        <v>4.6950000000000003</v>
      </c>
      <c r="I105" s="301">
        <f>F_Inputs!I105</f>
        <v>4.7160000000000002</v>
      </c>
      <c r="J105" s="301">
        <f>F_Inputs!J105</f>
        <v>1.1839999999999999</v>
      </c>
      <c r="K105" s="301">
        <f>F_Inputs!K105</f>
        <v>0.59499999999999997</v>
      </c>
      <c r="L105" s="301">
        <f>F_Inputs!L105</f>
        <v>0.59799999999999998</v>
      </c>
      <c r="Q105" s="3" t="str">
        <f t="shared" si="9"/>
        <v>CWW3_0</v>
      </c>
      <c r="R105" s="296">
        <f t="shared" si="10"/>
        <v>0</v>
      </c>
      <c r="S105" s="296">
        <f t="shared" si="11"/>
        <v>0</v>
      </c>
      <c r="T105" s="296">
        <f t="shared" si="12"/>
        <v>4.6950000000000003</v>
      </c>
      <c r="U105" s="296">
        <f t="shared" si="13"/>
        <v>4.7160000000000002</v>
      </c>
      <c r="V105" s="296">
        <f t="shared" si="14"/>
        <v>1.1839999999999999</v>
      </c>
      <c r="W105" s="296">
        <f t="shared" si="15"/>
        <v>0.59499999999999997</v>
      </c>
      <c r="X105" s="296">
        <f t="shared" si="16"/>
        <v>0.59799999999999998</v>
      </c>
    </row>
    <row r="106" spans="1:24" s="296" customFormat="1" ht="13.15">
      <c r="A106" s="298" t="str">
        <f>F_Inputs!A106</f>
        <v>TMS</v>
      </c>
      <c r="B106" s="298" t="str">
        <f>F_Inputs!B106</f>
        <v>CWW3_011TOT_PR24</v>
      </c>
      <c r="C106" s="298" t="str">
        <f>F_Inputs!C106</f>
        <v>EA/NRW environmental programme wastewater (WINEP/NEP) - MCERTs monitoring at emergency sewage pumping station overflows (WINEP/NEP) wastewater opex - Total</v>
      </c>
      <c r="D106" s="298" t="str">
        <f>F_Inputs!D106</f>
        <v>£m</v>
      </c>
      <c r="E106" s="298" t="str">
        <f>F_Inputs!E106</f>
        <v>Price Review 2024</v>
      </c>
      <c r="F106" s="301">
        <f>F_Inputs!F106</f>
        <v>0</v>
      </c>
      <c r="G106" s="301">
        <f>F_Inputs!G106</f>
        <v>0</v>
      </c>
      <c r="H106" s="301">
        <f>F_Inputs!H106</f>
        <v>0</v>
      </c>
      <c r="I106" s="301">
        <f>F_Inputs!I106</f>
        <v>0</v>
      </c>
      <c r="J106" s="301">
        <f>F_Inputs!J106</f>
        <v>0</v>
      </c>
      <c r="K106" s="301">
        <f>F_Inputs!K106</f>
        <v>0</v>
      </c>
      <c r="L106" s="301">
        <f>F_Inputs!L106</f>
        <v>0</v>
      </c>
      <c r="Q106" s="3" t="str">
        <f t="shared" si="9"/>
        <v>CWW3_0</v>
      </c>
      <c r="R106" s="296">
        <f t="shared" si="10"/>
        <v>0</v>
      </c>
      <c r="S106" s="296">
        <f t="shared" si="11"/>
        <v>0</v>
      </c>
      <c r="T106" s="296">
        <f t="shared" si="12"/>
        <v>0</v>
      </c>
      <c r="U106" s="296">
        <f t="shared" si="13"/>
        <v>0</v>
      </c>
      <c r="V106" s="296">
        <f t="shared" si="14"/>
        <v>0</v>
      </c>
      <c r="W106" s="296">
        <f t="shared" si="15"/>
        <v>0</v>
      </c>
      <c r="X106" s="296">
        <f t="shared" si="16"/>
        <v>0</v>
      </c>
    </row>
    <row r="107" spans="1:24" s="296" customFormat="1" ht="13.15">
      <c r="A107" s="298" t="str">
        <f>F_Inputs!A107</f>
        <v>TMS</v>
      </c>
      <c r="B107" s="298" t="str">
        <f>F_Inputs!B107</f>
        <v>CWW3_012TOT_PR24</v>
      </c>
      <c r="C107" s="298" t="str">
        <f>F_Inputs!C107</f>
        <v>EA/NRW environmental programme wastewater (WINEP/NEP) - MCERTs monitoring at emergency sewage pumping station overflows (WINEP/NEP) wastewater totex - Total</v>
      </c>
      <c r="D107" s="298" t="str">
        <f>F_Inputs!D107</f>
        <v>£m</v>
      </c>
      <c r="E107" s="298" t="str">
        <f>F_Inputs!E107</f>
        <v>Price Review 2024</v>
      </c>
      <c r="F107" s="301">
        <f>F_Inputs!F107</f>
        <v>0</v>
      </c>
      <c r="G107" s="301">
        <f>F_Inputs!G107</f>
        <v>0</v>
      </c>
      <c r="H107" s="301">
        <f>F_Inputs!H107</f>
        <v>4.6950000000000003</v>
      </c>
      <c r="I107" s="301">
        <f>F_Inputs!I107</f>
        <v>4.7160000000000002</v>
      </c>
      <c r="J107" s="301">
        <f>F_Inputs!J107</f>
        <v>1.1839999999999999</v>
      </c>
      <c r="K107" s="301">
        <f>F_Inputs!K107</f>
        <v>0.59499999999999997</v>
      </c>
      <c r="L107" s="301">
        <f>F_Inputs!L107</f>
        <v>0.59799999999999998</v>
      </c>
      <c r="Q107" s="3" t="str">
        <f t="shared" si="9"/>
        <v>CWW3_0</v>
      </c>
      <c r="R107" s="296">
        <f t="shared" si="10"/>
        <v>0</v>
      </c>
      <c r="S107" s="296">
        <f t="shared" si="11"/>
        <v>0</v>
      </c>
      <c r="T107" s="296">
        <f t="shared" si="12"/>
        <v>4.6950000000000003</v>
      </c>
      <c r="U107" s="296">
        <f t="shared" si="13"/>
        <v>4.7160000000000002</v>
      </c>
      <c r="V107" s="296">
        <f t="shared" si="14"/>
        <v>1.1839999999999999</v>
      </c>
      <c r="W107" s="296">
        <f t="shared" si="15"/>
        <v>0.59499999999999997</v>
      </c>
      <c r="X107" s="296">
        <f t="shared" si="16"/>
        <v>0.59799999999999998</v>
      </c>
    </row>
    <row r="108" spans="1:24" s="296" customFormat="1" ht="13.15">
      <c r="A108" s="298" t="str">
        <f>F_Inputs!A108</f>
        <v>TMS</v>
      </c>
      <c r="B108" s="298" t="str">
        <f>F_Inputs!B108</f>
        <v>CWW12_010TOT_PR24</v>
      </c>
      <c r="C108" s="298" t="str">
        <f>F_Inputs!C108</f>
        <v>EA/NRW environmental programme wastewater (WINEP/NEP) - MCERTs monitoring at emergency sewage pumping station overflows (WINEP/NEP) wastewater capex - Total</v>
      </c>
      <c r="D108" s="298" t="str">
        <f>F_Inputs!D108</f>
        <v>£m</v>
      </c>
      <c r="E108" s="298" t="str">
        <f>F_Inputs!E108</f>
        <v>Price Review 2024</v>
      </c>
      <c r="F108" s="301">
        <f>F_Inputs!F108</f>
        <v>0</v>
      </c>
      <c r="G108" s="301">
        <f>F_Inputs!G108</f>
        <v>0</v>
      </c>
      <c r="H108" s="301" t="str">
        <f>F_Inputs!H108</f>
        <v/>
      </c>
      <c r="I108" s="301" t="str">
        <f>F_Inputs!I108</f>
        <v/>
      </c>
      <c r="J108" s="301" t="str">
        <f>F_Inputs!J108</f>
        <v/>
      </c>
      <c r="K108" s="301" t="str">
        <f>F_Inputs!K108</f>
        <v/>
      </c>
      <c r="L108" s="301" t="str">
        <f>F_Inputs!L108</f>
        <v/>
      </c>
      <c r="Q108" s="3" t="str">
        <f t="shared" si="9"/>
        <v>CWW12_</v>
      </c>
      <c r="R108" s="296">
        <f t="shared" si="10"/>
        <v>0</v>
      </c>
      <c r="S108" s="296">
        <f t="shared" si="11"/>
        <v>0</v>
      </c>
      <c r="T108" s="296">
        <f t="shared" si="12"/>
        <v>0</v>
      </c>
      <c r="U108" s="296">
        <f t="shared" si="13"/>
        <v>0</v>
      </c>
      <c r="V108" s="296">
        <f t="shared" si="14"/>
        <v>0</v>
      </c>
      <c r="W108" s="296">
        <f t="shared" si="15"/>
        <v>0</v>
      </c>
      <c r="X108" s="296">
        <f t="shared" si="16"/>
        <v>0</v>
      </c>
    </row>
    <row r="109" spans="1:24" s="296" customFormat="1" ht="13.15">
      <c r="A109" s="298" t="str">
        <f>F_Inputs!A109</f>
        <v>TMS</v>
      </c>
      <c r="B109" s="298" t="str">
        <f>F_Inputs!B109</f>
        <v>CWW12_011TOT_PR24</v>
      </c>
      <c r="C109" s="298" t="str">
        <f>F_Inputs!C109</f>
        <v>EA/NRW environmental programme wastewater (WINEP/NEP) - MCERTs monitoring at emergency sewage pumping station overflows (WINEP/NEP) wastewater opex - Total</v>
      </c>
      <c r="D109" s="298" t="str">
        <f>F_Inputs!D109</f>
        <v>£m</v>
      </c>
      <c r="E109" s="298" t="str">
        <f>F_Inputs!E109</f>
        <v>Price Review 2024</v>
      </c>
      <c r="F109" s="301">
        <f>F_Inputs!F109</f>
        <v>0</v>
      </c>
      <c r="G109" s="301">
        <f>F_Inputs!G109</f>
        <v>0</v>
      </c>
      <c r="H109" s="301" t="str">
        <f>F_Inputs!H109</f>
        <v/>
      </c>
      <c r="I109" s="301" t="str">
        <f>F_Inputs!I109</f>
        <v/>
      </c>
      <c r="J109" s="301" t="str">
        <f>F_Inputs!J109</f>
        <v/>
      </c>
      <c r="K109" s="301" t="str">
        <f>F_Inputs!K109</f>
        <v/>
      </c>
      <c r="L109" s="301" t="str">
        <f>F_Inputs!L109</f>
        <v/>
      </c>
      <c r="Q109" s="3" t="str">
        <f t="shared" si="9"/>
        <v>CWW12_</v>
      </c>
      <c r="R109" s="296">
        <f t="shared" si="10"/>
        <v>0</v>
      </c>
      <c r="S109" s="296">
        <f t="shared" si="11"/>
        <v>0</v>
      </c>
      <c r="T109" s="296">
        <f t="shared" si="12"/>
        <v>0</v>
      </c>
      <c r="U109" s="296">
        <f t="shared" si="13"/>
        <v>0</v>
      </c>
      <c r="V109" s="296">
        <f t="shared" si="14"/>
        <v>0</v>
      </c>
      <c r="W109" s="296">
        <f t="shared" si="15"/>
        <v>0</v>
      </c>
      <c r="X109" s="296">
        <f t="shared" si="16"/>
        <v>0</v>
      </c>
    </row>
    <row r="110" spans="1:24" s="296" customFormat="1" ht="13.15">
      <c r="A110" s="298" t="str">
        <f>F_Inputs!A110</f>
        <v>TMS</v>
      </c>
      <c r="B110" s="298" t="str">
        <f>F_Inputs!B110</f>
        <v>CWW12_012TOT_PR24</v>
      </c>
      <c r="C110" s="298" t="str">
        <f>F_Inputs!C110</f>
        <v>EA/NRW environmental programme wastewater (WINEP/NEP) - MCERTs monitoring at emergency sewage pumping station overflows (WINEP/NEP) wastewater totex - Total</v>
      </c>
      <c r="D110" s="298" t="str">
        <f>F_Inputs!D110</f>
        <v>£m</v>
      </c>
      <c r="E110" s="298" t="str">
        <f>F_Inputs!E110</f>
        <v>Price Review 2024</v>
      </c>
      <c r="F110" s="301">
        <f>F_Inputs!F110</f>
        <v>0</v>
      </c>
      <c r="G110" s="301">
        <f>F_Inputs!G110</f>
        <v>0</v>
      </c>
      <c r="H110" s="301" t="str">
        <f>F_Inputs!H110</f>
        <v/>
      </c>
      <c r="I110" s="301" t="str">
        <f>F_Inputs!I110</f>
        <v/>
      </c>
      <c r="J110" s="301" t="str">
        <f>F_Inputs!J110</f>
        <v/>
      </c>
      <c r="K110" s="301" t="str">
        <f>F_Inputs!K110</f>
        <v/>
      </c>
      <c r="L110" s="301" t="str">
        <f>F_Inputs!L110</f>
        <v/>
      </c>
      <c r="Q110" s="3" t="str">
        <f t="shared" si="9"/>
        <v>CWW12_</v>
      </c>
      <c r="R110" s="296">
        <f t="shared" si="10"/>
        <v>0</v>
      </c>
      <c r="S110" s="296">
        <f t="shared" si="11"/>
        <v>0</v>
      </c>
      <c r="T110" s="296">
        <f t="shared" si="12"/>
        <v>0</v>
      </c>
      <c r="U110" s="296">
        <f t="shared" si="13"/>
        <v>0</v>
      </c>
      <c r="V110" s="296">
        <f t="shared" si="14"/>
        <v>0</v>
      </c>
      <c r="W110" s="296">
        <f t="shared" si="15"/>
        <v>0</v>
      </c>
      <c r="X110" s="296">
        <f t="shared" si="16"/>
        <v>0</v>
      </c>
    </row>
    <row r="111" spans="1:24" s="296" customFormat="1" ht="13.15">
      <c r="A111" s="298" t="str">
        <f>F_Inputs!A111</f>
        <v>TMS</v>
      </c>
      <c r="B111" s="298" t="str">
        <f>F_Inputs!B111</f>
        <v>CWW17_010TOT_PR24</v>
      </c>
      <c r="C111" s="298" t="str">
        <f>F_Inputs!C111</f>
        <v>EA/NRW environmental programme wastewater (WINEP/NEP) - MCERTs monitoring at emergency sewage pumping station overflows (WINEP/NEP) wastewater capex - Total</v>
      </c>
      <c r="D111" s="298" t="str">
        <f>F_Inputs!D111</f>
        <v>£m</v>
      </c>
      <c r="E111" s="298" t="str">
        <f>F_Inputs!E111</f>
        <v>Price Review 2024</v>
      </c>
      <c r="F111" s="301">
        <f>F_Inputs!F111</f>
        <v>0</v>
      </c>
      <c r="G111" s="301">
        <f>F_Inputs!G111</f>
        <v>0</v>
      </c>
      <c r="H111" s="301">
        <f>F_Inputs!H111</f>
        <v>0</v>
      </c>
      <c r="I111" s="301">
        <f>F_Inputs!I111</f>
        <v>0</v>
      </c>
      <c r="J111" s="301">
        <f>F_Inputs!J111</f>
        <v>0</v>
      </c>
      <c r="K111" s="301">
        <f>F_Inputs!K111</f>
        <v>0</v>
      </c>
      <c r="L111" s="301">
        <f>F_Inputs!L111</f>
        <v>0</v>
      </c>
      <c r="Q111" s="3" t="str">
        <f t="shared" si="9"/>
        <v>CWW17_</v>
      </c>
      <c r="R111" s="296">
        <f t="shared" si="10"/>
        <v>0</v>
      </c>
      <c r="S111" s="296">
        <f t="shared" si="11"/>
        <v>0</v>
      </c>
      <c r="T111" s="296">
        <f t="shared" si="12"/>
        <v>0</v>
      </c>
      <c r="U111" s="296">
        <f t="shared" si="13"/>
        <v>0</v>
      </c>
      <c r="V111" s="296">
        <f t="shared" si="14"/>
        <v>0</v>
      </c>
      <c r="W111" s="296">
        <f t="shared" si="15"/>
        <v>0</v>
      </c>
      <c r="X111" s="296">
        <f t="shared" si="16"/>
        <v>0</v>
      </c>
    </row>
    <row r="112" spans="1:24" s="296" customFormat="1" ht="13.15">
      <c r="A112" s="298" t="str">
        <f>F_Inputs!A112</f>
        <v>TMS</v>
      </c>
      <c r="B112" s="298" t="str">
        <f>F_Inputs!B112</f>
        <v>CWW17_011TOT_PR24</v>
      </c>
      <c r="C112" s="298" t="str">
        <f>F_Inputs!C112</f>
        <v>EA/NRW environmental programme wastewater (WINEP/NEP) - MCERTs monitoring at emergency sewage pumping station overflows (WINEP/NEP) wastewater opex - Total</v>
      </c>
      <c r="D112" s="298" t="str">
        <f>F_Inputs!D112</f>
        <v>£m</v>
      </c>
      <c r="E112" s="298" t="str">
        <f>F_Inputs!E112</f>
        <v>Price Review 2024</v>
      </c>
      <c r="F112" s="301">
        <f>F_Inputs!F112</f>
        <v>0</v>
      </c>
      <c r="G112" s="301">
        <f>F_Inputs!G112</f>
        <v>0</v>
      </c>
      <c r="H112" s="301">
        <f>F_Inputs!H112</f>
        <v>0</v>
      </c>
      <c r="I112" s="301">
        <f>F_Inputs!I112</f>
        <v>0</v>
      </c>
      <c r="J112" s="301">
        <f>F_Inputs!J112</f>
        <v>0</v>
      </c>
      <c r="K112" s="301">
        <f>F_Inputs!K112</f>
        <v>0</v>
      </c>
      <c r="L112" s="301">
        <f>F_Inputs!L112</f>
        <v>0</v>
      </c>
      <c r="Q112" s="3" t="str">
        <f t="shared" si="9"/>
        <v>CWW17_</v>
      </c>
      <c r="R112" s="296">
        <f t="shared" si="10"/>
        <v>0</v>
      </c>
      <c r="S112" s="296">
        <f t="shared" si="11"/>
        <v>0</v>
      </c>
      <c r="T112" s="296">
        <f t="shared" si="12"/>
        <v>0</v>
      </c>
      <c r="U112" s="296">
        <f t="shared" si="13"/>
        <v>0</v>
      </c>
      <c r="V112" s="296">
        <f t="shared" si="14"/>
        <v>0</v>
      </c>
      <c r="W112" s="296">
        <f t="shared" si="15"/>
        <v>0</v>
      </c>
      <c r="X112" s="296">
        <f t="shared" si="16"/>
        <v>0</v>
      </c>
    </row>
    <row r="113" spans="1:24" s="296" customFormat="1" ht="13.15">
      <c r="A113" s="298" t="str">
        <f>F_Inputs!A113</f>
        <v>TMS</v>
      </c>
      <c r="B113" s="298" t="str">
        <f>F_Inputs!B113</f>
        <v>CWW17_012TOT_PR24</v>
      </c>
      <c r="C113" s="298" t="str">
        <f>F_Inputs!C113</f>
        <v>EA/NRW environmental programme wastewater (WINEP/NEP) - MCERTs monitoring at emergency sewage pumping station overflows (WINEP/NEP) wastewater totex - Total</v>
      </c>
      <c r="D113" s="298" t="str">
        <f>F_Inputs!D113</f>
        <v>£m</v>
      </c>
      <c r="E113" s="298" t="str">
        <f>F_Inputs!E113</f>
        <v>Price Review 2024</v>
      </c>
      <c r="F113" s="301">
        <f>F_Inputs!F113</f>
        <v>0</v>
      </c>
      <c r="G113" s="301">
        <f>F_Inputs!G113</f>
        <v>0</v>
      </c>
      <c r="H113" s="301">
        <f>F_Inputs!H113</f>
        <v>0</v>
      </c>
      <c r="I113" s="301">
        <f>F_Inputs!I113</f>
        <v>0</v>
      </c>
      <c r="J113" s="301">
        <f>F_Inputs!J113</f>
        <v>0</v>
      </c>
      <c r="K113" s="301">
        <f>F_Inputs!K113</f>
        <v>0</v>
      </c>
      <c r="L113" s="301">
        <f>F_Inputs!L113</f>
        <v>0</v>
      </c>
      <c r="Q113" s="3" t="str">
        <f t="shared" si="9"/>
        <v>CWW17_</v>
      </c>
      <c r="R113" s="296">
        <f t="shared" si="10"/>
        <v>0</v>
      </c>
      <c r="S113" s="296">
        <f t="shared" si="11"/>
        <v>0</v>
      </c>
      <c r="T113" s="296">
        <f t="shared" si="12"/>
        <v>0</v>
      </c>
      <c r="U113" s="296">
        <f t="shared" si="13"/>
        <v>0</v>
      </c>
      <c r="V113" s="296">
        <f t="shared" si="14"/>
        <v>0</v>
      </c>
      <c r="W113" s="296">
        <f t="shared" si="15"/>
        <v>0</v>
      </c>
      <c r="X113" s="296">
        <f t="shared" si="16"/>
        <v>0</v>
      </c>
    </row>
    <row r="114" spans="1:24" s="296" customFormat="1" ht="13.15">
      <c r="A114" s="298" t="str">
        <f>F_Inputs!A114</f>
        <v>TMS</v>
      </c>
      <c r="B114" s="298" t="str">
        <f>F_Inputs!B114</f>
        <v>CWW20_050_PR24</v>
      </c>
      <c r="C114" s="298" t="str">
        <f>F_Inputs!C114</f>
        <v>Network / Storm overflow data - Number of new MCERTs event duration monitors installed at SPS emergency overflows</v>
      </c>
      <c r="D114" s="298" t="str">
        <f>F_Inputs!D114</f>
        <v>nr</v>
      </c>
      <c r="E114" s="298" t="str">
        <f>F_Inputs!E114</f>
        <v>Price Review 2024</v>
      </c>
      <c r="F114" s="301">
        <f>F_Inputs!F114</f>
        <v>0</v>
      </c>
      <c r="G114" s="301">
        <f>F_Inputs!G114</f>
        <v>0</v>
      </c>
      <c r="H114" s="301">
        <f>F_Inputs!H114</f>
        <v>0</v>
      </c>
      <c r="I114" s="301">
        <f>F_Inputs!I114</f>
        <v>0</v>
      </c>
      <c r="J114" s="301">
        <f>F_Inputs!J114</f>
        <v>0</v>
      </c>
      <c r="K114" s="301">
        <f>F_Inputs!K114</f>
        <v>0</v>
      </c>
      <c r="L114" s="301">
        <f>F_Inputs!L114</f>
        <v>74</v>
      </c>
      <c r="Q114" s="3" t="str">
        <f t="shared" si="9"/>
        <v>CWW20_</v>
      </c>
      <c r="R114" s="296">
        <f t="shared" si="10"/>
        <v>0</v>
      </c>
      <c r="S114" s="296">
        <f t="shared" si="11"/>
        <v>0</v>
      </c>
      <c r="T114" s="296">
        <f t="shared" si="12"/>
        <v>0</v>
      </c>
      <c r="U114" s="296">
        <f t="shared" si="13"/>
        <v>0</v>
      </c>
      <c r="V114" s="296">
        <f t="shared" si="14"/>
        <v>0</v>
      </c>
      <c r="W114" s="296">
        <f t="shared" si="15"/>
        <v>0</v>
      </c>
      <c r="X114" s="296">
        <f t="shared" si="16"/>
        <v>74</v>
      </c>
    </row>
    <row r="115" spans="1:24" s="296" customFormat="1" ht="13.15">
      <c r="A115" s="298" t="str">
        <f>F_Inputs!A115</f>
        <v>TMS</v>
      </c>
      <c r="B115" s="298" t="str">
        <f>F_Inputs!B115</f>
        <v>CWW20_051_PR24</v>
      </c>
      <c r="C115" s="298" t="str">
        <f>F_Inputs!C115</f>
        <v>Network / Storm overflow data - Number of new MCERTs flow monitors (PFF) installed at SPSs with combined emergency and storm overflows.</v>
      </c>
      <c r="D115" s="298" t="str">
        <f>F_Inputs!D115</f>
        <v>nr</v>
      </c>
      <c r="E115" s="298" t="str">
        <f>F_Inputs!E115</f>
        <v>Price Review 2024</v>
      </c>
      <c r="F115" s="301">
        <f>F_Inputs!F115</f>
        <v>0</v>
      </c>
      <c r="G115" s="301">
        <f>F_Inputs!G115</f>
        <v>0</v>
      </c>
      <c r="H115" s="301">
        <f>F_Inputs!H115</f>
        <v>0</v>
      </c>
      <c r="I115" s="301">
        <f>F_Inputs!I115</f>
        <v>232</v>
      </c>
      <c r="J115" s="301">
        <f>F_Inputs!J115</f>
        <v>0</v>
      </c>
      <c r="K115" s="301">
        <f>F_Inputs!K115</f>
        <v>0</v>
      </c>
      <c r="L115" s="301">
        <f>F_Inputs!L115</f>
        <v>65</v>
      </c>
      <c r="Q115" s="3" t="str">
        <f t="shared" si="9"/>
        <v>CWW20_</v>
      </c>
      <c r="R115" s="296">
        <f t="shared" si="10"/>
        <v>0</v>
      </c>
      <c r="S115" s="296">
        <f t="shared" si="11"/>
        <v>0</v>
      </c>
      <c r="T115" s="296">
        <f t="shared" si="12"/>
        <v>0</v>
      </c>
      <c r="U115" s="296">
        <f t="shared" si="13"/>
        <v>232</v>
      </c>
      <c r="V115" s="296">
        <f t="shared" si="14"/>
        <v>0</v>
      </c>
      <c r="W115" s="296">
        <f t="shared" si="15"/>
        <v>0</v>
      </c>
      <c r="X115" s="296">
        <f t="shared" si="16"/>
        <v>65</v>
      </c>
    </row>
    <row r="116" spans="1:24" s="296" customFormat="1" ht="13.15">
      <c r="A116" s="298" t="str">
        <f>F_Inputs!A116</f>
        <v>TMS</v>
      </c>
      <c r="B116" s="298" t="str">
        <f>F_Inputs!B116</f>
        <v>CWW20A_050_PR24</v>
      </c>
      <c r="C116" s="298" t="str">
        <f>F_Inputs!C116</f>
        <v>Network / Storm overflow data - Number of new MCERTs event duration monitors installed at SPS emergency overflows</v>
      </c>
      <c r="D116" s="298" t="str">
        <f>F_Inputs!D116</f>
        <v>nr</v>
      </c>
      <c r="E116" s="298" t="str">
        <f>F_Inputs!E116</f>
        <v>Price Review 2024</v>
      </c>
      <c r="F116" s="301" t="str">
        <f>F_Inputs!F116</f>
        <v/>
      </c>
      <c r="G116" s="301" t="str">
        <f>F_Inputs!G116</f>
        <v/>
      </c>
      <c r="H116" s="301" t="str">
        <f>F_Inputs!H116</f>
        <v/>
      </c>
      <c r="I116" s="301" t="str">
        <f>F_Inputs!I116</f>
        <v/>
      </c>
      <c r="J116" s="301" t="str">
        <f>F_Inputs!J116</f>
        <v/>
      </c>
      <c r="K116" s="301" t="str">
        <f>F_Inputs!K116</f>
        <v/>
      </c>
      <c r="L116" s="301" t="str">
        <f>F_Inputs!L116</f>
        <v/>
      </c>
      <c r="Q116" s="3" t="str">
        <f t="shared" si="9"/>
        <v>CWW20A</v>
      </c>
      <c r="R116" s="296" t="str">
        <f t="shared" si="10"/>
        <v/>
      </c>
      <c r="S116" s="296" t="str">
        <f t="shared" si="11"/>
        <v/>
      </c>
      <c r="T116" s="296">
        <f t="shared" si="12"/>
        <v>0</v>
      </c>
      <c r="U116" s="296">
        <f t="shared" si="13"/>
        <v>0</v>
      </c>
      <c r="V116" s="296">
        <f t="shared" si="14"/>
        <v>0</v>
      </c>
      <c r="W116" s="296">
        <f t="shared" si="15"/>
        <v>0</v>
      </c>
      <c r="X116" s="296">
        <f t="shared" si="16"/>
        <v>0</v>
      </c>
    </row>
    <row r="117" spans="1:24" s="296" customFormat="1" ht="13.15">
      <c r="A117" s="298" t="str">
        <f>F_Inputs!A117</f>
        <v>TMS</v>
      </c>
      <c r="B117" s="298" t="str">
        <f>F_Inputs!B117</f>
        <v>CWW20A_051_PR24</v>
      </c>
      <c r="C117" s="298" t="str">
        <f>F_Inputs!C117</f>
        <v>Network / Storm overflow data - Number of new MCERTs flow monitors (PFF) installed at SPSs with combined emergency and storm overflows.</v>
      </c>
      <c r="D117" s="298" t="str">
        <f>F_Inputs!D117</f>
        <v>nr</v>
      </c>
      <c r="E117" s="298" t="str">
        <f>F_Inputs!E117</f>
        <v>Price Review 2024</v>
      </c>
      <c r="F117" s="301" t="str">
        <f>F_Inputs!F117</f>
        <v/>
      </c>
      <c r="G117" s="301" t="str">
        <f>F_Inputs!G117</f>
        <v/>
      </c>
      <c r="H117" s="301" t="str">
        <f>F_Inputs!H117</f>
        <v/>
      </c>
      <c r="I117" s="301" t="str">
        <f>F_Inputs!I117</f>
        <v/>
      </c>
      <c r="J117" s="301" t="str">
        <f>F_Inputs!J117</f>
        <v/>
      </c>
      <c r="K117" s="301" t="str">
        <f>F_Inputs!K117</f>
        <v/>
      </c>
      <c r="L117" s="301" t="str">
        <f>F_Inputs!L117</f>
        <v/>
      </c>
      <c r="Q117" s="3" t="str">
        <f t="shared" si="9"/>
        <v>CWW20A</v>
      </c>
      <c r="R117" s="296" t="str">
        <f t="shared" si="10"/>
        <v/>
      </c>
      <c r="S117" s="296" t="str">
        <f t="shared" si="11"/>
        <v/>
      </c>
      <c r="T117" s="296">
        <f t="shared" si="12"/>
        <v>0</v>
      </c>
      <c r="U117" s="296">
        <f t="shared" si="13"/>
        <v>0</v>
      </c>
      <c r="V117" s="296">
        <f t="shared" si="14"/>
        <v>0</v>
      </c>
      <c r="W117" s="296">
        <f t="shared" si="15"/>
        <v>0</v>
      </c>
      <c r="X117" s="296">
        <f t="shared" si="16"/>
        <v>0</v>
      </c>
    </row>
    <row r="118" spans="1:24" s="296" customFormat="1" ht="13.15">
      <c r="A118" s="298" t="str">
        <f>F_Inputs!A118</f>
        <v>TMS</v>
      </c>
      <c r="B118" s="298" t="str">
        <f>F_Inputs!B118</f>
        <v>CWW1A_015TOT_PR24</v>
      </c>
      <c r="C118" s="298" t="str">
        <f>F_Inputs!C118</f>
        <v>Net totex - Total</v>
      </c>
      <c r="D118" s="298" t="str">
        <f>F_Inputs!D118</f>
        <v>£m</v>
      </c>
      <c r="E118" s="298" t="str">
        <f>F_Inputs!E118</f>
        <v>Price Review 2024</v>
      </c>
      <c r="F118" s="301">
        <f>F_Inputs!F118</f>
        <v>1425.7782618595811</v>
      </c>
      <c r="G118" s="301">
        <f>F_Inputs!G118</f>
        <v>1440.7370000000001</v>
      </c>
      <c r="H118" s="301">
        <f>F_Inputs!H118</f>
        <v>2156.088348550431</v>
      </c>
      <c r="I118" s="301">
        <f>F_Inputs!I118</f>
        <v>2269.5018217217062</v>
      </c>
      <c r="J118" s="301">
        <f>F_Inputs!J118</f>
        <v>2162.2729400750991</v>
      </c>
      <c r="K118" s="301">
        <f>F_Inputs!K118</f>
        <v>2632.1222877084529</v>
      </c>
      <c r="L118" s="301">
        <f>F_Inputs!L118</f>
        <v>3555.488399766793</v>
      </c>
      <c r="Q118" s="3" t="str">
        <f t="shared" si="9"/>
        <v>CWW1A_</v>
      </c>
      <c r="R118" s="296">
        <f t="shared" si="10"/>
        <v>0</v>
      </c>
      <c r="S118" s="296">
        <f t="shared" si="11"/>
        <v>0</v>
      </c>
      <c r="T118" s="296">
        <f t="shared" si="12"/>
        <v>2156.088348550431</v>
      </c>
      <c r="U118" s="296">
        <f t="shared" si="13"/>
        <v>2269.5018217217062</v>
      </c>
      <c r="V118" s="296">
        <f t="shared" si="14"/>
        <v>2162.2729400750991</v>
      </c>
      <c r="W118" s="296">
        <f t="shared" si="15"/>
        <v>2632.1222877084529</v>
      </c>
      <c r="X118" s="296">
        <f t="shared" si="16"/>
        <v>3555.488399766793</v>
      </c>
    </row>
    <row r="119" spans="1:24" s="296" customFormat="1" ht="13.15">
      <c r="A119" s="298" t="str">
        <f>F_Inputs!A119</f>
        <v>NWT</v>
      </c>
      <c r="B119" s="298" t="str">
        <f>F_Inputs!B119</f>
        <v>CWW3_010TOT_PR24</v>
      </c>
      <c r="C119" s="298" t="str">
        <f>F_Inputs!C119</f>
        <v>EA/NRW environmental programme wastewater (WINEP/NEP) - MCERTs monitoring at emergency sewage pumping station overflows (WINEP/NEP) wastewater capex - Total</v>
      </c>
      <c r="D119" s="298" t="str">
        <f>F_Inputs!D119</f>
        <v>£m</v>
      </c>
      <c r="E119" s="298" t="str">
        <f>F_Inputs!E119</f>
        <v>Price Review 2024</v>
      </c>
      <c r="F119" s="301">
        <f>F_Inputs!F119</f>
        <v>0</v>
      </c>
      <c r="G119" s="301">
        <f>F_Inputs!G119</f>
        <v>0</v>
      </c>
      <c r="H119" s="301">
        <f>F_Inputs!H119</f>
        <v>1.6461148382606829</v>
      </c>
      <c r="I119" s="301">
        <f>F_Inputs!I119</f>
        <v>1.675691521730561</v>
      </c>
      <c r="J119" s="301">
        <f>F_Inputs!J119</f>
        <v>1.6539984130945491</v>
      </c>
      <c r="K119" s="301">
        <f>F_Inputs!K119</f>
        <v>8.6805518033848337</v>
      </c>
      <c r="L119" s="301">
        <f>F_Inputs!L119</f>
        <v>13.637641680326199</v>
      </c>
      <c r="Q119" s="3" t="str">
        <f t="shared" si="9"/>
        <v>CWW3_0</v>
      </c>
      <c r="R119" s="296">
        <f t="shared" si="10"/>
        <v>0</v>
      </c>
      <c r="S119" s="296">
        <f t="shared" si="11"/>
        <v>0</v>
      </c>
      <c r="T119" s="296">
        <f t="shared" si="12"/>
        <v>1.6461148382606829</v>
      </c>
      <c r="U119" s="296">
        <f t="shared" si="13"/>
        <v>1.675691521730561</v>
      </c>
      <c r="V119" s="296">
        <f t="shared" si="14"/>
        <v>1.6539984130945491</v>
      </c>
      <c r="W119" s="296">
        <f t="shared" si="15"/>
        <v>8.6805518033848337</v>
      </c>
      <c r="X119" s="296">
        <f t="shared" si="16"/>
        <v>13.637641680326199</v>
      </c>
    </row>
    <row r="120" spans="1:24" s="296" customFormat="1" ht="13.15">
      <c r="A120" s="298" t="str">
        <f>F_Inputs!A120</f>
        <v>NWT</v>
      </c>
      <c r="B120" s="298" t="str">
        <f>F_Inputs!B120</f>
        <v>CWW3_011TOT_PR24</v>
      </c>
      <c r="C120" s="298" t="str">
        <f>F_Inputs!C120</f>
        <v>EA/NRW environmental programme wastewater (WINEP/NEP) - MCERTs monitoring at emergency sewage pumping station overflows (WINEP/NEP) wastewater opex - Total</v>
      </c>
      <c r="D120" s="298" t="str">
        <f>F_Inputs!D120</f>
        <v>£m</v>
      </c>
      <c r="E120" s="298" t="str">
        <f>F_Inputs!E120</f>
        <v>Price Review 2024</v>
      </c>
      <c r="F120" s="301">
        <f>F_Inputs!F120</f>
        <v>0</v>
      </c>
      <c r="G120" s="301">
        <f>F_Inputs!G120</f>
        <v>0</v>
      </c>
      <c r="H120" s="301">
        <f>F_Inputs!H120</f>
        <v>0</v>
      </c>
      <c r="I120" s="301">
        <f>F_Inputs!I120</f>
        <v>0</v>
      </c>
      <c r="J120" s="301">
        <f>F_Inputs!J120</f>
        <v>0</v>
      </c>
      <c r="K120" s="301">
        <f>F_Inputs!K120</f>
        <v>0</v>
      </c>
      <c r="L120" s="301">
        <f>F_Inputs!L120</f>
        <v>0</v>
      </c>
      <c r="Q120" s="3" t="str">
        <f t="shared" si="9"/>
        <v>CWW3_0</v>
      </c>
      <c r="R120" s="296">
        <f t="shared" si="10"/>
        <v>0</v>
      </c>
      <c r="S120" s="296">
        <f t="shared" si="11"/>
        <v>0</v>
      </c>
      <c r="T120" s="296">
        <f t="shared" si="12"/>
        <v>0</v>
      </c>
      <c r="U120" s="296">
        <f t="shared" si="13"/>
        <v>0</v>
      </c>
      <c r="V120" s="296">
        <f t="shared" si="14"/>
        <v>0</v>
      </c>
      <c r="W120" s="296">
        <f t="shared" si="15"/>
        <v>0</v>
      </c>
      <c r="X120" s="296">
        <f t="shared" si="16"/>
        <v>0</v>
      </c>
    </row>
    <row r="121" spans="1:24" s="296" customFormat="1" ht="13.15">
      <c r="A121" s="298" t="str">
        <f>F_Inputs!A121</f>
        <v>NWT</v>
      </c>
      <c r="B121" s="298" t="str">
        <f>F_Inputs!B121</f>
        <v>CWW3_012TOT_PR24</v>
      </c>
      <c r="C121" s="298" t="str">
        <f>F_Inputs!C121</f>
        <v>EA/NRW environmental programme wastewater (WINEP/NEP) - MCERTs monitoring at emergency sewage pumping station overflows (WINEP/NEP) wastewater totex - Total</v>
      </c>
      <c r="D121" s="298" t="str">
        <f>F_Inputs!D121</f>
        <v>£m</v>
      </c>
      <c r="E121" s="298" t="str">
        <f>F_Inputs!E121</f>
        <v>Price Review 2024</v>
      </c>
      <c r="F121" s="301">
        <f>F_Inputs!F121</f>
        <v>0</v>
      </c>
      <c r="G121" s="301">
        <f>F_Inputs!G121</f>
        <v>0</v>
      </c>
      <c r="H121" s="301">
        <f>F_Inputs!H121</f>
        <v>1.6461148382606829</v>
      </c>
      <c r="I121" s="301">
        <f>F_Inputs!I121</f>
        <v>1.675691521730561</v>
      </c>
      <c r="J121" s="301">
        <f>F_Inputs!J121</f>
        <v>1.6539984130945491</v>
      </c>
      <c r="K121" s="301">
        <f>F_Inputs!K121</f>
        <v>8.6805518033848337</v>
      </c>
      <c r="L121" s="301">
        <f>F_Inputs!L121</f>
        <v>13.637641680326199</v>
      </c>
      <c r="Q121" s="3" t="str">
        <f t="shared" si="9"/>
        <v>CWW3_0</v>
      </c>
      <c r="R121" s="296">
        <f t="shared" si="10"/>
        <v>0</v>
      </c>
      <c r="S121" s="296">
        <f t="shared" si="11"/>
        <v>0</v>
      </c>
      <c r="T121" s="296">
        <f t="shared" si="12"/>
        <v>1.6461148382606829</v>
      </c>
      <c r="U121" s="296">
        <f t="shared" si="13"/>
        <v>1.675691521730561</v>
      </c>
      <c r="V121" s="296">
        <f t="shared" si="14"/>
        <v>1.6539984130945491</v>
      </c>
      <c r="W121" s="296">
        <f t="shared" si="15"/>
        <v>8.6805518033848337</v>
      </c>
      <c r="X121" s="296">
        <f t="shared" si="16"/>
        <v>13.637641680326199</v>
      </c>
    </row>
    <row r="122" spans="1:24" s="296" customFormat="1" ht="13.15">
      <c r="A122" s="298" t="str">
        <f>F_Inputs!A122</f>
        <v>NWT</v>
      </c>
      <c r="B122" s="298" t="str">
        <f>F_Inputs!B122</f>
        <v>CWW12_010TOT_PR24</v>
      </c>
      <c r="C122" s="298" t="str">
        <f>F_Inputs!C122</f>
        <v>EA/NRW environmental programme wastewater (WINEP/NEP) - MCERTs monitoring at emergency sewage pumping station overflows (WINEP/NEP) wastewater capex - Total</v>
      </c>
      <c r="D122" s="298" t="str">
        <f>F_Inputs!D122</f>
        <v>£m</v>
      </c>
      <c r="E122" s="298" t="str">
        <f>F_Inputs!E122</f>
        <v>Price Review 2024</v>
      </c>
      <c r="F122" s="301">
        <f>F_Inputs!F122</f>
        <v>0</v>
      </c>
      <c r="G122" s="301">
        <f>F_Inputs!G122</f>
        <v>0</v>
      </c>
      <c r="H122" s="301" t="str">
        <f>F_Inputs!H122</f>
        <v/>
      </c>
      <c r="I122" s="301" t="str">
        <f>F_Inputs!I122</f>
        <v/>
      </c>
      <c r="J122" s="301" t="str">
        <f>F_Inputs!J122</f>
        <v/>
      </c>
      <c r="K122" s="301" t="str">
        <f>F_Inputs!K122</f>
        <v/>
      </c>
      <c r="L122" s="301" t="str">
        <f>F_Inputs!L122</f>
        <v/>
      </c>
      <c r="Q122" s="3" t="str">
        <f t="shared" si="9"/>
        <v>CWW12_</v>
      </c>
      <c r="R122" s="296">
        <f t="shared" si="10"/>
        <v>0</v>
      </c>
      <c r="S122" s="296">
        <f t="shared" si="11"/>
        <v>0</v>
      </c>
      <c r="T122" s="296">
        <f t="shared" si="12"/>
        <v>0</v>
      </c>
      <c r="U122" s="296">
        <f t="shared" si="13"/>
        <v>0</v>
      </c>
      <c r="V122" s="296">
        <f t="shared" si="14"/>
        <v>0</v>
      </c>
      <c r="W122" s="296">
        <f t="shared" si="15"/>
        <v>0</v>
      </c>
      <c r="X122" s="296">
        <f t="shared" si="16"/>
        <v>0</v>
      </c>
    </row>
    <row r="123" spans="1:24" s="296" customFormat="1" ht="13.15">
      <c r="A123" s="298" t="str">
        <f>F_Inputs!A123</f>
        <v>NWT</v>
      </c>
      <c r="B123" s="298" t="str">
        <f>F_Inputs!B123</f>
        <v>CWW12_011TOT_PR24</v>
      </c>
      <c r="C123" s="298" t="str">
        <f>F_Inputs!C123</f>
        <v>EA/NRW environmental programme wastewater (WINEP/NEP) - MCERTs monitoring at emergency sewage pumping station overflows (WINEP/NEP) wastewater opex - Total</v>
      </c>
      <c r="D123" s="298" t="str">
        <f>F_Inputs!D123</f>
        <v>£m</v>
      </c>
      <c r="E123" s="298" t="str">
        <f>F_Inputs!E123</f>
        <v>Price Review 2024</v>
      </c>
      <c r="F123" s="301">
        <f>F_Inputs!F123</f>
        <v>0</v>
      </c>
      <c r="G123" s="301">
        <f>F_Inputs!G123</f>
        <v>0</v>
      </c>
      <c r="H123" s="301" t="str">
        <f>F_Inputs!H123</f>
        <v/>
      </c>
      <c r="I123" s="301" t="str">
        <f>F_Inputs!I123</f>
        <v/>
      </c>
      <c r="J123" s="301" t="str">
        <f>F_Inputs!J123</f>
        <v/>
      </c>
      <c r="K123" s="301" t="str">
        <f>F_Inputs!K123</f>
        <v/>
      </c>
      <c r="L123" s="301" t="str">
        <f>F_Inputs!L123</f>
        <v/>
      </c>
      <c r="Q123" s="3" t="str">
        <f t="shared" si="9"/>
        <v>CWW12_</v>
      </c>
      <c r="R123" s="296">
        <f t="shared" si="10"/>
        <v>0</v>
      </c>
      <c r="S123" s="296">
        <f t="shared" si="11"/>
        <v>0</v>
      </c>
      <c r="T123" s="296">
        <f t="shared" si="12"/>
        <v>0</v>
      </c>
      <c r="U123" s="296">
        <f t="shared" si="13"/>
        <v>0</v>
      </c>
      <c r="V123" s="296">
        <f t="shared" si="14"/>
        <v>0</v>
      </c>
      <c r="W123" s="296">
        <f t="shared" si="15"/>
        <v>0</v>
      </c>
      <c r="X123" s="296">
        <f t="shared" si="16"/>
        <v>0</v>
      </c>
    </row>
    <row r="124" spans="1:24" s="296" customFormat="1" ht="13.15">
      <c r="A124" s="298" t="str">
        <f>F_Inputs!A124</f>
        <v>NWT</v>
      </c>
      <c r="B124" s="298" t="str">
        <f>F_Inputs!B124</f>
        <v>CWW12_012TOT_PR24</v>
      </c>
      <c r="C124" s="298" t="str">
        <f>F_Inputs!C124</f>
        <v>EA/NRW environmental programme wastewater (WINEP/NEP) - MCERTs monitoring at emergency sewage pumping station overflows (WINEP/NEP) wastewater totex - Total</v>
      </c>
      <c r="D124" s="298" t="str">
        <f>F_Inputs!D124</f>
        <v>£m</v>
      </c>
      <c r="E124" s="298" t="str">
        <f>F_Inputs!E124</f>
        <v>Price Review 2024</v>
      </c>
      <c r="F124" s="301">
        <f>F_Inputs!F124</f>
        <v>0</v>
      </c>
      <c r="G124" s="301">
        <f>F_Inputs!G124</f>
        <v>0</v>
      </c>
      <c r="H124" s="301" t="str">
        <f>F_Inputs!H124</f>
        <v/>
      </c>
      <c r="I124" s="301" t="str">
        <f>F_Inputs!I124</f>
        <v/>
      </c>
      <c r="J124" s="301" t="str">
        <f>F_Inputs!J124</f>
        <v/>
      </c>
      <c r="K124" s="301" t="str">
        <f>F_Inputs!K124</f>
        <v/>
      </c>
      <c r="L124" s="301" t="str">
        <f>F_Inputs!L124</f>
        <v/>
      </c>
      <c r="Q124" s="3" t="str">
        <f t="shared" si="9"/>
        <v>CWW12_</v>
      </c>
      <c r="R124" s="296">
        <f t="shared" si="10"/>
        <v>0</v>
      </c>
      <c r="S124" s="296">
        <f t="shared" si="11"/>
        <v>0</v>
      </c>
      <c r="T124" s="296">
        <f t="shared" si="12"/>
        <v>0</v>
      </c>
      <c r="U124" s="296">
        <f t="shared" si="13"/>
        <v>0</v>
      </c>
      <c r="V124" s="296">
        <f t="shared" si="14"/>
        <v>0</v>
      </c>
      <c r="W124" s="296">
        <f t="shared" si="15"/>
        <v>0</v>
      </c>
      <c r="X124" s="296">
        <f t="shared" si="16"/>
        <v>0</v>
      </c>
    </row>
    <row r="125" spans="1:24" s="296" customFormat="1" ht="13.15">
      <c r="A125" s="298" t="str">
        <f>F_Inputs!A125</f>
        <v>NWT</v>
      </c>
      <c r="B125" s="298" t="str">
        <f>F_Inputs!B125</f>
        <v>CWW17_010TOT_PR24</v>
      </c>
      <c r="C125" s="298" t="str">
        <f>F_Inputs!C125</f>
        <v>EA/NRW environmental programme wastewater (WINEP/NEP) - MCERTs monitoring at emergency sewage pumping station overflows (WINEP/NEP) wastewater capex - Total</v>
      </c>
      <c r="D125" s="298" t="str">
        <f>F_Inputs!D125</f>
        <v>£m</v>
      </c>
      <c r="E125" s="298" t="str">
        <f>F_Inputs!E125</f>
        <v>Price Review 2024</v>
      </c>
      <c r="F125" s="301">
        <f>F_Inputs!F125</f>
        <v>0</v>
      </c>
      <c r="G125" s="301">
        <f>F_Inputs!G125</f>
        <v>0</v>
      </c>
      <c r="H125" s="301">
        <f>F_Inputs!H125</f>
        <v>0</v>
      </c>
      <c r="I125" s="301">
        <f>F_Inputs!I125</f>
        <v>0</v>
      </c>
      <c r="J125" s="301">
        <f>F_Inputs!J125</f>
        <v>0</v>
      </c>
      <c r="K125" s="301">
        <f>F_Inputs!K125</f>
        <v>0</v>
      </c>
      <c r="L125" s="301">
        <f>F_Inputs!L125</f>
        <v>0</v>
      </c>
      <c r="Q125" s="3" t="str">
        <f t="shared" si="9"/>
        <v>CWW17_</v>
      </c>
      <c r="R125" s="296">
        <f t="shared" si="10"/>
        <v>0</v>
      </c>
      <c r="S125" s="296">
        <f t="shared" si="11"/>
        <v>0</v>
      </c>
      <c r="T125" s="296">
        <f t="shared" si="12"/>
        <v>0</v>
      </c>
      <c r="U125" s="296">
        <f t="shared" si="13"/>
        <v>0</v>
      </c>
      <c r="V125" s="296">
        <f t="shared" si="14"/>
        <v>0</v>
      </c>
      <c r="W125" s="296">
        <f t="shared" si="15"/>
        <v>0</v>
      </c>
      <c r="X125" s="296">
        <f t="shared" si="16"/>
        <v>0</v>
      </c>
    </row>
    <row r="126" spans="1:24" s="296" customFormat="1" ht="13.15">
      <c r="A126" s="298" t="str">
        <f>F_Inputs!A126</f>
        <v>NWT</v>
      </c>
      <c r="B126" s="298" t="str">
        <f>F_Inputs!B126</f>
        <v>CWW17_011TOT_PR24</v>
      </c>
      <c r="C126" s="298" t="str">
        <f>F_Inputs!C126</f>
        <v>EA/NRW environmental programme wastewater (WINEP/NEP) - MCERTs monitoring at emergency sewage pumping station overflows (WINEP/NEP) wastewater opex - Total</v>
      </c>
      <c r="D126" s="298" t="str">
        <f>F_Inputs!D126</f>
        <v>£m</v>
      </c>
      <c r="E126" s="298" t="str">
        <f>F_Inputs!E126</f>
        <v>Price Review 2024</v>
      </c>
      <c r="F126" s="301">
        <f>F_Inputs!F126</f>
        <v>0</v>
      </c>
      <c r="G126" s="301">
        <f>F_Inputs!G126</f>
        <v>0</v>
      </c>
      <c r="H126" s="301">
        <f>F_Inputs!H126</f>
        <v>0</v>
      </c>
      <c r="I126" s="301">
        <f>F_Inputs!I126</f>
        <v>0</v>
      </c>
      <c r="J126" s="301">
        <f>F_Inputs!J126</f>
        <v>0</v>
      </c>
      <c r="K126" s="301">
        <f>F_Inputs!K126</f>
        <v>0</v>
      </c>
      <c r="L126" s="301">
        <f>F_Inputs!L126</f>
        <v>0</v>
      </c>
      <c r="Q126" s="3" t="str">
        <f t="shared" si="9"/>
        <v>CWW17_</v>
      </c>
      <c r="R126" s="296">
        <f t="shared" si="10"/>
        <v>0</v>
      </c>
      <c r="S126" s="296">
        <f t="shared" si="11"/>
        <v>0</v>
      </c>
      <c r="T126" s="296">
        <f t="shared" si="12"/>
        <v>0</v>
      </c>
      <c r="U126" s="296">
        <f t="shared" si="13"/>
        <v>0</v>
      </c>
      <c r="V126" s="296">
        <f t="shared" si="14"/>
        <v>0</v>
      </c>
      <c r="W126" s="296">
        <f t="shared" si="15"/>
        <v>0</v>
      </c>
      <c r="X126" s="296">
        <f t="shared" si="16"/>
        <v>0</v>
      </c>
    </row>
    <row r="127" spans="1:24" s="296" customFormat="1" ht="13.15">
      <c r="A127" s="298" t="str">
        <f>F_Inputs!A127</f>
        <v>NWT</v>
      </c>
      <c r="B127" s="298" t="str">
        <f>F_Inputs!B127</f>
        <v>CWW17_012TOT_PR24</v>
      </c>
      <c r="C127" s="298" t="str">
        <f>F_Inputs!C127</f>
        <v>EA/NRW environmental programme wastewater (WINEP/NEP) - MCERTs monitoring at emergency sewage pumping station overflows (WINEP/NEP) wastewater totex - Total</v>
      </c>
      <c r="D127" s="298" t="str">
        <f>F_Inputs!D127</f>
        <v>£m</v>
      </c>
      <c r="E127" s="298" t="str">
        <f>F_Inputs!E127</f>
        <v>Price Review 2024</v>
      </c>
      <c r="F127" s="301">
        <f>F_Inputs!F127</f>
        <v>0</v>
      </c>
      <c r="G127" s="301">
        <f>F_Inputs!G127</f>
        <v>0</v>
      </c>
      <c r="H127" s="301">
        <f>F_Inputs!H127</f>
        <v>0</v>
      </c>
      <c r="I127" s="301">
        <f>F_Inputs!I127</f>
        <v>0</v>
      </c>
      <c r="J127" s="301">
        <f>F_Inputs!J127</f>
        <v>0</v>
      </c>
      <c r="K127" s="301">
        <f>F_Inputs!K127</f>
        <v>0</v>
      </c>
      <c r="L127" s="301">
        <f>F_Inputs!L127</f>
        <v>0</v>
      </c>
      <c r="Q127" s="3" t="str">
        <f t="shared" si="9"/>
        <v>CWW17_</v>
      </c>
      <c r="R127" s="296">
        <f t="shared" si="10"/>
        <v>0</v>
      </c>
      <c r="S127" s="296">
        <f t="shared" si="11"/>
        <v>0</v>
      </c>
      <c r="T127" s="296">
        <f t="shared" si="12"/>
        <v>0</v>
      </c>
      <c r="U127" s="296">
        <f t="shared" si="13"/>
        <v>0</v>
      </c>
      <c r="V127" s="296">
        <f t="shared" si="14"/>
        <v>0</v>
      </c>
      <c r="W127" s="296">
        <f t="shared" si="15"/>
        <v>0</v>
      </c>
      <c r="X127" s="296">
        <f t="shared" si="16"/>
        <v>0</v>
      </c>
    </row>
    <row r="128" spans="1:24" s="296" customFormat="1" ht="13.15">
      <c r="A128" s="298" t="str">
        <f>F_Inputs!A128</f>
        <v>NWT</v>
      </c>
      <c r="B128" s="298" t="str">
        <f>F_Inputs!B128</f>
        <v>CWW20_050_PR24</v>
      </c>
      <c r="C128" s="298" t="str">
        <f>F_Inputs!C128</f>
        <v>Network / Storm overflow data - Number of new MCERTs event duration monitors installed at SPS emergency overflows</v>
      </c>
      <c r="D128" s="298" t="str">
        <f>F_Inputs!D128</f>
        <v>nr</v>
      </c>
      <c r="E128" s="298" t="str">
        <f>F_Inputs!E128</f>
        <v>Price Review 2024</v>
      </c>
      <c r="F128" s="301">
        <f>F_Inputs!F128</f>
        <v>0</v>
      </c>
      <c r="G128" s="301">
        <f>F_Inputs!G128</f>
        <v>0</v>
      </c>
      <c r="H128" s="301">
        <f>F_Inputs!H128</f>
        <v>0</v>
      </c>
      <c r="I128" s="301">
        <f>F_Inputs!I128</f>
        <v>0</v>
      </c>
      <c r="J128" s="301">
        <f>F_Inputs!J128</f>
        <v>0</v>
      </c>
      <c r="K128" s="301">
        <f>F_Inputs!K128</f>
        <v>0</v>
      </c>
      <c r="L128" s="301">
        <f>F_Inputs!L128</f>
        <v>237</v>
      </c>
      <c r="Q128" s="3" t="str">
        <f t="shared" si="9"/>
        <v>CWW20_</v>
      </c>
      <c r="R128" s="296">
        <f t="shared" si="10"/>
        <v>0</v>
      </c>
      <c r="S128" s="296">
        <f t="shared" si="11"/>
        <v>0</v>
      </c>
      <c r="T128" s="296">
        <f t="shared" si="12"/>
        <v>0</v>
      </c>
      <c r="U128" s="296">
        <f t="shared" si="13"/>
        <v>0</v>
      </c>
      <c r="V128" s="296">
        <f t="shared" si="14"/>
        <v>0</v>
      </c>
      <c r="W128" s="296">
        <f t="shared" si="15"/>
        <v>0</v>
      </c>
      <c r="X128" s="296">
        <f t="shared" si="16"/>
        <v>237</v>
      </c>
    </row>
    <row r="129" spans="1:24" s="296" customFormat="1" ht="13.15">
      <c r="A129" s="298" t="str">
        <f>F_Inputs!A129</f>
        <v>NWT</v>
      </c>
      <c r="B129" s="298" t="str">
        <f>F_Inputs!B129</f>
        <v>CWW20_051_PR24</v>
      </c>
      <c r="C129" s="298" t="str">
        <f>F_Inputs!C129</f>
        <v>Network / Storm overflow data - Number of new MCERTs flow monitors (PFF) installed at SPSs with combined emergency and storm overflows.</v>
      </c>
      <c r="D129" s="298" t="str">
        <f>F_Inputs!D129</f>
        <v>nr</v>
      </c>
      <c r="E129" s="298" t="str">
        <f>F_Inputs!E129</f>
        <v>Price Review 2024</v>
      </c>
      <c r="F129" s="301">
        <f>F_Inputs!F129</f>
        <v>0</v>
      </c>
      <c r="G129" s="301">
        <f>F_Inputs!G129</f>
        <v>0</v>
      </c>
      <c r="H129" s="301">
        <f>F_Inputs!H129</f>
        <v>0</v>
      </c>
      <c r="I129" s="301">
        <f>F_Inputs!I129</f>
        <v>0</v>
      </c>
      <c r="J129" s="301">
        <f>F_Inputs!J129</f>
        <v>0</v>
      </c>
      <c r="K129" s="301">
        <f>F_Inputs!K129</f>
        <v>0</v>
      </c>
      <c r="L129" s="301">
        <f>F_Inputs!L129</f>
        <v>90</v>
      </c>
      <c r="Q129" s="3" t="str">
        <f t="shared" si="9"/>
        <v>CWW20_</v>
      </c>
      <c r="R129" s="296">
        <f t="shared" si="10"/>
        <v>0</v>
      </c>
      <c r="S129" s="296">
        <f t="shared" si="11"/>
        <v>0</v>
      </c>
      <c r="T129" s="296">
        <f t="shared" si="12"/>
        <v>0</v>
      </c>
      <c r="U129" s="296">
        <f t="shared" si="13"/>
        <v>0</v>
      </c>
      <c r="V129" s="296">
        <f t="shared" si="14"/>
        <v>0</v>
      </c>
      <c r="W129" s="296">
        <f t="shared" si="15"/>
        <v>0</v>
      </c>
      <c r="X129" s="296">
        <f t="shared" si="16"/>
        <v>90</v>
      </c>
    </row>
    <row r="130" spans="1:24" s="296" customFormat="1" ht="13.15">
      <c r="A130" s="298" t="str">
        <f>F_Inputs!A130</f>
        <v>NWT</v>
      </c>
      <c r="B130" s="298" t="str">
        <f>F_Inputs!B130</f>
        <v>CWW20A_050_PR24</v>
      </c>
      <c r="C130" s="298" t="str">
        <f>F_Inputs!C130</f>
        <v>Network / Storm overflow data - Number of new MCERTs event duration monitors installed at SPS emergency overflows</v>
      </c>
      <c r="D130" s="298" t="str">
        <f>F_Inputs!D130</f>
        <v>nr</v>
      </c>
      <c r="E130" s="298" t="str">
        <f>F_Inputs!E130</f>
        <v>Price Review 2024</v>
      </c>
      <c r="F130" s="301">
        <f>F_Inputs!F130</f>
        <v>0</v>
      </c>
      <c r="G130" s="301">
        <f>F_Inputs!G130</f>
        <v>0</v>
      </c>
      <c r="H130" s="301" t="str">
        <f>F_Inputs!H130</f>
        <v/>
      </c>
      <c r="I130" s="301" t="str">
        <f>F_Inputs!I130</f>
        <v/>
      </c>
      <c r="J130" s="301" t="str">
        <f>F_Inputs!J130</f>
        <v/>
      </c>
      <c r="K130" s="301" t="str">
        <f>F_Inputs!K130</f>
        <v/>
      </c>
      <c r="L130" s="301" t="str">
        <f>F_Inputs!L130</f>
        <v/>
      </c>
      <c r="Q130" s="3" t="str">
        <f t="shared" si="9"/>
        <v>CWW20A</v>
      </c>
      <c r="R130" s="296">
        <f t="shared" si="10"/>
        <v>0</v>
      </c>
      <c r="S130" s="296">
        <f t="shared" si="11"/>
        <v>0</v>
      </c>
      <c r="T130" s="296">
        <f t="shared" si="12"/>
        <v>0</v>
      </c>
      <c r="U130" s="296">
        <f t="shared" si="13"/>
        <v>0</v>
      </c>
      <c r="V130" s="296">
        <f t="shared" si="14"/>
        <v>0</v>
      </c>
      <c r="W130" s="296">
        <f t="shared" si="15"/>
        <v>0</v>
      </c>
      <c r="X130" s="296">
        <f t="shared" si="16"/>
        <v>0</v>
      </c>
    </row>
    <row r="131" spans="1:24" s="296" customFormat="1" ht="13.15">
      <c r="A131" s="298" t="str">
        <f>F_Inputs!A131</f>
        <v>NWT</v>
      </c>
      <c r="B131" s="298" t="str">
        <f>F_Inputs!B131</f>
        <v>CWW20A_051_PR24</v>
      </c>
      <c r="C131" s="298" t="str">
        <f>F_Inputs!C131</f>
        <v>Network / Storm overflow data - Number of new MCERTs flow monitors (PFF) installed at SPSs with combined emergency and storm overflows.</v>
      </c>
      <c r="D131" s="298" t="str">
        <f>F_Inputs!D131</f>
        <v>nr</v>
      </c>
      <c r="E131" s="298" t="str">
        <f>F_Inputs!E131</f>
        <v>Price Review 2024</v>
      </c>
      <c r="F131" s="301">
        <f>F_Inputs!F131</f>
        <v>0</v>
      </c>
      <c r="G131" s="301">
        <f>F_Inputs!G131</f>
        <v>0</v>
      </c>
      <c r="H131" s="301" t="str">
        <f>F_Inputs!H131</f>
        <v/>
      </c>
      <c r="I131" s="301" t="str">
        <f>F_Inputs!I131</f>
        <v/>
      </c>
      <c r="J131" s="301" t="str">
        <f>F_Inputs!J131</f>
        <v/>
      </c>
      <c r="K131" s="301" t="str">
        <f>F_Inputs!K131</f>
        <v/>
      </c>
      <c r="L131" s="301" t="str">
        <f>F_Inputs!L131</f>
        <v/>
      </c>
      <c r="Q131" s="3" t="str">
        <f t="shared" si="9"/>
        <v>CWW20A</v>
      </c>
      <c r="R131" s="296">
        <f t="shared" si="10"/>
        <v>0</v>
      </c>
      <c r="S131" s="296">
        <f t="shared" si="11"/>
        <v>0</v>
      </c>
      <c r="T131" s="296">
        <f t="shared" si="12"/>
        <v>0</v>
      </c>
      <c r="U131" s="296">
        <f t="shared" si="13"/>
        <v>0</v>
      </c>
      <c r="V131" s="296">
        <f t="shared" si="14"/>
        <v>0</v>
      </c>
      <c r="W131" s="296">
        <f t="shared" si="15"/>
        <v>0</v>
      </c>
      <c r="X131" s="296">
        <f t="shared" si="16"/>
        <v>0</v>
      </c>
    </row>
    <row r="132" spans="1:24" s="296" customFormat="1" ht="13.15">
      <c r="A132" s="298" t="str">
        <f>F_Inputs!A132</f>
        <v>NWT</v>
      </c>
      <c r="B132" s="298" t="str">
        <f>F_Inputs!B132</f>
        <v>CWW1A_015TOT_PR24</v>
      </c>
      <c r="C132" s="298" t="str">
        <f>F_Inputs!C132</f>
        <v>Net totex - Total</v>
      </c>
      <c r="D132" s="298" t="str">
        <f>F_Inputs!D132</f>
        <v>£m</v>
      </c>
      <c r="E132" s="298" t="str">
        <f>F_Inputs!E132</f>
        <v>Price Review 2024</v>
      </c>
      <c r="F132" s="301">
        <f>F_Inputs!F132</f>
        <v>887.4940110413653</v>
      </c>
      <c r="G132" s="301">
        <f>F_Inputs!G132</f>
        <v>1120.5426626367141</v>
      </c>
      <c r="H132" s="301">
        <f>F_Inputs!H132</f>
        <v>1569.795902040561</v>
      </c>
      <c r="I132" s="301">
        <f>F_Inputs!I132</f>
        <v>1881.302270640045</v>
      </c>
      <c r="J132" s="301">
        <f>F_Inputs!J132</f>
        <v>2189.086577264356</v>
      </c>
      <c r="K132" s="301">
        <f>F_Inputs!K132</f>
        <v>1888.0217791000509</v>
      </c>
      <c r="L132" s="301">
        <f>F_Inputs!L132</f>
        <v>1139.8668159399281</v>
      </c>
      <c r="Q132" s="3" t="str">
        <f t="shared" si="9"/>
        <v>CWW1A_</v>
      </c>
      <c r="R132" s="296">
        <f t="shared" si="10"/>
        <v>0</v>
      </c>
      <c r="S132" s="296">
        <f t="shared" si="11"/>
        <v>0</v>
      </c>
      <c r="T132" s="296">
        <f t="shared" si="12"/>
        <v>1569.795902040561</v>
      </c>
      <c r="U132" s="296">
        <f t="shared" si="13"/>
        <v>1881.302270640045</v>
      </c>
      <c r="V132" s="296">
        <f t="shared" si="14"/>
        <v>2189.086577264356</v>
      </c>
      <c r="W132" s="296">
        <f t="shared" si="15"/>
        <v>1888.0217791000509</v>
      </c>
      <c r="X132" s="296">
        <f t="shared" si="16"/>
        <v>1139.8668159399281</v>
      </c>
    </row>
    <row r="133" spans="1:24" s="296" customFormat="1" ht="13.15">
      <c r="A133" s="298" t="str">
        <f>F_Inputs!A133</f>
        <v>WSX</v>
      </c>
      <c r="B133" s="298" t="str">
        <f>F_Inputs!B133</f>
        <v>CWW3_010TOT_PR24</v>
      </c>
      <c r="C133" s="298" t="str">
        <f>F_Inputs!C133</f>
        <v>EA/NRW environmental programme wastewater (WINEP/NEP) - MCERTs monitoring at emergency sewage pumping station overflows (WINEP/NEP) wastewater capex - Total</v>
      </c>
      <c r="D133" s="298" t="str">
        <f>F_Inputs!D133</f>
        <v>£m</v>
      </c>
      <c r="E133" s="298" t="str">
        <f>F_Inputs!E133</f>
        <v>Price Review 2024</v>
      </c>
      <c r="F133" s="301">
        <f>F_Inputs!F133</f>
        <v>0</v>
      </c>
      <c r="G133" s="301">
        <f>F_Inputs!G133</f>
        <v>0</v>
      </c>
      <c r="H133" s="301">
        <f>F_Inputs!H133</f>
        <v>1.788362</v>
      </c>
      <c r="I133" s="301">
        <f>F_Inputs!I133</f>
        <v>1.7973030000000001</v>
      </c>
      <c r="J133" s="301">
        <f>F_Inputs!J133</f>
        <v>2.2578619999999998</v>
      </c>
      <c r="K133" s="301">
        <f>F_Inputs!K133</f>
        <v>2.2691520000000001</v>
      </c>
      <c r="L133" s="301">
        <f>F_Inputs!L133</f>
        <v>2.335229</v>
      </c>
      <c r="Q133" s="3" t="str">
        <f t="shared" si="9"/>
        <v>CWW3_0</v>
      </c>
      <c r="R133" s="296">
        <f t="shared" si="10"/>
        <v>0</v>
      </c>
      <c r="S133" s="296">
        <f t="shared" si="11"/>
        <v>0</v>
      </c>
      <c r="T133" s="296">
        <f t="shared" si="12"/>
        <v>1.788362</v>
      </c>
      <c r="U133" s="296">
        <f t="shared" si="13"/>
        <v>1.7973030000000001</v>
      </c>
      <c r="V133" s="296">
        <f t="shared" si="14"/>
        <v>2.2578619999999998</v>
      </c>
      <c r="W133" s="296">
        <f t="shared" si="15"/>
        <v>2.2691520000000001</v>
      </c>
      <c r="X133" s="296">
        <f t="shared" si="16"/>
        <v>2.335229</v>
      </c>
    </row>
    <row r="134" spans="1:24" s="296" customFormat="1" ht="13.15">
      <c r="A134" s="298" t="str">
        <f>F_Inputs!A134</f>
        <v>WSX</v>
      </c>
      <c r="B134" s="298" t="str">
        <f>F_Inputs!B134</f>
        <v>CWW3_011TOT_PR24</v>
      </c>
      <c r="C134" s="298" t="str">
        <f>F_Inputs!C134</f>
        <v>EA/NRW environmental programme wastewater (WINEP/NEP) - MCERTs monitoring at emergency sewage pumping station overflows (WINEP/NEP) wastewater opex - Total</v>
      </c>
      <c r="D134" s="298" t="str">
        <f>F_Inputs!D134</f>
        <v>£m</v>
      </c>
      <c r="E134" s="298" t="str">
        <f>F_Inputs!E134</f>
        <v>Price Review 2024</v>
      </c>
      <c r="F134" s="301">
        <f>F_Inputs!F134</f>
        <v>0</v>
      </c>
      <c r="G134" s="301">
        <f>F_Inputs!G134</f>
        <v>0</v>
      </c>
      <c r="H134" s="301">
        <f>F_Inputs!H134</f>
        <v>0</v>
      </c>
      <c r="I134" s="301">
        <f>F_Inputs!I134</f>
        <v>6.1209000000000013E-2</v>
      </c>
      <c r="J134" s="301">
        <f>F_Inputs!J134</f>
        <v>8.4915000000000004E-2</v>
      </c>
      <c r="K134" s="301">
        <f>F_Inputs!K134</f>
        <v>8.5338999999999998E-2</v>
      </c>
      <c r="L134" s="301">
        <f>F_Inputs!L134</f>
        <v>6.661700000000001E-2</v>
      </c>
      <c r="Q134" s="3" t="str">
        <f t="shared" si="9"/>
        <v>CWW3_0</v>
      </c>
      <c r="R134" s="296">
        <f t="shared" si="10"/>
        <v>0</v>
      </c>
      <c r="S134" s="296">
        <f t="shared" si="11"/>
        <v>0</v>
      </c>
      <c r="T134" s="296">
        <f t="shared" si="12"/>
        <v>0</v>
      </c>
      <c r="U134" s="296">
        <f t="shared" si="13"/>
        <v>6.1209000000000013E-2</v>
      </c>
      <c r="V134" s="296">
        <f t="shared" si="14"/>
        <v>8.4915000000000004E-2</v>
      </c>
      <c r="W134" s="296">
        <f t="shared" si="15"/>
        <v>8.5338999999999998E-2</v>
      </c>
      <c r="X134" s="296">
        <f t="shared" si="16"/>
        <v>6.661700000000001E-2</v>
      </c>
    </row>
    <row r="135" spans="1:24" s="296" customFormat="1" ht="13.15">
      <c r="A135" s="298" t="str">
        <f>F_Inputs!A135</f>
        <v>WSX</v>
      </c>
      <c r="B135" s="298" t="str">
        <f>F_Inputs!B135</f>
        <v>CWW3_012TOT_PR24</v>
      </c>
      <c r="C135" s="298" t="str">
        <f>F_Inputs!C135</f>
        <v>EA/NRW environmental programme wastewater (WINEP/NEP) - MCERTs monitoring at emergency sewage pumping station overflows (WINEP/NEP) wastewater totex - Total</v>
      </c>
      <c r="D135" s="298" t="str">
        <f>F_Inputs!D135</f>
        <v>£m</v>
      </c>
      <c r="E135" s="298" t="str">
        <f>F_Inputs!E135</f>
        <v>Price Review 2024</v>
      </c>
      <c r="F135" s="301">
        <f>F_Inputs!F135</f>
        <v>0</v>
      </c>
      <c r="G135" s="301">
        <f>F_Inputs!G135</f>
        <v>0</v>
      </c>
      <c r="H135" s="301">
        <f>F_Inputs!H135</f>
        <v>1.788362</v>
      </c>
      <c r="I135" s="301">
        <f>F_Inputs!I135</f>
        <v>1.8585119999999999</v>
      </c>
      <c r="J135" s="301">
        <f>F_Inputs!J135</f>
        <v>2.3427769999999999</v>
      </c>
      <c r="K135" s="301">
        <f>F_Inputs!K135</f>
        <v>2.3544909999999999</v>
      </c>
      <c r="L135" s="301">
        <f>F_Inputs!L135</f>
        <v>2.4018459999999999</v>
      </c>
      <c r="Q135" s="3" t="str">
        <f t="shared" si="9"/>
        <v>CWW3_0</v>
      </c>
      <c r="R135" s="296">
        <f t="shared" si="10"/>
        <v>0</v>
      </c>
      <c r="S135" s="296">
        <f t="shared" si="11"/>
        <v>0</v>
      </c>
      <c r="T135" s="296">
        <f t="shared" si="12"/>
        <v>1.788362</v>
      </c>
      <c r="U135" s="296">
        <f t="shared" si="13"/>
        <v>1.8585119999999999</v>
      </c>
      <c r="V135" s="296">
        <f t="shared" si="14"/>
        <v>2.3427769999999999</v>
      </c>
      <c r="W135" s="296">
        <f t="shared" si="15"/>
        <v>2.3544909999999999</v>
      </c>
      <c r="X135" s="296">
        <f t="shared" si="16"/>
        <v>2.4018459999999999</v>
      </c>
    </row>
    <row r="136" spans="1:24" s="296" customFormat="1" ht="13.15">
      <c r="A136" s="298" t="str">
        <f>F_Inputs!A136</f>
        <v>WSX</v>
      </c>
      <c r="B136" s="298" t="str">
        <f>F_Inputs!B136</f>
        <v>CWW12_010TOT_PR24</v>
      </c>
      <c r="C136" s="298" t="str">
        <f>F_Inputs!C136</f>
        <v>EA/NRW environmental programme wastewater (WINEP/NEP) - MCERTs monitoring at emergency sewage pumping station overflows (WINEP/NEP) wastewater capex - Total</v>
      </c>
      <c r="D136" s="298" t="str">
        <f>F_Inputs!D136</f>
        <v>£m</v>
      </c>
      <c r="E136" s="298" t="str">
        <f>F_Inputs!E136</f>
        <v>Price Review 2024</v>
      </c>
      <c r="F136" s="301">
        <f>F_Inputs!F136</f>
        <v>0</v>
      </c>
      <c r="G136" s="301">
        <f>F_Inputs!G136</f>
        <v>0</v>
      </c>
      <c r="H136" s="301" t="str">
        <f>F_Inputs!H136</f>
        <v/>
      </c>
      <c r="I136" s="301" t="str">
        <f>F_Inputs!I136</f>
        <v/>
      </c>
      <c r="J136" s="301" t="str">
        <f>F_Inputs!J136</f>
        <v/>
      </c>
      <c r="K136" s="301" t="str">
        <f>F_Inputs!K136</f>
        <v/>
      </c>
      <c r="L136" s="301" t="str">
        <f>F_Inputs!L136</f>
        <v/>
      </c>
      <c r="Q136" s="3" t="str">
        <f t="shared" ref="Q136:Q139" si="17">LEFT(B136,6)</f>
        <v>CWW12_</v>
      </c>
      <c r="R136" s="296">
        <f t="shared" ref="R136:R139" si="18">IF(OR($Q136="CWW12_",$Q136= "CWW17_",$Q136= "CWW20A"),F136,0)</f>
        <v>0</v>
      </c>
      <c r="S136" s="296">
        <f t="shared" ref="S136:S139" si="19">IF(OR($Q136="CWW12_",$Q136= "CWW17_",$Q136= "CWW20A"),G136,0)</f>
        <v>0</v>
      </c>
      <c r="T136" s="296">
        <f t="shared" ref="T136:T139" si="20">IF(OR($Q136="CWW3_0",$Q136="CWW3_1", $Q136= "CWW20_",$Q136="BIO5_0",$Q136="CWW1A_"),H136,0)</f>
        <v>0</v>
      </c>
      <c r="U136" s="296">
        <f t="shared" ref="U136:U139" si="21">IF(OR($Q136="CWW3_0",$Q136="CWW3_1", $Q136= "CWW20_",$Q136="BIO5_0",$Q136="CWW1A_"),I136,0)</f>
        <v>0</v>
      </c>
      <c r="V136" s="296">
        <f t="shared" ref="V136:V139" si="22">IF(OR($Q136="CWW3_0",$Q136="CWW3_1", $Q136= "CWW20_",$Q136="BIO5_0",$Q136="CWW1A_"),J136,0)</f>
        <v>0</v>
      </c>
      <c r="W136" s="296">
        <f t="shared" ref="W136:W139" si="23">IF(OR($Q136="CWW3_0",$Q136="CWW3_1", $Q136= "CWW20_",$Q136="BIO5_0",$Q136="CWW1A_"),K136,0)</f>
        <v>0</v>
      </c>
      <c r="X136" s="296">
        <f t="shared" ref="X136:X139" si="24">IF(OR($Q136="CWW3_0",$Q136="CWW3_1", $Q136= "CWW20_",$Q136="BIO5_0",$Q136="CWW1A_"),L136,0)</f>
        <v>0</v>
      </c>
    </row>
    <row r="137" spans="1:24" s="296" customFormat="1" ht="13.15">
      <c r="A137" s="298" t="str">
        <f>F_Inputs!A137</f>
        <v>WSX</v>
      </c>
      <c r="B137" s="298" t="str">
        <f>F_Inputs!B137</f>
        <v>CWW12_011TOT_PR24</v>
      </c>
      <c r="C137" s="298" t="str">
        <f>F_Inputs!C137</f>
        <v>EA/NRW environmental programme wastewater (WINEP/NEP) - MCERTs monitoring at emergency sewage pumping station overflows (WINEP/NEP) wastewater opex - Total</v>
      </c>
      <c r="D137" s="298" t="str">
        <f>F_Inputs!D137</f>
        <v>£m</v>
      </c>
      <c r="E137" s="298" t="str">
        <f>F_Inputs!E137</f>
        <v>Price Review 2024</v>
      </c>
      <c r="F137" s="301">
        <f>F_Inputs!F137</f>
        <v>0</v>
      </c>
      <c r="G137" s="301">
        <f>F_Inputs!G137</f>
        <v>0</v>
      </c>
      <c r="H137" s="301" t="str">
        <f>F_Inputs!H137</f>
        <v/>
      </c>
      <c r="I137" s="301" t="str">
        <f>F_Inputs!I137</f>
        <v/>
      </c>
      <c r="J137" s="301" t="str">
        <f>F_Inputs!J137</f>
        <v/>
      </c>
      <c r="K137" s="301" t="str">
        <f>F_Inputs!K137</f>
        <v/>
      </c>
      <c r="L137" s="301" t="str">
        <f>F_Inputs!L137</f>
        <v/>
      </c>
      <c r="Q137" s="3" t="str">
        <f t="shared" si="17"/>
        <v>CWW12_</v>
      </c>
      <c r="R137" s="296">
        <f t="shared" si="18"/>
        <v>0</v>
      </c>
      <c r="S137" s="296">
        <f t="shared" si="19"/>
        <v>0</v>
      </c>
      <c r="T137" s="296">
        <f t="shared" si="20"/>
        <v>0</v>
      </c>
      <c r="U137" s="296">
        <f t="shared" si="21"/>
        <v>0</v>
      </c>
      <c r="V137" s="296">
        <f t="shared" si="22"/>
        <v>0</v>
      </c>
      <c r="W137" s="296">
        <f t="shared" si="23"/>
        <v>0</v>
      </c>
      <c r="X137" s="296">
        <f t="shared" si="24"/>
        <v>0</v>
      </c>
    </row>
    <row r="138" spans="1:24" s="296" customFormat="1" ht="13.15">
      <c r="A138" s="298" t="str">
        <f>F_Inputs!A138</f>
        <v>WSX</v>
      </c>
      <c r="B138" s="298" t="str">
        <f>F_Inputs!B138</f>
        <v>CWW12_012TOT_PR24</v>
      </c>
      <c r="C138" s="298" t="str">
        <f>F_Inputs!C138</f>
        <v>EA/NRW environmental programme wastewater (WINEP/NEP) - MCERTs monitoring at emergency sewage pumping station overflows (WINEP/NEP) wastewater totex - Total</v>
      </c>
      <c r="D138" s="298" t="str">
        <f>F_Inputs!D138</f>
        <v>£m</v>
      </c>
      <c r="E138" s="298" t="str">
        <f>F_Inputs!E138</f>
        <v>Price Review 2024</v>
      </c>
      <c r="F138" s="301">
        <f>F_Inputs!F138</f>
        <v>0</v>
      </c>
      <c r="G138" s="301">
        <f>F_Inputs!G138</f>
        <v>0</v>
      </c>
      <c r="H138" s="301" t="str">
        <f>F_Inputs!H138</f>
        <v/>
      </c>
      <c r="I138" s="301" t="str">
        <f>F_Inputs!I138</f>
        <v/>
      </c>
      <c r="J138" s="301" t="str">
        <f>F_Inputs!J138</f>
        <v/>
      </c>
      <c r="K138" s="301" t="str">
        <f>F_Inputs!K138</f>
        <v/>
      </c>
      <c r="L138" s="301" t="str">
        <f>F_Inputs!L138</f>
        <v/>
      </c>
      <c r="Q138" s="3" t="str">
        <f t="shared" si="17"/>
        <v>CWW12_</v>
      </c>
      <c r="R138" s="296">
        <f t="shared" si="18"/>
        <v>0</v>
      </c>
      <c r="S138" s="296">
        <f t="shared" si="19"/>
        <v>0</v>
      </c>
      <c r="T138" s="296">
        <f t="shared" si="20"/>
        <v>0</v>
      </c>
      <c r="U138" s="296">
        <f t="shared" si="21"/>
        <v>0</v>
      </c>
      <c r="V138" s="296">
        <f t="shared" si="22"/>
        <v>0</v>
      </c>
      <c r="W138" s="296">
        <f t="shared" si="23"/>
        <v>0</v>
      </c>
      <c r="X138" s="296">
        <f t="shared" si="24"/>
        <v>0</v>
      </c>
    </row>
    <row r="139" spans="1:24" s="296" customFormat="1" ht="13.15">
      <c r="A139" s="298" t="str">
        <f>F_Inputs!A139</f>
        <v>WSX</v>
      </c>
      <c r="B139" s="298" t="str">
        <f>F_Inputs!B139</f>
        <v>CWW17_010TOT_PR24</v>
      </c>
      <c r="C139" s="298" t="str">
        <f>F_Inputs!C139</f>
        <v>EA/NRW environmental programme wastewater (WINEP/NEP) - MCERTs monitoring at emergency sewage pumping station overflows (WINEP/NEP) wastewater capex - Total</v>
      </c>
      <c r="D139" s="298" t="str">
        <f>F_Inputs!D139</f>
        <v>£m</v>
      </c>
      <c r="E139" s="298" t="str">
        <f>F_Inputs!E139</f>
        <v>Price Review 2024</v>
      </c>
      <c r="F139" s="301">
        <f>F_Inputs!F139</f>
        <v>0</v>
      </c>
      <c r="G139" s="301">
        <f>F_Inputs!G139</f>
        <v>0</v>
      </c>
      <c r="H139" s="301">
        <f>F_Inputs!H139</f>
        <v>0</v>
      </c>
      <c r="I139" s="301">
        <f>F_Inputs!I139</f>
        <v>0</v>
      </c>
      <c r="J139" s="301">
        <f>F_Inputs!J139</f>
        <v>0</v>
      </c>
      <c r="K139" s="301">
        <f>F_Inputs!K139</f>
        <v>0</v>
      </c>
      <c r="L139" s="301">
        <f>F_Inputs!L139</f>
        <v>0</v>
      </c>
      <c r="Q139" s="3" t="str">
        <f t="shared" si="17"/>
        <v>CWW17_</v>
      </c>
      <c r="R139" s="296">
        <f t="shared" si="18"/>
        <v>0</v>
      </c>
      <c r="S139" s="296">
        <f t="shared" si="19"/>
        <v>0</v>
      </c>
      <c r="T139" s="296">
        <f t="shared" si="20"/>
        <v>0</v>
      </c>
      <c r="U139" s="296">
        <f t="shared" si="21"/>
        <v>0</v>
      </c>
      <c r="V139" s="296">
        <f t="shared" si="22"/>
        <v>0</v>
      </c>
      <c r="W139" s="296">
        <f t="shared" si="23"/>
        <v>0</v>
      </c>
      <c r="X139" s="296">
        <f t="shared" si="24"/>
        <v>0</v>
      </c>
    </row>
    <row r="140" spans="1:24" s="296" customFormat="1" ht="13.15">
      <c r="A140" s="298" t="str">
        <f>F_Inputs!A140</f>
        <v>WSX</v>
      </c>
      <c r="B140" s="298" t="str">
        <f>F_Inputs!B140</f>
        <v>CWW17_011TOT_PR24</v>
      </c>
      <c r="C140" s="298" t="str">
        <f>F_Inputs!C140</f>
        <v>EA/NRW environmental programme wastewater (WINEP/NEP) - MCERTs monitoring at emergency sewage pumping station overflows (WINEP/NEP) wastewater opex - Total</v>
      </c>
      <c r="D140" s="298" t="str">
        <f>F_Inputs!D140</f>
        <v>£m</v>
      </c>
      <c r="E140" s="298" t="str">
        <f>F_Inputs!E140</f>
        <v>Price Review 2024</v>
      </c>
      <c r="F140" s="301">
        <f>F_Inputs!F140</f>
        <v>0</v>
      </c>
      <c r="G140" s="301">
        <f>F_Inputs!G140</f>
        <v>0</v>
      </c>
      <c r="H140" s="301">
        <f>F_Inputs!H140</f>
        <v>0</v>
      </c>
      <c r="I140" s="301">
        <f>F_Inputs!I140</f>
        <v>0</v>
      </c>
      <c r="J140" s="301">
        <f>F_Inputs!J140</f>
        <v>0</v>
      </c>
      <c r="K140" s="301">
        <f>F_Inputs!K140</f>
        <v>0</v>
      </c>
      <c r="L140" s="301">
        <f>F_Inputs!L140</f>
        <v>0</v>
      </c>
      <c r="Q140" s="3" t="str">
        <f t="shared" ref="Q140:Q160" si="25">LEFT(B140,6)</f>
        <v>CWW17_</v>
      </c>
      <c r="R140" s="296">
        <f t="shared" ref="R140:R160" si="26">IF(OR($Q140="CWW12_",$Q140= "CWW17_",$Q140= "CWW20A"),F140,0)</f>
        <v>0</v>
      </c>
      <c r="S140" s="296">
        <f t="shared" ref="S140:S160" si="27">IF(OR($Q140="CWW12_",$Q140= "CWW17_",$Q140= "CWW20A"),G140,0)</f>
        <v>0</v>
      </c>
      <c r="T140" s="296">
        <f t="shared" ref="T140:T160" si="28">IF(OR($Q140="CWW3_0",$Q140="CWW3_1", $Q140= "CWW20_",$Q140="BIO5_0",$Q140="CWW1A_"),H140,0)</f>
        <v>0</v>
      </c>
      <c r="U140" s="296">
        <f t="shared" ref="U140:U160" si="29">IF(OR($Q140="CWW3_0",$Q140="CWW3_1", $Q140= "CWW20_",$Q140="BIO5_0",$Q140="CWW1A_"),I140,0)</f>
        <v>0</v>
      </c>
      <c r="V140" s="296">
        <f t="shared" ref="V140:V160" si="30">IF(OR($Q140="CWW3_0",$Q140="CWW3_1", $Q140= "CWW20_",$Q140="BIO5_0",$Q140="CWW1A_"),J140,0)</f>
        <v>0</v>
      </c>
      <c r="W140" s="296">
        <f t="shared" ref="W140:W160" si="31">IF(OR($Q140="CWW3_0",$Q140="CWW3_1", $Q140= "CWW20_",$Q140="BIO5_0",$Q140="CWW1A_"),K140,0)</f>
        <v>0</v>
      </c>
      <c r="X140" s="296">
        <f t="shared" ref="X140:X160" si="32">IF(OR($Q140="CWW3_0",$Q140="CWW3_1", $Q140= "CWW20_",$Q140="BIO5_0",$Q140="CWW1A_"),L140,0)</f>
        <v>0</v>
      </c>
    </row>
    <row r="141" spans="1:24" s="296" customFormat="1" ht="13.15">
      <c r="A141" s="298" t="str">
        <f>F_Inputs!A141</f>
        <v>WSX</v>
      </c>
      <c r="B141" s="298" t="str">
        <f>F_Inputs!B141</f>
        <v>CWW17_012TOT_PR24</v>
      </c>
      <c r="C141" s="298" t="str">
        <f>F_Inputs!C141</f>
        <v>EA/NRW environmental programme wastewater (WINEP/NEP) - MCERTs monitoring at emergency sewage pumping station overflows (WINEP/NEP) wastewater totex - Total</v>
      </c>
      <c r="D141" s="298" t="str">
        <f>F_Inputs!D141</f>
        <v>£m</v>
      </c>
      <c r="E141" s="298" t="str">
        <f>F_Inputs!E141</f>
        <v>Price Review 2024</v>
      </c>
      <c r="F141" s="301">
        <f>F_Inputs!F141</f>
        <v>0</v>
      </c>
      <c r="G141" s="301">
        <f>F_Inputs!G141</f>
        <v>0</v>
      </c>
      <c r="H141" s="301">
        <f>F_Inputs!H141</f>
        <v>0</v>
      </c>
      <c r="I141" s="301">
        <f>F_Inputs!I141</f>
        <v>0</v>
      </c>
      <c r="J141" s="301">
        <f>F_Inputs!J141</f>
        <v>0</v>
      </c>
      <c r="K141" s="301">
        <f>F_Inputs!K141</f>
        <v>0</v>
      </c>
      <c r="L141" s="301">
        <f>F_Inputs!L141</f>
        <v>0</v>
      </c>
      <c r="Q141" s="3" t="str">
        <f t="shared" si="25"/>
        <v>CWW17_</v>
      </c>
      <c r="R141" s="296">
        <f t="shared" si="26"/>
        <v>0</v>
      </c>
      <c r="S141" s="296">
        <f t="shared" si="27"/>
        <v>0</v>
      </c>
      <c r="T141" s="296">
        <f t="shared" si="28"/>
        <v>0</v>
      </c>
      <c r="U141" s="296">
        <f t="shared" si="29"/>
        <v>0</v>
      </c>
      <c r="V141" s="296">
        <f t="shared" si="30"/>
        <v>0</v>
      </c>
      <c r="W141" s="296">
        <f t="shared" si="31"/>
        <v>0</v>
      </c>
      <c r="X141" s="296">
        <f t="shared" si="32"/>
        <v>0</v>
      </c>
    </row>
    <row r="142" spans="1:24" s="296" customFormat="1" ht="13.15">
      <c r="A142" s="298" t="str">
        <f>F_Inputs!A142</f>
        <v>WSX</v>
      </c>
      <c r="B142" s="298" t="str">
        <f>F_Inputs!B142</f>
        <v>CWW20_050_PR24</v>
      </c>
      <c r="C142" s="298" t="str">
        <f>F_Inputs!C142</f>
        <v>Network / Storm overflow data - Number of new MCERTs event duration monitors installed at SPS emergency overflows</v>
      </c>
      <c r="D142" s="298" t="str">
        <f>F_Inputs!D142</f>
        <v>nr</v>
      </c>
      <c r="E142" s="298" t="str">
        <f>F_Inputs!E142</f>
        <v>Price Review 2024</v>
      </c>
      <c r="F142" s="301">
        <f>F_Inputs!F142</f>
        <v>0</v>
      </c>
      <c r="G142" s="301">
        <f>F_Inputs!G142</f>
        <v>0</v>
      </c>
      <c r="H142" s="301">
        <f>F_Inputs!H142</f>
        <v>0</v>
      </c>
      <c r="I142" s="301">
        <f>F_Inputs!I142</f>
        <v>5</v>
      </c>
      <c r="J142" s="301">
        <f>F_Inputs!J142</f>
        <v>15</v>
      </c>
      <c r="K142" s="301">
        <f>F_Inputs!K142</f>
        <v>15</v>
      </c>
      <c r="L142" s="301">
        <f>F_Inputs!L142</f>
        <v>14</v>
      </c>
      <c r="Q142" s="3" t="str">
        <f t="shared" si="25"/>
        <v>CWW20_</v>
      </c>
      <c r="R142" s="296">
        <f t="shared" si="26"/>
        <v>0</v>
      </c>
      <c r="S142" s="296">
        <f t="shared" si="27"/>
        <v>0</v>
      </c>
      <c r="T142" s="296">
        <f t="shared" si="28"/>
        <v>0</v>
      </c>
      <c r="U142" s="296">
        <f t="shared" si="29"/>
        <v>5</v>
      </c>
      <c r="V142" s="296">
        <f t="shared" si="30"/>
        <v>15</v>
      </c>
      <c r="W142" s="296">
        <f t="shared" si="31"/>
        <v>15</v>
      </c>
      <c r="X142" s="296">
        <f t="shared" si="32"/>
        <v>14</v>
      </c>
    </row>
    <row r="143" spans="1:24" s="296" customFormat="1" ht="13.15">
      <c r="A143" s="298" t="str">
        <f>F_Inputs!A143</f>
        <v>WSX</v>
      </c>
      <c r="B143" s="298" t="str">
        <f>F_Inputs!B143</f>
        <v>CWW20_051_PR24</v>
      </c>
      <c r="C143" s="298" t="str">
        <f>F_Inputs!C143</f>
        <v>Network / Storm overflow data - Number of new MCERTs flow monitors (PFF) installed at SPSs with combined emergency and storm overflows.</v>
      </c>
      <c r="D143" s="298" t="str">
        <f>F_Inputs!D143</f>
        <v>nr</v>
      </c>
      <c r="E143" s="298" t="str">
        <f>F_Inputs!E143</f>
        <v>Price Review 2024</v>
      </c>
      <c r="F143" s="301">
        <f>F_Inputs!F143</f>
        <v>0</v>
      </c>
      <c r="G143" s="301">
        <f>F_Inputs!G143</f>
        <v>0</v>
      </c>
      <c r="H143" s="301">
        <f>F_Inputs!H143</f>
        <v>0</v>
      </c>
      <c r="I143" s="301">
        <f>F_Inputs!I143</f>
        <v>10</v>
      </c>
      <c r="J143" s="301">
        <f>F_Inputs!J143</f>
        <v>31</v>
      </c>
      <c r="K143" s="301">
        <f>F_Inputs!K143</f>
        <v>31</v>
      </c>
      <c r="L143" s="301">
        <f>F_Inputs!L143</f>
        <v>30</v>
      </c>
      <c r="Q143" s="3" t="str">
        <f t="shared" si="25"/>
        <v>CWW20_</v>
      </c>
      <c r="R143" s="296">
        <f t="shared" si="26"/>
        <v>0</v>
      </c>
      <c r="S143" s="296">
        <f t="shared" si="27"/>
        <v>0</v>
      </c>
      <c r="T143" s="296">
        <f t="shared" si="28"/>
        <v>0</v>
      </c>
      <c r="U143" s="296">
        <f t="shared" si="29"/>
        <v>10</v>
      </c>
      <c r="V143" s="296">
        <f t="shared" si="30"/>
        <v>31</v>
      </c>
      <c r="W143" s="296">
        <f t="shared" si="31"/>
        <v>31</v>
      </c>
      <c r="X143" s="296">
        <f t="shared" si="32"/>
        <v>30</v>
      </c>
    </row>
    <row r="144" spans="1:24" s="296" customFormat="1" ht="13.15">
      <c r="A144" s="298" t="str">
        <f>F_Inputs!A144</f>
        <v>WSX</v>
      </c>
      <c r="B144" s="298" t="str">
        <f>F_Inputs!B144</f>
        <v>CWW20A_050_PR24</v>
      </c>
      <c r="C144" s="298" t="str">
        <f>F_Inputs!C144</f>
        <v>Network / Storm overflow data - Number of new MCERTs event duration monitors installed at SPS emergency overflows</v>
      </c>
      <c r="D144" s="298" t="str">
        <f>F_Inputs!D144</f>
        <v>nr</v>
      </c>
      <c r="E144" s="298" t="str">
        <f>F_Inputs!E144</f>
        <v>Price Review 2024</v>
      </c>
      <c r="F144" s="301" t="str">
        <f>F_Inputs!F144</f>
        <v/>
      </c>
      <c r="G144" s="301" t="str">
        <f>F_Inputs!G144</f>
        <v/>
      </c>
      <c r="H144" s="301" t="str">
        <f>F_Inputs!H144</f>
        <v/>
      </c>
      <c r="I144" s="301" t="str">
        <f>F_Inputs!I144</f>
        <v/>
      </c>
      <c r="J144" s="301" t="str">
        <f>F_Inputs!J144</f>
        <v/>
      </c>
      <c r="K144" s="301" t="str">
        <f>F_Inputs!K144</f>
        <v/>
      </c>
      <c r="L144" s="301" t="str">
        <f>F_Inputs!L144</f>
        <v/>
      </c>
      <c r="Q144" s="3" t="str">
        <f t="shared" si="25"/>
        <v>CWW20A</v>
      </c>
      <c r="R144" s="296" t="str">
        <f t="shared" si="26"/>
        <v/>
      </c>
      <c r="S144" s="296" t="str">
        <f t="shared" si="27"/>
        <v/>
      </c>
      <c r="T144" s="296">
        <f t="shared" si="28"/>
        <v>0</v>
      </c>
      <c r="U144" s="296">
        <f t="shared" si="29"/>
        <v>0</v>
      </c>
      <c r="V144" s="296">
        <f t="shared" si="30"/>
        <v>0</v>
      </c>
      <c r="W144" s="296">
        <f t="shared" si="31"/>
        <v>0</v>
      </c>
      <c r="X144" s="296">
        <f t="shared" si="32"/>
        <v>0</v>
      </c>
    </row>
    <row r="145" spans="1:24" s="296" customFormat="1" ht="13.15">
      <c r="A145" s="298" t="str">
        <f>F_Inputs!A145</f>
        <v>WSX</v>
      </c>
      <c r="B145" s="298" t="str">
        <f>F_Inputs!B145</f>
        <v>CWW20A_051_PR24</v>
      </c>
      <c r="C145" s="298" t="str">
        <f>F_Inputs!C145</f>
        <v>Network / Storm overflow data - Number of new MCERTs flow monitors (PFF) installed at SPSs with combined emergency and storm overflows.</v>
      </c>
      <c r="D145" s="298" t="str">
        <f>F_Inputs!D145</f>
        <v>nr</v>
      </c>
      <c r="E145" s="298" t="str">
        <f>F_Inputs!E145</f>
        <v>Price Review 2024</v>
      </c>
      <c r="F145" s="301" t="str">
        <f>F_Inputs!F145</f>
        <v/>
      </c>
      <c r="G145" s="301" t="str">
        <f>F_Inputs!G145</f>
        <v/>
      </c>
      <c r="H145" s="301" t="str">
        <f>F_Inputs!H145</f>
        <v/>
      </c>
      <c r="I145" s="301" t="str">
        <f>F_Inputs!I145</f>
        <v/>
      </c>
      <c r="J145" s="301" t="str">
        <f>F_Inputs!J145</f>
        <v/>
      </c>
      <c r="K145" s="301" t="str">
        <f>F_Inputs!K145</f>
        <v/>
      </c>
      <c r="L145" s="301" t="str">
        <f>F_Inputs!L145</f>
        <v/>
      </c>
      <c r="Q145" s="3" t="str">
        <f t="shared" si="25"/>
        <v>CWW20A</v>
      </c>
      <c r="R145" s="296" t="str">
        <f t="shared" si="26"/>
        <v/>
      </c>
      <c r="S145" s="296" t="str">
        <f t="shared" si="27"/>
        <v/>
      </c>
      <c r="T145" s="296">
        <f t="shared" si="28"/>
        <v>0</v>
      </c>
      <c r="U145" s="296">
        <f t="shared" si="29"/>
        <v>0</v>
      </c>
      <c r="V145" s="296">
        <f t="shared" si="30"/>
        <v>0</v>
      </c>
      <c r="W145" s="296">
        <f t="shared" si="31"/>
        <v>0</v>
      </c>
      <c r="X145" s="296">
        <f t="shared" si="32"/>
        <v>0</v>
      </c>
    </row>
    <row r="146" spans="1:24" s="296" customFormat="1" ht="13.15">
      <c r="A146" s="298" t="str">
        <f>F_Inputs!A146</f>
        <v>WSX</v>
      </c>
      <c r="B146" s="298" t="str">
        <f>F_Inputs!B146</f>
        <v>CWW1A_015TOT_PR24</v>
      </c>
      <c r="C146" s="298" t="str">
        <f>F_Inputs!C146</f>
        <v>Net totex - Total</v>
      </c>
      <c r="D146" s="298" t="str">
        <f>F_Inputs!D146</f>
        <v>£m</v>
      </c>
      <c r="E146" s="298" t="str">
        <f>F_Inputs!E146</f>
        <v>Price Review 2024</v>
      </c>
      <c r="F146" s="301">
        <f>F_Inputs!F146</f>
        <v>425.01453217148838</v>
      </c>
      <c r="G146" s="301">
        <f>F_Inputs!G146</f>
        <v>477.18136481827088</v>
      </c>
      <c r="H146" s="301">
        <f>F_Inputs!H146</f>
        <v>526.33093822919</v>
      </c>
      <c r="I146" s="301">
        <f>F_Inputs!I146</f>
        <v>558.80413455846633</v>
      </c>
      <c r="J146" s="301">
        <f>F_Inputs!J146</f>
        <v>575.36301598312627</v>
      </c>
      <c r="K146" s="301">
        <f>F_Inputs!K146</f>
        <v>837.08372922394676</v>
      </c>
      <c r="L146" s="301">
        <f>F_Inputs!L146</f>
        <v>1152.392571151533</v>
      </c>
      <c r="Q146" s="3" t="str">
        <f t="shared" si="25"/>
        <v>CWW1A_</v>
      </c>
      <c r="R146" s="296">
        <f t="shared" si="26"/>
        <v>0</v>
      </c>
      <c r="S146" s="296">
        <f t="shared" si="27"/>
        <v>0</v>
      </c>
      <c r="T146" s="296">
        <f t="shared" si="28"/>
        <v>526.33093822919</v>
      </c>
      <c r="U146" s="296">
        <f t="shared" si="29"/>
        <v>558.80413455846633</v>
      </c>
      <c r="V146" s="296">
        <f t="shared" si="30"/>
        <v>575.36301598312627</v>
      </c>
      <c r="W146" s="296">
        <f t="shared" si="31"/>
        <v>837.08372922394676</v>
      </c>
      <c r="X146" s="296">
        <f t="shared" si="32"/>
        <v>1152.392571151533</v>
      </c>
    </row>
    <row r="147" spans="1:24" s="296" customFormat="1" ht="13.15">
      <c r="A147" s="298" t="str">
        <f>F_Inputs!A147</f>
        <v>YKY</v>
      </c>
      <c r="B147" s="298" t="str">
        <f>F_Inputs!B147</f>
        <v>CWW3_010TOT_PR24</v>
      </c>
      <c r="C147" s="298" t="str">
        <f>F_Inputs!C147</f>
        <v>EA/NRW environmental programme wastewater (WINEP/NEP) - MCERTs monitoring at emergency sewage pumping station overflows (WINEP/NEP) wastewater capex - Total</v>
      </c>
      <c r="D147" s="298" t="str">
        <f>F_Inputs!D147</f>
        <v>£m</v>
      </c>
      <c r="E147" s="298" t="str">
        <f>F_Inputs!E147</f>
        <v>Price Review 2024</v>
      </c>
      <c r="F147" s="301">
        <f>F_Inputs!F147</f>
        <v>0</v>
      </c>
      <c r="G147" s="301">
        <f>F_Inputs!G147</f>
        <v>0</v>
      </c>
      <c r="H147" s="301">
        <f>F_Inputs!H147</f>
        <v>3.3398272000000002</v>
      </c>
      <c r="I147" s="301">
        <f>F_Inputs!I147</f>
        <v>4.5006848000000002</v>
      </c>
      <c r="J147" s="301">
        <f>F_Inputs!J147</f>
        <v>4.6917119999999999</v>
      </c>
      <c r="K147" s="301">
        <f>F_Inputs!K147</f>
        <v>3.9286528000000001</v>
      </c>
      <c r="L147" s="301">
        <f>F_Inputs!L147</f>
        <v>2.4865024</v>
      </c>
      <c r="Q147" s="3" t="str">
        <f t="shared" si="25"/>
        <v>CWW3_0</v>
      </c>
      <c r="R147" s="296">
        <f t="shared" si="26"/>
        <v>0</v>
      </c>
      <c r="S147" s="296">
        <f t="shared" si="27"/>
        <v>0</v>
      </c>
      <c r="T147" s="296">
        <f t="shared" si="28"/>
        <v>3.3398272000000002</v>
      </c>
      <c r="U147" s="296">
        <f t="shared" si="29"/>
        <v>4.5006848000000002</v>
      </c>
      <c r="V147" s="296">
        <f t="shared" si="30"/>
        <v>4.6917119999999999</v>
      </c>
      <c r="W147" s="296">
        <f t="shared" si="31"/>
        <v>3.9286528000000001</v>
      </c>
      <c r="X147" s="296">
        <f t="shared" si="32"/>
        <v>2.4865024</v>
      </c>
    </row>
    <row r="148" spans="1:24" s="296" customFormat="1" ht="13.15">
      <c r="A148" s="298" t="str">
        <f>F_Inputs!A148</f>
        <v>YKY</v>
      </c>
      <c r="B148" s="298" t="str">
        <f>F_Inputs!B148</f>
        <v>CWW3_011TOT_PR24</v>
      </c>
      <c r="C148" s="298" t="str">
        <f>F_Inputs!C148</f>
        <v>EA/NRW environmental programme wastewater (WINEP/NEP) - MCERTs monitoring at emergency sewage pumping station overflows (WINEP/NEP) wastewater opex - Total</v>
      </c>
      <c r="D148" s="298" t="str">
        <f>F_Inputs!D148</f>
        <v>£m</v>
      </c>
      <c r="E148" s="298" t="str">
        <f>F_Inputs!E148</f>
        <v>Price Review 2024</v>
      </c>
      <c r="F148" s="301">
        <f>F_Inputs!F148</f>
        <v>0</v>
      </c>
      <c r="G148" s="301">
        <f>F_Inputs!G148</f>
        <v>0</v>
      </c>
      <c r="H148" s="301">
        <f>F_Inputs!H148</f>
        <v>0</v>
      </c>
      <c r="I148" s="301">
        <f>F_Inputs!I148</f>
        <v>0</v>
      </c>
      <c r="J148" s="301">
        <f>F_Inputs!J148</f>
        <v>0</v>
      </c>
      <c r="K148" s="301">
        <f>F_Inputs!K148</f>
        <v>0</v>
      </c>
      <c r="L148" s="301">
        <f>F_Inputs!L148</f>
        <v>0.18158079999999999</v>
      </c>
      <c r="Q148" s="3" t="str">
        <f t="shared" si="25"/>
        <v>CWW3_0</v>
      </c>
      <c r="R148" s="296">
        <f t="shared" si="26"/>
        <v>0</v>
      </c>
      <c r="S148" s="296">
        <f t="shared" si="27"/>
        <v>0</v>
      </c>
      <c r="T148" s="296">
        <f t="shared" si="28"/>
        <v>0</v>
      </c>
      <c r="U148" s="296">
        <f t="shared" si="29"/>
        <v>0</v>
      </c>
      <c r="V148" s="296">
        <f t="shared" si="30"/>
        <v>0</v>
      </c>
      <c r="W148" s="296">
        <f t="shared" si="31"/>
        <v>0</v>
      </c>
      <c r="X148" s="296">
        <f t="shared" si="32"/>
        <v>0.18158079999999999</v>
      </c>
    </row>
    <row r="149" spans="1:24" s="296" customFormat="1" ht="13.15">
      <c r="A149" s="298" t="str">
        <f>F_Inputs!A149</f>
        <v>YKY</v>
      </c>
      <c r="B149" s="298" t="str">
        <f>F_Inputs!B149</f>
        <v>CWW3_012TOT_PR24</v>
      </c>
      <c r="C149" s="298" t="str">
        <f>F_Inputs!C149</f>
        <v>EA/NRW environmental programme wastewater (WINEP/NEP) - MCERTs monitoring at emergency sewage pumping station overflows (WINEP/NEP) wastewater totex - Total</v>
      </c>
      <c r="D149" s="298" t="str">
        <f>F_Inputs!D149</f>
        <v>£m</v>
      </c>
      <c r="E149" s="298" t="str">
        <f>F_Inputs!E149</f>
        <v>Price Review 2024</v>
      </c>
      <c r="F149" s="301">
        <f>F_Inputs!F149</f>
        <v>0</v>
      </c>
      <c r="G149" s="301">
        <f>F_Inputs!G149</f>
        <v>0</v>
      </c>
      <c r="H149" s="301">
        <f>F_Inputs!H149</f>
        <v>3.3398272000000002</v>
      </c>
      <c r="I149" s="301">
        <f>F_Inputs!I149</f>
        <v>4.5006848000000002</v>
      </c>
      <c r="J149" s="301">
        <f>F_Inputs!J149</f>
        <v>4.6917119999999999</v>
      </c>
      <c r="K149" s="301">
        <f>F_Inputs!K149</f>
        <v>3.9286528000000001</v>
      </c>
      <c r="L149" s="301">
        <f>F_Inputs!L149</f>
        <v>2.6680831999999999</v>
      </c>
      <c r="Q149" s="3" t="str">
        <f t="shared" si="25"/>
        <v>CWW3_0</v>
      </c>
      <c r="R149" s="296">
        <f t="shared" si="26"/>
        <v>0</v>
      </c>
      <c r="S149" s="296">
        <f t="shared" si="27"/>
        <v>0</v>
      </c>
      <c r="T149" s="296">
        <f t="shared" si="28"/>
        <v>3.3398272000000002</v>
      </c>
      <c r="U149" s="296">
        <f t="shared" si="29"/>
        <v>4.5006848000000002</v>
      </c>
      <c r="V149" s="296">
        <f t="shared" si="30"/>
        <v>4.6917119999999999</v>
      </c>
      <c r="W149" s="296">
        <f t="shared" si="31"/>
        <v>3.9286528000000001</v>
      </c>
      <c r="X149" s="296">
        <f t="shared" si="32"/>
        <v>2.6680831999999999</v>
      </c>
    </row>
    <row r="150" spans="1:24" s="296" customFormat="1" ht="13.15">
      <c r="A150" s="298" t="str">
        <f>F_Inputs!A150</f>
        <v>YKY</v>
      </c>
      <c r="B150" s="298" t="str">
        <f>F_Inputs!B150</f>
        <v>CWW12_010TOT_PR24</v>
      </c>
      <c r="C150" s="298" t="str">
        <f>F_Inputs!C150</f>
        <v>EA/NRW environmental programme wastewater (WINEP/NEP) - MCERTs monitoring at emergency sewage pumping station overflows (WINEP/NEP) wastewater capex - Total</v>
      </c>
      <c r="D150" s="298" t="str">
        <f>F_Inputs!D150</f>
        <v>£m</v>
      </c>
      <c r="E150" s="298" t="str">
        <f>F_Inputs!E150</f>
        <v>Price Review 2024</v>
      </c>
      <c r="F150" s="301">
        <f>F_Inputs!F150</f>
        <v>0</v>
      </c>
      <c r="G150" s="301">
        <f>F_Inputs!G150</f>
        <v>0</v>
      </c>
      <c r="H150" s="301" t="str">
        <f>F_Inputs!H150</f>
        <v/>
      </c>
      <c r="I150" s="301" t="str">
        <f>F_Inputs!I150</f>
        <v/>
      </c>
      <c r="J150" s="301" t="str">
        <f>F_Inputs!J150</f>
        <v/>
      </c>
      <c r="K150" s="301" t="str">
        <f>F_Inputs!K150</f>
        <v/>
      </c>
      <c r="L150" s="301" t="str">
        <f>F_Inputs!L150</f>
        <v/>
      </c>
      <c r="Q150" s="3" t="str">
        <f t="shared" si="25"/>
        <v>CWW12_</v>
      </c>
      <c r="R150" s="296">
        <f t="shared" si="26"/>
        <v>0</v>
      </c>
      <c r="S150" s="296">
        <f t="shared" si="27"/>
        <v>0</v>
      </c>
      <c r="T150" s="296">
        <f t="shared" si="28"/>
        <v>0</v>
      </c>
      <c r="U150" s="296">
        <f t="shared" si="29"/>
        <v>0</v>
      </c>
      <c r="V150" s="296">
        <f t="shared" si="30"/>
        <v>0</v>
      </c>
      <c r="W150" s="296">
        <f t="shared" si="31"/>
        <v>0</v>
      </c>
      <c r="X150" s="296">
        <f t="shared" si="32"/>
        <v>0</v>
      </c>
    </row>
    <row r="151" spans="1:24" s="296" customFormat="1" ht="13.15">
      <c r="A151" s="298" t="str">
        <f>F_Inputs!A151</f>
        <v>YKY</v>
      </c>
      <c r="B151" s="298" t="str">
        <f>F_Inputs!B151</f>
        <v>CWW12_011TOT_PR24</v>
      </c>
      <c r="C151" s="298" t="str">
        <f>F_Inputs!C151</f>
        <v>EA/NRW environmental programme wastewater (WINEP/NEP) - MCERTs monitoring at emergency sewage pumping station overflows (WINEP/NEP) wastewater opex - Total</v>
      </c>
      <c r="D151" s="298" t="str">
        <f>F_Inputs!D151</f>
        <v>£m</v>
      </c>
      <c r="E151" s="298" t="str">
        <f>F_Inputs!E151</f>
        <v>Price Review 2024</v>
      </c>
      <c r="F151" s="301">
        <f>F_Inputs!F151</f>
        <v>0</v>
      </c>
      <c r="G151" s="301">
        <f>F_Inputs!G151</f>
        <v>0</v>
      </c>
      <c r="H151" s="301" t="str">
        <f>F_Inputs!H151</f>
        <v/>
      </c>
      <c r="I151" s="301" t="str">
        <f>F_Inputs!I151</f>
        <v/>
      </c>
      <c r="J151" s="301" t="str">
        <f>F_Inputs!J151</f>
        <v/>
      </c>
      <c r="K151" s="301" t="str">
        <f>F_Inputs!K151</f>
        <v/>
      </c>
      <c r="L151" s="301" t="str">
        <f>F_Inputs!L151</f>
        <v/>
      </c>
      <c r="Q151" s="3" t="str">
        <f t="shared" si="25"/>
        <v>CWW12_</v>
      </c>
      <c r="R151" s="296">
        <f t="shared" si="26"/>
        <v>0</v>
      </c>
      <c r="S151" s="296">
        <f t="shared" si="27"/>
        <v>0</v>
      </c>
      <c r="T151" s="296">
        <f t="shared" si="28"/>
        <v>0</v>
      </c>
      <c r="U151" s="296">
        <f t="shared" si="29"/>
        <v>0</v>
      </c>
      <c r="V151" s="296">
        <f t="shared" si="30"/>
        <v>0</v>
      </c>
      <c r="W151" s="296">
        <f t="shared" si="31"/>
        <v>0</v>
      </c>
      <c r="X151" s="296">
        <f t="shared" si="32"/>
        <v>0</v>
      </c>
    </row>
    <row r="152" spans="1:24" s="296" customFormat="1" ht="13.15">
      <c r="A152" s="298" t="str">
        <f>F_Inputs!A152</f>
        <v>YKY</v>
      </c>
      <c r="B152" s="298" t="str">
        <f>F_Inputs!B152</f>
        <v>CWW12_012TOT_PR24</v>
      </c>
      <c r="C152" s="298" t="str">
        <f>F_Inputs!C152</f>
        <v>EA/NRW environmental programme wastewater (WINEP/NEP) - MCERTs monitoring at emergency sewage pumping station overflows (WINEP/NEP) wastewater totex - Total</v>
      </c>
      <c r="D152" s="298" t="str">
        <f>F_Inputs!D152</f>
        <v>£m</v>
      </c>
      <c r="E152" s="298" t="str">
        <f>F_Inputs!E152</f>
        <v>Price Review 2024</v>
      </c>
      <c r="F152" s="301">
        <f>F_Inputs!F152</f>
        <v>0</v>
      </c>
      <c r="G152" s="301">
        <f>F_Inputs!G152</f>
        <v>0</v>
      </c>
      <c r="H152" s="301" t="str">
        <f>F_Inputs!H152</f>
        <v/>
      </c>
      <c r="I152" s="301" t="str">
        <f>F_Inputs!I152</f>
        <v/>
      </c>
      <c r="J152" s="301" t="str">
        <f>F_Inputs!J152</f>
        <v/>
      </c>
      <c r="K152" s="301" t="str">
        <f>F_Inputs!K152</f>
        <v/>
      </c>
      <c r="L152" s="301" t="str">
        <f>F_Inputs!L152</f>
        <v/>
      </c>
      <c r="Q152" s="3" t="str">
        <f t="shared" si="25"/>
        <v>CWW12_</v>
      </c>
      <c r="R152" s="296">
        <f t="shared" si="26"/>
        <v>0</v>
      </c>
      <c r="S152" s="296">
        <f t="shared" si="27"/>
        <v>0</v>
      </c>
      <c r="T152" s="296">
        <f t="shared" si="28"/>
        <v>0</v>
      </c>
      <c r="U152" s="296">
        <f t="shared" si="29"/>
        <v>0</v>
      </c>
      <c r="V152" s="296">
        <f t="shared" si="30"/>
        <v>0</v>
      </c>
      <c r="W152" s="296">
        <f t="shared" si="31"/>
        <v>0</v>
      </c>
      <c r="X152" s="296">
        <f t="shared" si="32"/>
        <v>0</v>
      </c>
    </row>
    <row r="153" spans="1:24" s="296" customFormat="1" ht="13.15">
      <c r="A153" s="298" t="str">
        <f>F_Inputs!A153</f>
        <v>YKY</v>
      </c>
      <c r="B153" s="298" t="str">
        <f>F_Inputs!B153</f>
        <v>CWW17_010TOT_PR24</v>
      </c>
      <c r="C153" s="298" t="str">
        <f>F_Inputs!C153</f>
        <v>EA/NRW environmental programme wastewater (WINEP/NEP) - MCERTs monitoring at emergency sewage pumping station overflows (WINEP/NEP) wastewater capex - Total</v>
      </c>
      <c r="D153" s="298" t="str">
        <f>F_Inputs!D153</f>
        <v>£m</v>
      </c>
      <c r="E153" s="298" t="str">
        <f>F_Inputs!E153</f>
        <v>Price Review 2024</v>
      </c>
      <c r="F153" s="301">
        <f>F_Inputs!F153</f>
        <v>0</v>
      </c>
      <c r="G153" s="301">
        <f>F_Inputs!G153</f>
        <v>0</v>
      </c>
      <c r="H153" s="301">
        <f>F_Inputs!H153</f>
        <v>0</v>
      </c>
      <c r="I153" s="301">
        <f>F_Inputs!I153</f>
        <v>0</v>
      </c>
      <c r="J153" s="301">
        <f>F_Inputs!J153</f>
        <v>0</v>
      </c>
      <c r="K153" s="301">
        <f>F_Inputs!K153</f>
        <v>0</v>
      </c>
      <c r="L153" s="301">
        <f>F_Inputs!L153</f>
        <v>0</v>
      </c>
      <c r="Q153" s="3" t="str">
        <f t="shared" si="25"/>
        <v>CWW17_</v>
      </c>
      <c r="R153" s="296">
        <f t="shared" si="26"/>
        <v>0</v>
      </c>
      <c r="S153" s="296">
        <f t="shared" si="27"/>
        <v>0</v>
      </c>
      <c r="T153" s="296">
        <f t="shared" si="28"/>
        <v>0</v>
      </c>
      <c r="U153" s="296">
        <f t="shared" si="29"/>
        <v>0</v>
      </c>
      <c r="V153" s="296">
        <f t="shared" si="30"/>
        <v>0</v>
      </c>
      <c r="W153" s="296">
        <f t="shared" si="31"/>
        <v>0</v>
      </c>
      <c r="X153" s="296">
        <f t="shared" si="32"/>
        <v>0</v>
      </c>
    </row>
    <row r="154" spans="1:24" s="296" customFormat="1" ht="13.15">
      <c r="A154" s="298" t="str">
        <f>F_Inputs!A154</f>
        <v>YKY</v>
      </c>
      <c r="B154" s="298" t="str">
        <f>F_Inputs!B154</f>
        <v>CWW17_011TOT_PR24</v>
      </c>
      <c r="C154" s="298" t="str">
        <f>F_Inputs!C154</f>
        <v>EA/NRW environmental programme wastewater (WINEP/NEP) - MCERTs monitoring at emergency sewage pumping station overflows (WINEP/NEP) wastewater opex - Total</v>
      </c>
      <c r="D154" s="298" t="str">
        <f>F_Inputs!D154</f>
        <v>£m</v>
      </c>
      <c r="E154" s="298" t="str">
        <f>F_Inputs!E154</f>
        <v>Price Review 2024</v>
      </c>
      <c r="F154" s="301">
        <f>F_Inputs!F154</f>
        <v>0</v>
      </c>
      <c r="G154" s="301">
        <f>F_Inputs!G154</f>
        <v>0</v>
      </c>
      <c r="H154" s="301">
        <f>F_Inputs!H154</f>
        <v>0</v>
      </c>
      <c r="I154" s="301">
        <f>F_Inputs!I154</f>
        <v>0</v>
      </c>
      <c r="J154" s="301">
        <f>F_Inputs!J154</f>
        <v>0</v>
      </c>
      <c r="K154" s="301">
        <f>F_Inputs!K154</f>
        <v>0</v>
      </c>
      <c r="L154" s="301">
        <f>F_Inputs!L154</f>
        <v>0</v>
      </c>
      <c r="Q154" s="3" t="str">
        <f t="shared" si="25"/>
        <v>CWW17_</v>
      </c>
      <c r="R154" s="296">
        <f t="shared" si="26"/>
        <v>0</v>
      </c>
      <c r="S154" s="296">
        <f t="shared" si="27"/>
        <v>0</v>
      </c>
      <c r="T154" s="296">
        <f t="shared" si="28"/>
        <v>0</v>
      </c>
      <c r="U154" s="296">
        <f t="shared" si="29"/>
        <v>0</v>
      </c>
      <c r="V154" s="296">
        <f t="shared" si="30"/>
        <v>0</v>
      </c>
      <c r="W154" s="296">
        <f t="shared" si="31"/>
        <v>0</v>
      </c>
      <c r="X154" s="296">
        <f t="shared" si="32"/>
        <v>0</v>
      </c>
    </row>
    <row r="155" spans="1:24" s="296" customFormat="1" ht="13.15">
      <c r="A155" s="298" t="str">
        <f>F_Inputs!A155</f>
        <v>YKY</v>
      </c>
      <c r="B155" s="298" t="str">
        <f>F_Inputs!B155</f>
        <v>CWW17_012TOT_PR24</v>
      </c>
      <c r="C155" s="298" t="str">
        <f>F_Inputs!C155</f>
        <v>EA/NRW environmental programme wastewater (WINEP/NEP) - MCERTs monitoring at emergency sewage pumping station overflows (WINEP/NEP) wastewater totex - Total</v>
      </c>
      <c r="D155" s="298" t="str">
        <f>F_Inputs!D155</f>
        <v>£m</v>
      </c>
      <c r="E155" s="298" t="str">
        <f>F_Inputs!E155</f>
        <v>Price Review 2024</v>
      </c>
      <c r="F155" s="301">
        <f>F_Inputs!F155</f>
        <v>0</v>
      </c>
      <c r="G155" s="301">
        <f>F_Inputs!G155</f>
        <v>0</v>
      </c>
      <c r="H155" s="301">
        <f>F_Inputs!H155</f>
        <v>0</v>
      </c>
      <c r="I155" s="301">
        <f>F_Inputs!I155</f>
        <v>0</v>
      </c>
      <c r="J155" s="301">
        <f>F_Inputs!J155</f>
        <v>0</v>
      </c>
      <c r="K155" s="301">
        <f>F_Inputs!K155</f>
        <v>0</v>
      </c>
      <c r="L155" s="301">
        <f>F_Inputs!L155</f>
        <v>0</v>
      </c>
      <c r="Q155" s="3" t="str">
        <f t="shared" si="25"/>
        <v>CWW17_</v>
      </c>
      <c r="R155" s="296">
        <f t="shared" si="26"/>
        <v>0</v>
      </c>
      <c r="S155" s="296">
        <f t="shared" si="27"/>
        <v>0</v>
      </c>
      <c r="T155" s="296">
        <f t="shared" si="28"/>
        <v>0</v>
      </c>
      <c r="U155" s="296">
        <f t="shared" si="29"/>
        <v>0</v>
      </c>
      <c r="V155" s="296">
        <f t="shared" si="30"/>
        <v>0</v>
      </c>
      <c r="W155" s="296">
        <f t="shared" si="31"/>
        <v>0</v>
      </c>
      <c r="X155" s="296">
        <f t="shared" si="32"/>
        <v>0</v>
      </c>
    </row>
    <row r="156" spans="1:24" s="296" customFormat="1" ht="13.15">
      <c r="A156" s="298" t="str">
        <f>F_Inputs!A156</f>
        <v>YKY</v>
      </c>
      <c r="B156" s="298" t="str">
        <f>F_Inputs!B156</f>
        <v>CWW20_050_PR24</v>
      </c>
      <c r="C156" s="298" t="str">
        <f>F_Inputs!C156</f>
        <v>Network / Storm overflow data - Number of new MCERTs event duration monitors installed at SPS emergency overflows</v>
      </c>
      <c r="D156" s="298" t="str">
        <f>F_Inputs!D156</f>
        <v>nr</v>
      </c>
      <c r="E156" s="298" t="str">
        <f>F_Inputs!E156</f>
        <v>Price Review 2024</v>
      </c>
      <c r="F156" s="301">
        <f>F_Inputs!F156</f>
        <v>0</v>
      </c>
      <c r="G156" s="301">
        <f>F_Inputs!G156</f>
        <v>0</v>
      </c>
      <c r="H156" s="301">
        <f>F_Inputs!H156</f>
        <v>379</v>
      </c>
      <c r="I156" s="301">
        <f>F_Inputs!I156</f>
        <v>0</v>
      </c>
      <c r="J156" s="301">
        <f>F_Inputs!J156</f>
        <v>0</v>
      </c>
      <c r="K156" s="301">
        <f>F_Inputs!K156</f>
        <v>0</v>
      </c>
      <c r="L156" s="301">
        <f>F_Inputs!L156</f>
        <v>0</v>
      </c>
      <c r="Q156" s="3" t="str">
        <f t="shared" si="25"/>
        <v>CWW20_</v>
      </c>
      <c r="R156" s="296">
        <f t="shared" si="26"/>
        <v>0</v>
      </c>
      <c r="S156" s="296">
        <f t="shared" si="27"/>
        <v>0</v>
      </c>
      <c r="T156" s="296">
        <f t="shared" si="28"/>
        <v>379</v>
      </c>
      <c r="U156" s="296">
        <f t="shared" si="29"/>
        <v>0</v>
      </c>
      <c r="V156" s="296">
        <f t="shared" si="30"/>
        <v>0</v>
      </c>
      <c r="W156" s="296">
        <f t="shared" si="31"/>
        <v>0</v>
      </c>
      <c r="X156" s="296">
        <f t="shared" si="32"/>
        <v>0</v>
      </c>
    </row>
    <row r="157" spans="1:24" s="296" customFormat="1" ht="13.15">
      <c r="A157" s="298" t="str">
        <f>F_Inputs!A157</f>
        <v>YKY</v>
      </c>
      <c r="B157" s="298" t="str">
        <f>F_Inputs!B157</f>
        <v>CWW20_051_PR24</v>
      </c>
      <c r="C157" s="298" t="str">
        <f>F_Inputs!C157</f>
        <v>Network / Storm overflow data - Number of new MCERTs flow monitors (PFF) installed at SPSs with combined emergency and storm overflows.</v>
      </c>
      <c r="D157" s="298" t="str">
        <f>F_Inputs!D157</f>
        <v>nr</v>
      </c>
      <c r="E157" s="298" t="str">
        <f>F_Inputs!E157</f>
        <v>Price Review 2024</v>
      </c>
      <c r="F157" s="301">
        <f>F_Inputs!F157</f>
        <v>0</v>
      </c>
      <c r="G157" s="301">
        <f>F_Inputs!G157</f>
        <v>0</v>
      </c>
      <c r="H157" s="301">
        <f>F_Inputs!H157</f>
        <v>361</v>
      </c>
      <c r="I157" s="301">
        <f>F_Inputs!I157</f>
        <v>0</v>
      </c>
      <c r="J157" s="301">
        <f>F_Inputs!J157</f>
        <v>0</v>
      </c>
      <c r="K157" s="301">
        <f>F_Inputs!K157</f>
        <v>0</v>
      </c>
      <c r="L157" s="301">
        <f>F_Inputs!L157</f>
        <v>0</v>
      </c>
      <c r="Q157" s="3" t="str">
        <f t="shared" si="25"/>
        <v>CWW20_</v>
      </c>
      <c r="R157" s="296">
        <f t="shared" si="26"/>
        <v>0</v>
      </c>
      <c r="S157" s="296">
        <f t="shared" si="27"/>
        <v>0</v>
      </c>
      <c r="T157" s="296">
        <f t="shared" si="28"/>
        <v>361</v>
      </c>
      <c r="U157" s="296">
        <f t="shared" si="29"/>
        <v>0</v>
      </c>
      <c r="V157" s="296">
        <f t="shared" si="30"/>
        <v>0</v>
      </c>
      <c r="W157" s="296">
        <f t="shared" si="31"/>
        <v>0</v>
      </c>
      <c r="X157" s="296">
        <f t="shared" si="32"/>
        <v>0</v>
      </c>
    </row>
    <row r="158" spans="1:24" s="296" customFormat="1" ht="13.15">
      <c r="A158" s="298" t="str">
        <f>F_Inputs!A158</f>
        <v>YKY</v>
      </c>
      <c r="B158" s="298" t="str">
        <f>F_Inputs!B158</f>
        <v>CWW20A_050_PR24</v>
      </c>
      <c r="C158" s="298" t="str">
        <f>F_Inputs!C158</f>
        <v>Network / Storm overflow data - Number of new MCERTs event duration monitors installed at SPS emergency overflows</v>
      </c>
      <c r="D158" s="298" t="str">
        <f>F_Inputs!D158</f>
        <v>nr</v>
      </c>
      <c r="E158" s="298" t="str">
        <f>F_Inputs!E158</f>
        <v>Price Review 2024</v>
      </c>
      <c r="F158" s="301" t="str">
        <f>F_Inputs!F158</f>
        <v/>
      </c>
      <c r="G158" s="301" t="str">
        <f>F_Inputs!G158</f>
        <v/>
      </c>
      <c r="H158" s="301" t="str">
        <f>F_Inputs!H158</f>
        <v/>
      </c>
      <c r="I158" s="301" t="str">
        <f>F_Inputs!I158</f>
        <v/>
      </c>
      <c r="J158" s="301" t="str">
        <f>F_Inputs!J158</f>
        <v/>
      </c>
      <c r="K158" s="301" t="str">
        <f>F_Inputs!K158</f>
        <v/>
      </c>
      <c r="L158" s="301" t="str">
        <f>F_Inputs!L158</f>
        <v/>
      </c>
      <c r="Q158" s="3" t="str">
        <f t="shared" si="25"/>
        <v>CWW20A</v>
      </c>
      <c r="R158" s="296" t="str">
        <f t="shared" si="26"/>
        <v/>
      </c>
      <c r="S158" s="296" t="str">
        <f t="shared" si="27"/>
        <v/>
      </c>
      <c r="T158" s="296">
        <f t="shared" si="28"/>
        <v>0</v>
      </c>
      <c r="U158" s="296">
        <f t="shared" si="29"/>
        <v>0</v>
      </c>
      <c r="V158" s="296">
        <f t="shared" si="30"/>
        <v>0</v>
      </c>
      <c r="W158" s="296">
        <f t="shared" si="31"/>
        <v>0</v>
      </c>
      <c r="X158" s="296">
        <f t="shared" si="32"/>
        <v>0</v>
      </c>
    </row>
    <row r="159" spans="1:24" s="296" customFormat="1" ht="13.15">
      <c r="A159" s="298" t="str">
        <f>F_Inputs!A159</f>
        <v>YKY</v>
      </c>
      <c r="B159" s="298" t="str">
        <f>F_Inputs!B159</f>
        <v>CWW20A_051_PR24</v>
      </c>
      <c r="C159" s="298" t="str">
        <f>F_Inputs!C159</f>
        <v>Network / Storm overflow data - Number of new MCERTs flow monitors (PFF) installed at SPSs with combined emergency and storm overflows.</v>
      </c>
      <c r="D159" s="298" t="str">
        <f>F_Inputs!D159</f>
        <v>nr</v>
      </c>
      <c r="E159" s="298" t="str">
        <f>F_Inputs!E159</f>
        <v>Price Review 2024</v>
      </c>
      <c r="F159" s="301" t="str">
        <f>F_Inputs!F159</f>
        <v/>
      </c>
      <c r="G159" s="301" t="str">
        <f>F_Inputs!G159</f>
        <v/>
      </c>
      <c r="H159" s="301" t="str">
        <f>F_Inputs!H159</f>
        <v/>
      </c>
      <c r="I159" s="301" t="str">
        <f>F_Inputs!I159</f>
        <v/>
      </c>
      <c r="J159" s="301" t="str">
        <f>F_Inputs!J159</f>
        <v/>
      </c>
      <c r="K159" s="301" t="str">
        <f>F_Inputs!K159</f>
        <v/>
      </c>
      <c r="L159" s="301" t="str">
        <f>F_Inputs!L159</f>
        <v/>
      </c>
      <c r="Q159" s="3" t="str">
        <f t="shared" si="25"/>
        <v>CWW20A</v>
      </c>
      <c r="R159" s="296" t="str">
        <f t="shared" si="26"/>
        <v/>
      </c>
      <c r="S159" s="296" t="str">
        <f t="shared" si="27"/>
        <v/>
      </c>
      <c r="T159" s="296">
        <f t="shared" si="28"/>
        <v>0</v>
      </c>
      <c r="U159" s="296">
        <f t="shared" si="29"/>
        <v>0</v>
      </c>
      <c r="V159" s="296">
        <f t="shared" si="30"/>
        <v>0</v>
      </c>
      <c r="W159" s="296">
        <f t="shared" si="31"/>
        <v>0</v>
      </c>
      <c r="X159" s="296">
        <f t="shared" si="32"/>
        <v>0</v>
      </c>
    </row>
    <row r="160" spans="1:24" s="296" customFormat="1" ht="13.15">
      <c r="A160" s="298" t="str">
        <f>F_Inputs!A160</f>
        <v>YKY</v>
      </c>
      <c r="B160" s="298" t="str">
        <f>F_Inputs!B160</f>
        <v>CWW1A_015TOT_PR24</v>
      </c>
      <c r="C160" s="298" t="str">
        <f>F_Inputs!C160</f>
        <v>Net totex - Total</v>
      </c>
      <c r="D160" s="298" t="str">
        <f>F_Inputs!D160</f>
        <v>£m</v>
      </c>
      <c r="E160" s="298" t="str">
        <f>F_Inputs!E160</f>
        <v>Price Review 2024</v>
      </c>
      <c r="F160" s="301">
        <f>F_Inputs!F160</f>
        <v>693.74750999218065</v>
      </c>
      <c r="G160" s="301">
        <f>F_Inputs!G160</f>
        <v>850.50580882322231</v>
      </c>
      <c r="H160" s="301">
        <f>F_Inputs!H160</f>
        <v>862.90684243736268</v>
      </c>
      <c r="I160" s="301">
        <f>F_Inputs!I160</f>
        <v>1023.836972489322</v>
      </c>
      <c r="J160" s="301">
        <f>F_Inputs!J160</f>
        <v>974.11492033814147</v>
      </c>
      <c r="K160" s="301">
        <f>F_Inputs!K160</f>
        <v>886.57950053133004</v>
      </c>
      <c r="L160" s="301">
        <f>F_Inputs!L160</f>
        <v>783.01520971339971</v>
      </c>
      <c r="Q160" s="3" t="str">
        <f t="shared" si="25"/>
        <v>CWW1A_</v>
      </c>
      <c r="R160" s="296">
        <f t="shared" si="26"/>
        <v>0</v>
      </c>
      <c r="S160" s="296">
        <f t="shared" si="27"/>
        <v>0</v>
      </c>
      <c r="T160" s="296">
        <f t="shared" si="28"/>
        <v>862.90684243736268</v>
      </c>
      <c r="U160" s="296">
        <f t="shared" si="29"/>
        <v>1023.836972489322</v>
      </c>
      <c r="V160" s="296">
        <f t="shared" si="30"/>
        <v>974.11492033814147</v>
      </c>
      <c r="W160" s="296">
        <f t="shared" si="31"/>
        <v>886.57950053133004</v>
      </c>
      <c r="X160" s="296">
        <f t="shared" si="32"/>
        <v>783.01520971339971</v>
      </c>
    </row>
    <row r="161" spans="1:17">
      <c r="A161" s="213"/>
      <c r="B161" s="213"/>
      <c r="C161" s="213"/>
      <c r="D161" s="213"/>
      <c r="E161" s="213"/>
      <c r="F161" s="214"/>
      <c r="G161" s="214"/>
      <c r="H161" s="214"/>
      <c r="I161" s="214"/>
      <c r="J161" s="214"/>
      <c r="K161" s="214"/>
      <c r="L161" s="214"/>
      <c r="Q161" s="37"/>
    </row>
    <row r="162" spans="1:17">
      <c r="A162" s="213"/>
      <c r="B162" s="213"/>
      <c r="C162" s="213"/>
      <c r="D162" s="213"/>
      <c r="E162" s="213"/>
      <c r="F162" s="214"/>
      <c r="G162" s="214"/>
      <c r="H162" s="214"/>
      <c r="I162" s="214"/>
      <c r="J162" s="214"/>
      <c r="K162" s="214"/>
      <c r="L162" s="214"/>
      <c r="Q162" s="37"/>
    </row>
  </sheetData>
  <phoneticPr fontId="4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C3B5E-ADD0-4DD4-B7AB-551560881C7E}">
  <sheetPr>
    <tabColor rgb="FFFFDB8E"/>
  </sheetPr>
  <dimension ref="A1:K160"/>
  <sheetViews>
    <sheetView showGridLines="0" zoomScale="80" zoomScaleNormal="80" workbookViewId="0"/>
  </sheetViews>
  <sheetFormatPr defaultRowHeight="12.75"/>
  <cols>
    <col min="1" max="1" width="10.28515625" customWidth="1"/>
    <col min="2" max="2" width="42.7109375" customWidth="1"/>
    <col min="3" max="3" width="143.42578125" bestFit="1" customWidth="1"/>
    <col min="4" max="4" width="10.42578125" customWidth="1"/>
    <col min="5" max="11" width="9.140625" customWidth="1"/>
  </cols>
  <sheetData>
    <row r="1" spans="1:11" ht="30.75">
      <c r="A1" s="1" t="e">
        <f ca="1" xml:space="preserve"> RIGHT(CELL("filename", $A$1), LEN(CELL("filename", $A$1)) - SEARCH("]", CELL("filename", $A$1)))</f>
        <v>#VALUE!</v>
      </c>
      <c r="B1" s="1"/>
      <c r="C1" s="1"/>
      <c r="D1" s="1"/>
      <c r="E1" s="1"/>
      <c r="F1" s="1"/>
      <c r="G1" s="1"/>
      <c r="H1" s="1"/>
      <c r="I1" s="1"/>
      <c r="J1" s="1"/>
      <c r="K1" s="1"/>
    </row>
    <row r="3" spans="1:11">
      <c r="E3" s="343"/>
      <c r="F3" s="343"/>
      <c r="G3" s="343"/>
      <c r="H3" s="343"/>
      <c r="I3" s="343"/>
      <c r="J3" s="343"/>
      <c r="K3" s="343"/>
    </row>
    <row r="4" spans="1:11" ht="13.15">
      <c r="A4" s="177" t="s">
        <v>67</v>
      </c>
      <c r="B4" s="178" t="s">
        <v>117</v>
      </c>
      <c r="C4" s="178" t="s">
        <v>118</v>
      </c>
      <c r="D4" s="178" t="s">
        <v>119</v>
      </c>
      <c r="E4" s="179" t="s">
        <v>72</v>
      </c>
      <c r="F4" s="179" t="s">
        <v>73</v>
      </c>
      <c r="G4" s="179" t="s">
        <v>74</v>
      </c>
      <c r="H4" s="179" t="s">
        <v>75</v>
      </c>
      <c r="I4" s="179" t="s">
        <v>76</v>
      </c>
      <c r="J4" s="179" t="s">
        <v>77</v>
      </c>
      <c r="K4" s="180" t="s">
        <v>78</v>
      </c>
    </row>
    <row r="5" spans="1:11" ht="13.15">
      <c r="A5" s="181" t="str">
        <f>F_Inputs!A7</f>
        <v>ANH</v>
      </c>
      <c r="B5" s="181" t="str">
        <f>F_Inputs!B7</f>
        <v>CWW3_010TOT_PR24</v>
      </c>
      <c r="C5" s="181" t="str">
        <f>F_Inputs!C7</f>
        <v>EA/NRW environmental programme wastewater (WINEP/NEP) - MCERTs monitoring at emergency sewage pumping station overflows (WINEP/NEP) wastewater capex - Total</v>
      </c>
      <c r="D5" s="181" t="str">
        <f>F_Inputs!D8</f>
        <v>£m</v>
      </c>
      <c r="E5" s="182">
        <f ca="1">SUMIFS('F_Inputs adjusted'!R:R,'F_Inputs adjusted'!$A:$A,$A5,'F_Inputs adjusted'!$B:$B,$B5)</f>
        <v>0</v>
      </c>
      <c r="F5" s="182">
        <f ca="1">SUMIFS('F_Inputs adjusted'!S:S,'F_Inputs adjusted'!$A:$A,$A5,'F_Inputs adjusted'!$B:$B,$B5)</f>
        <v>0</v>
      </c>
      <c r="G5" s="182">
        <f ca="1">SUMIFS('F_Inputs adjusted'!T:T,'F_Inputs adjusted'!$A:$A,$A5,'F_Inputs adjusted'!$B:$B,$B5)</f>
        <v>5.0359999999999996</v>
      </c>
      <c r="H5" s="182">
        <f ca="1">SUMIFS('F_Inputs adjusted'!U:U,'F_Inputs adjusted'!$A:$A,$A5,'F_Inputs adjusted'!$B:$B,$B5)</f>
        <v>8.968</v>
      </c>
      <c r="I5" s="182">
        <f ca="1">SUMIFS('F_Inputs adjusted'!V:V,'F_Inputs adjusted'!$A:$A,$A5,'F_Inputs adjusted'!$B:$B,$B5)</f>
        <v>11.082000000000001</v>
      </c>
      <c r="J5" s="182">
        <f ca="1">SUMIFS('F_Inputs adjusted'!W:W,'F_Inputs adjusted'!$A:$A,$A5,'F_Inputs adjusted'!$B:$B,$B5)</f>
        <v>11.465999999999999</v>
      </c>
      <c r="K5" s="182">
        <f ca="1">SUMIFS('F_Inputs adjusted'!X:X,'F_Inputs adjusted'!$A:$A,$A5,'F_Inputs adjusted'!$B:$B,$B5)</f>
        <v>11.129</v>
      </c>
    </row>
    <row r="6" spans="1:11" ht="13.15">
      <c r="A6" s="181" t="str">
        <f>F_Inputs!A8</f>
        <v>ANH</v>
      </c>
      <c r="B6" s="181" t="str">
        <f>F_Inputs!B8</f>
        <v>CWW3_011TOT_PR24</v>
      </c>
      <c r="C6" s="181" t="str">
        <f>F_Inputs!C8</f>
        <v>EA/NRW environmental programme wastewater (WINEP/NEP) - MCERTs monitoring at emergency sewage pumping station overflows (WINEP/NEP) wastewater opex - Total</v>
      </c>
      <c r="D6" s="181" t="str">
        <f>F_Inputs!D9</f>
        <v>£m</v>
      </c>
      <c r="E6" s="182">
        <f ca="1">SUMIFS('F_Inputs adjusted'!R:R,'F_Inputs adjusted'!$A:$A,$A6,'F_Inputs adjusted'!$B:$B,$B6)</f>
        <v>0</v>
      </c>
      <c r="F6" s="182">
        <f ca="1">SUMIFS('F_Inputs adjusted'!S:S,'F_Inputs adjusted'!$A:$A,$A6,'F_Inputs adjusted'!$B:$B,$B6)</f>
        <v>0</v>
      </c>
      <c r="G6" s="182">
        <f ca="1">SUMIFS('F_Inputs adjusted'!T:T,'F_Inputs adjusted'!$A:$A,$A6,'F_Inputs adjusted'!$B:$B,$B6)</f>
        <v>0</v>
      </c>
      <c r="H6" s="182">
        <f ca="1">SUMIFS('F_Inputs adjusted'!U:U,'F_Inputs adjusted'!$A:$A,$A6,'F_Inputs adjusted'!$B:$B,$B6)</f>
        <v>2.1000000000000001E-2</v>
      </c>
      <c r="I6" s="182">
        <f ca="1">SUMIFS('F_Inputs adjusted'!V:V,'F_Inputs adjusted'!$A:$A,$A6,'F_Inputs adjusted'!$B:$B,$B6)</f>
        <v>5.4000000000000013E-2</v>
      </c>
      <c r="J6" s="182">
        <f ca="1">SUMIFS('F_Inputs adjusted'!W:W,'F_Inputs adjusted'!$A:$A,$A6,'F_Inputs adjusted'!$B:$B,$B6)</f>
        <v>9.6000000000000002E-2</v>
      </c>
      <c r="K6" s="182">
        <f ca="1">SUMIFS('F_Inputs adjusted'!X:X,'F_Inputs adjusted'!$A:$A,$A6,'F_Inputs adjusted'!$B:$B,$B6)</f>
        <v>0.125</v>
      </c>
    </row>
    <row r="7" spans="1:11" ht="13.15">
      <c r="A7" s="181" t="str">
        <f>F_Inputs!A9</f>
        <v>ANH</v>
      </c>
      <c r="B7" s="181" t="str">
        <f>F_Inputs!B9</f>
        <v>CWW3_012TOT_PR24</v>
      </c>
      <c r="C7" s="181" t="str">
        <f>F_Inputs!C9</f>
        <v>EA/NRW environmental programme wastewater (WINEP/NEP) - MCERTs monitoring at emergency sewage pumping station overflows (WINEP/NEP) wastewater totex - Total</v>
      </c>
      <c r="D7" s="181" t="str">
        <f>F_Inputs!D10</f>
        <v>£m</v>
      </c>
      <c r="E7" s="182">
        <f ca="1">SUMIFS('F_Inputs adjusted'!R:R,'F_Inputs adjusted'!$A:$A,$A7,'F_Inputs adjusted'!$B:$B,$B7)</f>
        <v>0</v>
      </c>
      <c r="F7" s="182">
        <f ca="1">SUMIFS('F_Inputs adjusted'!S:S,'F_Inputs adjusted'!$A:$A,$A7,'F_Inputs adjusted'!$B:$B,$B7)</f>
        <v>0</v>
      </c>
      <c r="G7" s="182">
        <f ca="1">SUMIFS('F_Inputs adjusted'!T:T,'F_Inputs adjusted'!$A:$A,$A7,'F_Inputs adjusted'!$B:$B,$B7)</f>
        <v>5.0359999999999996</v>
      </c>
      <c r="H7" s="182">
        <f ca="1">SUMIFS('F_Inputs adjusted'!U:U,'F_Inputs adjusted'!$A:$A,$A7,'F_Inputs adjusted'!$B:$B,$B7)</f>
        <v>8.988999999999999</v>
      </c>
      <c r="I7" s="182">
        <f ca="1">SUMIFS('F_Inputs adjusted'!V:V,'F_Inputs adjusted'!$A:$A,$A7,'F_Inputs adjusted'!$B:$B,$B7)</f>
        <v>11.135999999999999</v>
      </c>
      <c r="J7" s="182">
        <f ca="1">SUMIFS('F_Inputs adjusted'!W:W,'F_Inputs adjusted'!$A:$A,$A7,'F_Inputs adjusted'!$B:$B,$B7)</f>
        <v>11.561999999999999</v>
      </c>
      <c r="K7" s="182">
        <f ca="1">SUMIFS('F_Inputs adjusted'!X:X,'F_Inputs adjusted'!$A:$A,$A7,'F_Inputs adjusted'!$B:$B,$B7)</f>
        <v>11.254</v>
      </c>
    </row>
    <row r="8" spans="1:11" ht="13.15">
      <c r="A8" s="181" t="str">
        <f>F_Inputs!A10</f>
        <v>ANH</v>
      </c>
      <c r="B8" s="181" t="str">
        <f>F_Inputs!B10</f>
        <v>CWW12_010TOT_PR24</v>
      </c>
      <c r="C8" s="181" t="str">
        <f>F_Inputs!C10</f>
        <v>EA/NRW environmental programme wastewater (WINEP/NEP) - MCERTs monitoring at emergency sewage pumping station overflows (WINEP/NEP) wastewater capex - Total</v>
      </c>
      <c r="D8" s="181" t="str">
        <f>F_Inputs!D11</f>
        <v>£m</v>
      </c>
      <c r="E8" s="182">
        <f ca="1">SUMIFS('F_Inputs adjusted'!R:R,'F_Inputs adjusted'!$A:$A,$A8,'F_Inputs adjusted'!$B:$B,$B8)</f>
        <v>2E-3</v>
      </c>
      <c r="F8" s="182">
        <f ca="1">SUMIFS('F_Inputs adjusted'!S:S,'F_Inputs adjusted'!$A:$A,$A8,'F_Inputs adjusted'!$B:$B,$B8)</f>
        <v>4.8000000000000008E-2</v>
      </c>
      <c r="G8" s="182">
        <f ca="1">SUMIFS('F_Inputs adjusted'!T:T,'F_Inputs adjusted'!$A:$A,$A8,'F_Inputs adjusted'!$B:$B,$B8)</f>
        <v>0</v>
      </c>
      <c r="H8" s="182">
        <f ca="1">SUMIFS('F_Inputs adjusted'!U:U,'F_Inputs adjusted'!$A:$A,$A8,'F_Inputs adjusted'!$B:$B,$B8)</f>
        <v>0</v>
      </c>
      <c r="I8" s="182">
        <f ca="1">SUMIFS('F_Inputs adjusted'!V:V,'F_Inputs adjusted'!$A:$A,$A8,'F_Inputs adjusted'!$B:$B,$B8)</f>
        <v>0</v>
      </c>
      <c r="J8" s="182">
        <f ca="1">SUMIFS('F_Inputs adjusted'!W:W,'F_Inputs adjusted'!$A:$A,$A8,'F_Inputs adjusted'!$B:$B,$B8)</f>
        <v>0</v>
      </c>
      <c r="K8" s="182">
        <f ca="1">SUMIFS('F_Inputs adjusted'!X:X,'F_Inputs adjusted'!$A:$A,$A8,'F_Inputs adjusted'!$B:$B,$B8)</f>
        <v>0</v>
      </c>
    </row>
    <row r="9" spans="1:11" ht="13.15">
      <c r="A9" s="181" t="str">
        <f>F_Inputs!A11</f>
        <v>ANH</v>
      </c>
      <c r="B9" s="181" t="str">
        <f>F_Inputs!B11</f>
        <v>CWW12_011TOT_PR24</v>
      </c>
      <c r="C9" s="181" t="str">
        <f>F_Inputs!C11</f>
        <v>EA/NRW environmental programme wastewater (WINEP/NEP) - MCERTs monitoring at emergency sewage pumping station overflows (WINEP/NEP) wastewater opex - Total</v>
      </c>
      <c r="D9" s="181" t="str">
        <f>F_Inputs!D12</f>
        <v>£m</v>
      </c>
      <c r="E9" s="182">
        <f ca="1">SUMIFS('F_Inputs adjusted'!R:R,'F_Inputs adjusted'!$A:$A,$A9,'F_Inputs adjusted'!$B:$B,$B9)</f>
        <v>0</v>
      </c>
      <c r="F9" s="182">
        <f ca="1">SUMIFS('F_Inputs adjusted'!S:S,'F_Inputs adjusted'!$A:$A,$A9,'F_Inputs adjusted'!$B:$B,$B9)</f>
        <v>0</v>
      </c>
      <c r="G9" s="182">
        <f ca="1">SUMIFS('F_Inputs adjusted'!T:T,'F_Inputs adjusted'!$A:$A,$A9,'F_Inputs adjusted'!$B:$B,$B9)</f>
        <v>0</v>
      </c>
      <c r="H9" s="182">
        <f ca="1">SUMIFS('F_Inputs adjusted'!U:U,'F_Inputs adjusted'!$A:$A,$A9,'F_Inputs adjusted'!$B:$B,$B9)</f>
        <v>0</v>
      </c>
      <c r="I9" s="182">
        <f ca="1">SUMIFS('F_Inputs adjusted'!V:V,'F_Inputs adjusted'!$A:$A,$A9,'F_Inputs adjusted'!$B:$B,$B9)</f>
        <v>0</v>
      </c>
      <c r="J9" s="182">
        <f ca="1">SUMIFS('F_Inputs adjusted'!W:W,'F_Inputs adjusted'!$A:$A,$A9,'F_Inputs adjusted'!$B:$B,$B9)</f>
        <v>0</v>
      </c>
      <c r="K9" s="182">
        <f ca="1">SUMIFS('F_Inputs adjusted'!X:X,'F_Inputs adjusted'!$A:$A,$A9,'F_Inputs adjusted'!$B:$B,$B9)</f>
        <v>0</v>
      </c>
    </row>
    <row r="10" spans="1:11" ht="13.15">
      <c r="A10" s="181" t="str">
        <f>F_Inputs!A12</f>
        <v>ANH</v>
      </c>
      <c r="B10" s="181" t="str">
        <f>F_Inputs!B12</f>
        <v>CWW12_012TOT_PR24</v>
      </c>
      <c r="C10" s="181" t="str">
        <f>F_Inputs!C12</f>
        <v>EA/NRW environmental programme wastewater (WINEP/NEP) - MCERTs monitoring at emergency sewage pumping station overflows (WINEP/NEP) wastewater totex - Total</v>
      </c>
      <c r="D10" s="181" t="str">
        <f>F_Inputs!D13</f>
        <v>£m</v>
      </c>
      <c r="E10" s="182">
        <f ca="1">SUMIFS('F_Inputs adjusted'!R:R,'F_Inputs adjusted'!$A:$A,$A10,'F_Inputs adjusted'!$B:$B,$B10)</f>
        <v>2E-3</v>
      </c>
      <c r="F10" s="182">
        <f ca="1">SUMIFS('F_Inputs adjusted'!S:S,'F_Inputs adjusted'!$A:$A,$A10,'F_Inputs adjusted'!$B:$B,$B10)</f>
        <v>4.8000000000000008E-2</v>
      </c>
      <c r="G10" s="182">
        <f ca="1">SUMIFS('F_Inputs adjusted'!T:T,'F_Inputs adjusted'!$A:$A,$A10,'F_Inputs adjusted'!$B:$B,$B10)</f>
        <v>0</v>
      </c>
      <c r="H10" s="182">
        <f ca="1">SUMIFS('F_Inputs adjusted'!U:U,'F_Inputs adjusted'!$A:$A,$A10,'F_Inputs adjusted'!$B:$B,$B10)</f>
        <v>0</v>
      </c>
      <c r="I10" s="182">
        <f ca="1">SUMIFS('F_Inputs adjusted'!V:V,'F_Inputs adjusted'!$A:$A,$A10,'F_Inputs adjusted'!$B:$B,$B10)</f>
        <v>0</v>
      </c>
      <c r="J10" s="182">
        <f ca="1">SUMIFS('F_Inputs adjusted'!W:W,'F_Inputs adjusted'!$A:$A,$A10,'F_Inputs adjusted'!$B:$B,$B10)</f>
        <v>0</v>
      </c>
      <c r="K10" s="182">
        <f ca="1">SUMIFS('F_Inputs adjusted'!X:X,'F_Inputs adjusted'!$A:$A,$A10,'F_Inputs adjusted'!$B:$B,$B10)</f>
        <v>0</v>
      </c>
    </row>
    <row r="11" spans="1:11" ht="13.15">
      <c r="A11" s="181" t="str">
        <f>F_Inputs!A13</f>
        <v>ANH</v>
      </c>
      <c r="B11" s="181" t="str">
        <f>F_Inputs!B13</f>
        <v>CWW17_010TOT_PR24</v>
      </c>
      <c r="C11" s="181" t="str">
        <f>F_Inputs!C13</f>
        <v>EA/NRW environmental programme wastewater (WINEP/NEP) - MCERTs monitoring at emergency sewage pumping station overflows (WINEP/NEP) wastewater capex - Total</v>
      </c>
      <c r="D11" s="181" t="str">
        <f>F_Inputs!D14</f>
        <v>£m</v>
      </c>
      <c r="E11" s="182">
        <f ca="1">SUMIFS('F_Inputs adjusted'!R:R,'F_Inputs adjusted'!$A:$A,$A11,'F_Inputs adjusted'!$B:$B,$B11)</f>
        <v>0</v>
      </c>
      <c r="F11" s="182">
        <f ca="1">SUMIFS('F_Inputs adjusted'!S:S,'F_Inputs adjusted'!$A:$A,$A11,'F_Inputs adjusted'!$B:$B,$B11)</f>
        <v>0</v>
      </c>
      <c r="G11" s="182">
        <f ca="1">SUMIFS('F_Inputs adjusted'!T:T,'F_Inputs adjusted'!$A:$A,$A11,'F_Inputs adjusted'!$B:$B,$B11)</f>
        <v>0</v>
      </c>
      <c r="H11" s="182">
        <f ca="1">SUMIFS('F_Inputs adjusted'!U:U,'F_Inputs adjusted'!$A:$A,$A11,'F_Inputs adjusted'!$B:$B,$B11)</f>
        <v>0</v>
      </c>
      <c r="I11" s="182">
        <f ca="1">SUMIFS('F_Inputs adjusted'!V:V,'F_Inputs adjusted'!$A:$A,$A11,'F_Inputs adjusted'!$B:$B,$B11)</f>
        <v>0</v>
      </c>
      <c r="J11" s="182">
        <f ca="1">SUMIFS('F_Inputs adjusted'!W:W,'F_Inputs adjusted'!$A:$A,$A11,'F_Inputs adjusted'!$B:$B,$B11)</f>
        <v>0</v>
      </c>
      <c r="K11" s="182">
        <f ca="1">SUMIFS('F_Inputs adjusted'!X:X,'F_Inputs adjusted'!$A:$A,$A11,'F_Inputs adjusted'!$B:$B,$B11)</f>
        <v>0</v>
      </c>
    </row>
    <row r="12" spans="1:11" ht="13.15">
      <c r="A12" s="181" t="str">
        <f>F_Inputs!A14</f>
        <v>ANH</v>
      </c>
      <c r="B12" s="181" t="str">
        <f>F_Inputs!B14</f>
        <v>CWW17_011TOT_PR24</v>
      </c>
      <c r="C12" s="181" t="str">
        <f>F_Inputs!C14</f>
        <v>EA/NRW environmental programme wastewater (WINEP/NEP) - MCERTs monitoring at emergency sewage pumping station overflows (WINEP/NEP) wastewater opex - Total</v>
      </c>
      <c r="D12" s="181" t="str">
        <f>F_Inputs!D15</f>
        <v>£m</v>
      </c>
      <c r="E12" s="182">
        <f ca="1">SUMIFS('F_Inputs adjusted'!R:R,'F_Inputs adjusted'!$A:$A,$A12,'F_Inputs adjusted'!$B:$B,$B12)</f>
        <v>0</v>
      </c>
      <c r="F12" s="182">
        <f ca="1">SUMIFS('F_Inputs adjusted'!S:S,'F_Inputs adjusted'!$A:$A,$A12,'F_Inputs adjusted'!$B:$B,$B12)</f>
        <v>0</v>
      </c>
      <c r="G12" s="182">
        <f ca="1">SUMIFS('F_Inputs adjusted'!T:T,'F_Inputs adjusted'!$A:$A,$A12,'F_Inputs adjusted'!$B:$B,$B12)</f>
        <v>0</v>
      </c>
      <c r="H12" s="182">
        <f ca="1">SUMIFS('F_Inputs adjusted'!U:U,'F_Inputs adjusted'!$A:$A,$A12,'F_Inputs adjusted'!$B:$B,$B12)</f>
        <v>0</v>
      </c>
      <c r="I12" s="182">
        <f ca="1">SUMIFS('F_Inputs adjusted'!V:V,'F_Inputs adjusted'!$A:$A,$A12,'F_Inputs adjusted'!$B:$B,$B12)</f>
        <v>0</v>
      </c>
      <c r="J12" s="182">
        <f ca="1">SUMIFS('F_Inputs adjusted'!W:W,'F_Inputs adjusted'!$A:$A,$A12,'F_Inputs adjusted'!$B:$B,$B12)</f>
        <v>0</v>
      </c>
      <c r="K12" s="182">
        <f ca="1">SUMIFS('F_Inputs adjusted'!X:X,'F_Inputs adjusted'!$A:$A,$A12,'F_Inputs adjusted'!$B:$B,$B12)</f>
        <v>0</v>
      </c>
    </row>
    <row r="13" spans="1:11" ht="13.15">
      <c r="A13" s="181" t="str">
        <f>F_Inputs!A15</f>
        <v>ANH</v>
      </c>
      <c r="B13" s="181" t="str">
        <f>F_Inputs!B15</f>
        <v>CWW17_012TOT_PR24</v>
      </c>
      <c r="C13" s="181" t="str">
        <f>F_Inputs!C15</f>
        <v>EA/NRW environmental programme wastewater (WINEP/NEP) - MCERTs monitoring at emergency sewage pumping station overflows (WINEP/NEP) wastewater totex - Total</v>
      </c>
      <c r="D13" s="181" t="str">
        <f>F_Inputs!D16</f>
        <v>nr</v>
      </c>
      <c r="E13" s="182">
        <f ca="1">SUMIFS('F_Inputs adjusted'!R:R,'F_Inputs adjusted'!$A:$A,$A13,'F_Inputs adjusted'!$B:$B,$B13)</f>
        <v>0</v>
      </c>
      <c r="F13" s="182">
        <f ca="1">SUMIFS('F_Inputs adjusted'!S:S,'F_Inputs adjusted'!$A:$A,$A13,'F_Inputs adjusted'!$B:$B,$B13)</f>
        <v>0</v>
      </c>
      <c r="G13" s="182">
        <f ca="1">SUMIFS('F_Inputs adjusted'!T:T,'F_Inputs adjusted'!$A:$A,$A13,'F_Inputs adjusted'!$B:$B,$B13)</f>
        <v>0</v>
      </c>
      <c r="H13" s="182">
        <f ca="1">SUMIFS('F_Inputs adjusted'!U:U,'F_Inputs adjusted'!$A:$A,$A13,'F_Inputs adjusted'!$B:$B,$B13)</f>
        <v>0</v>
      </c>
      <c r="I13" s="182">
        <f ca="1">SUMIFS('F_Inputs adjusted'!V:V,'F_Inputs adjusted'!$A:$A,$A13,'F_Inputs adjusted'!$B:$B,$B13)</f>
        <v>0</v>
      </c>
      <c r="J13" s="182">
        <f ca="1">SUMIFS('F_Inputs adjusted'!W:W,'F_Inputs adjusted'!$A:$A,$A13,'F_Inputs adjusted'!$B:$B,$B13)</f>
        <v>0</v>
      </c>
      <c r="K13" s="182">
        <f ca="1">SUMIFS('F_Inputs adjusted'!X:X,'F_Inputs adjusted'!$A:$A,$A13,'F_Inputs adjusted'!$B:$B,$B13)</f>
        <v>0</v>
      </c>
    </row>
    <row r="14" spans="1:11" ht="13.15">
      <c r="A14" s="181" t="str">
        <f>F_Inputs!A16</f>
        <v>ANH</v>
      </c>
      <c r="B14" s="181" t="str">
        <f>F_Inputs!B16</f>
        <v>CWW20_050_PR24</v>
      </c>
      <c r="C14" s="181" t="str">
        <f>F_Inputs!C16</f>
        <v>Network / Storm overflow data - Number of new MCERTs event duration monitors installed at SPS emergency overflows</v>
      </c>
      <c r="D14" s="181" t="str">
        <f>F_Inputs!D17</f>
        <v>nr</v>
      </c>
      <c r="E14" s="182">
        <f ca="1">SUMIFS('F_Inputs adjusted'!R:R,'F_Inputs adjusted'!$A:$A,$A14,'F_Inputs adjusted'!$B:$B,$B14)</f>
        <v>0</v>
      </c>
      <c r="F14" s="182">
        <f ca="1">SUMIFS('F_Inputs adjusted'!S:S,'F_Inputs adjusted'!$A:$A,$A14,'F_Inputs adjusted'!$B:$B,$B14)</f>
        <v>0</v>
      </c>
      <c r="G14" s="182">
        <f ca="1">SUMIFS('F_Inputs adjusted'!T:T,'F_Inputs adjusted'!$A:$A,$A14,'F_Inputs adjusted'!$B:$B,$B14)</f>
        <v>0</v>
      </c>
      <c r="H14" s="182">
        <f ca="1">SUMIFS('F_Inputs adjusted'!U:U,'F_Inputs adjusted'!$A:$A,$A14,'F_Inputs adjusted'!$B:$B,$B14)</f>
        <v>276</v>
      </c>
      <c r="I14" s="182">
        <f ca="1">SUMIFS('F_Inputs adjusted'!V:V,'F_Inputs adjusted'!$A:$A,$A14,'F_Inputs adjusted'!$B:$B,$B14)</f>
        <v>344</v>
      </c>
      <c r="J14" s="182">
        <f ca="1">SUMIFS('F_Inputs adjusted'!W:W,'F_Inputs adjusted'!$A:$A,$A14,'F_Inputs adjusted'!$B:$B,$B14)</f>
        <v>478</v>
      </c>
      <c r="K14" s="182">
        <f ca="1">SUMIFS('F_Inputs adjusted'!X:X,'F_Inputs adjusted'!$A:$A,$A14,'F_Inputs adjusted'!$B:$B,$B14)</f>
        <v>820</v>
      </c>
    </row>
    <row r="15" spans="1:11" ht="13.15">
      <c r="A15" s="181" t="str">
        <f>F_Inputs!A17</f>
        <v>ANH</v>
      </c>
      <c r="B15" s="181" t="str">
        <f>F_Inputs!B17</f>
        <v>CWW20_051_PR24</v>
      </c>
      <c r="C15" s="181" t="str">
        <f>F_Inputs!C17</f>
        <v>Network / Storm overflow data - Number of new MCERTs flow monitors (PFF) installed at SPSs with combined emergency and storm overflows.</v>
      </c>
      <c r="D15" s="181" t="str">
        <f>F_Inputs!D18</f>
        <v>nr</v>
      </c>
      <c r="E15" s="182">
        <f ca="1">SUMIFS('F_Inputs adjusted'!R:R,'F_Inputs adjusted'!$A:$A,$A15,'F_Inputs adjusted'!$B:$B,$B15)</f>
        <v>0</v>
      </c>
      <c r="F15" s="182">
        <f ca="1">SUMIFS('F_Inputs adjusted'!S:S,'F_Inputs adjusted'!$A:$A,$A15,'F_Inputs adjusted'!$B:$B,$B15)</f>
        <v>0</v>
      </c>
      <c r="G15" s="182">
        <f ca="1">SUMIFS('F_Inputs adjusted'!T:T,'F_Inputs adjusted'!$A:$A,$A15,'F_Inputs adjusted'!$B:$B,$B15)</f>
        <v>0</v>
      </c>
      <c r="H15" s="182">
        <f ca="1">SUMIFS('F_Inputs adjusted'!U:U,'F_Inputs adjusted'!$A:$A,$A15,'F_Inputs adjusted'!$B:$B,$B15)</f>
        <v>137</v>
      </c>
      <c r="I15" s="182">
        <f ca="1">SUMIFS('F_Inputs adjusted'!V:V,'F_Inputs adjusted'!$A:$A,$A15,'F_Inputs adjusted'!$B:$B,$B15)</f>
        <v>130</v>
      </c>
      <c r="J15" s="182">
        <f ca="1">SUMIFS('F_Inputs adjusted'!W:W,'F_Inputs adjusted'!$A:$A,$A15,'F_Inputs adjusted'!$B:$B,$B15)</f>
        <v>232</v>
      </c>
      <c r="K15" s="182">
        <f ca="1">SUMIFS('F_Inputs adjusted'!X:X,'F_Inputs adjusted'!$A:$A,$A15,'F_Inputs adjusted'!$B:$B,$B15)</f>
        <v>0</v>
      </c>
    </row>
    <row r="16" spans="1:11" ht="13.15">
      <c r="A16" s="181" t="str">
        <f>F_Inputs!A18</f>
        <v>ANH</v>
      </c>
      <c r="B16" s="181" t="str">
        <f>F_Inputs!B18</f>
        <v>CWW20A_050_PR24</v>
      </c>
      <c r="C16" s="181" t="str">
        <f>F_Inputs!C18</f>
        <v>Network / Storm overflow data - Number of new MCERTs event duration monitors installed at SPS emergency overflows</v>
      </c>
      <c r="D16" s="181" t="str">
        <f>F_Inputs!D19</f>
        <v>nr</v>
      </c>
      <c r="E16" s="182">
        <f ca="1">SUMIFS('F_Inputs adjusted'!R:R,'F_Inputs adjusted'!$A:$A,$A16,'F_Inputs adjusted'!$B:$B,$B16)</f>
        <v>0</v>
      </c>
      <c r="F16" s="182">
        <f ca="1">SUMIFS('F_Inputs adjusted'!S:S,'F_Inputs adjusted'!$A:$A,$A16,'F_Inputs adjusted'!$B:$B,$B16)</f>
        <v>0</v>
      </c>
      <c r="G16" s="182">
        <f ca="1">SUMIFS('F_Inputs adjusted'!T:T,'F_Inputs adjusted'!$A:$A,$A16,'F_Inputs adjusted'!$B:$B,$B16)</f>
        <v>0</v>
      </c>
      <c r="H16" s="182">
        <f ca="1">SUMIFS('F_Inputs adjusted'!U:U,'F_Inputs adjusted'!$A:$A,$A16,'F_Inputs adjusted'!$B:$B,$B16)</f>
        <v>0</v>
      </c>
      <c r="I16" s="182">
        <f ca="1">SUMIFS('F_Inputs adjusted'!V:V,'F_Inputs adjusted'!$A:$A,$A16,'F_Inputs adjusted'!$B:$B,$B16)</f>
        <v>0</v>
      </c>
      <c r="J16" s="182">
        <f ca="1">SUMIFS('F_Inputs adjusted'!W:W,'F_Inputs adjusted'!$A:$A,$A16,'F_Inputs adjusted'!$B:$B,$B16)</f>
        <v>0</v>
      </c>
      <c r="K16" s="182">
        <f ca="1">SUMIFS('F_Inputs adjusted'!X:X,'F_Inputs adjusted'!$A:$A,$A16,'F_Inputs adjusted'!$B:$B,$B16)</f>
        <v>0</v>
      </c>
    </row>
    <row r="17" spans="1:11" ht="13.15">
      <c r="A17" s="181" t="str">
        <f>F_Inputs!A19</f>
        <v>ANH</v>
      </c>
      <c r="B17" s="181" t="str">
        <f>F_Inputs!B19</f>
        <v>CWW20A_051_PR24</v>
      </c>
      <c r="C17" s="181" t="str">
        <f>F_Inputs!C19</f>
        <v>Network / Storm overflow data - Number of new MCERTs flow monitors (PFF) installed at SPSs with combined emergency and storm overflows.</v>
      </c>
      <c r="D17" s="181" t="str">
        <f>F_Inputs!D20</f>
        <v>£m</v>
      </c>
      <c r="E17" s="182">
        <f ca="1">SUMIFS('F_Inputs adjusted'!R:R,'F_Inputs adjusted'!$A:$A,$A17,'F_Inputs adjusted'!$B:$B,$B17)</f>
        <v>0</v>
      </c>
      <c r="F17" s="182">
        <f ca="1">SUMIFS('F_Inputs adjusted'!S:S,'F_Inputs adjusted'!$A:$A,$A17,'F_Inputs adjusted'!$B:$B,$B17)</f>
        <v>0</v>
      </c>
      <c r="G17" s="182">
        <f ca="1">SUMIFS('F_Inputs adjusted'!T:T,'F_Inputs adjusted'!$A:$A,$A17,'F_Inputs adjusted'!$B:$B,$B17)</f>
        <v>0</v>
      </c>
      <c r="H17" s="182">
        <f ca="1">SUMIFS('F_Inputs adjusted'!U:U,'F_Inputs adjusted'!$A:$A,$A17,'F_Inputs adjusted'!$B:$B,$B17)</f>
        <v>0</v>
      </c>
      <c r="I17" s="182">
        <f ca="1">SUMIFS('F_Inputs adjusted'!V:V,'F_Inputs adjusted'!$A:$A,$A17,'F_Inputs adjusted'!$B:$B,$B17)</f>
        <v>0</v>
      </c>
      <c r="J17" s="182">
        <f ca="1">SUMIFS('F_Inputs adjusted'!W:W,'F_Inputs adjusted'!$A:$A,$A17,'F_Inputs adjusted'!$B:$B,$B17)</f>
        <v>0</v>
      </c>
      <c r="K17" s="182">
        <f ca="1">SUMIFS('F_Inputs adjusted'!X:X,'F_Inputs adjusted'!$A:$A,$A17,'F_Inputs adjusted'!$B:$B,$B17)</f>
        <v>0</v>
      </c>
    </row>
    <row r="18" spans="1:11" ht="13.15">
      <c r="A18" s="181" t="str">
        <f>F_Inputs!A20</f>
        <v>ANH</v>
      </c>
      <c r="B18" s="181" t="str">
        <f>F_Inputs!B20</f>
        <v>CWW1A_015TOT_PR24</v>
      </c>
      <c r="C18" s="181" t="str">
        <f>F_Inputs!C20</f>
        <v>Net totex - Total</v>
      </c>
      <c r="D18" s="181" t="str">
        <f>F_Inputs!D21</f>
        <v>£m</v>
      </c>
      <c r="E18" s="182">
        <f ca="1">SUMIFS('F_Inputs adjusted'!R:R,'F_Inputs adjusted'!$A:$A,$A18,'F_Inputs adjusted'!$B:$B,$B18)</f>
        <v>0</v>
      </c>
      <c r="F18" s="182">
        <f ca="1">SUMIFS('F_Inputs adjusted'!S:S,'F_Inputs adjusted'!$A:$A,$A18,'F_Inputs adjusted'!$B:$B,$B18)</f>
        <v>0</v>
      </c>
      <c r="G18" s="182">
        <f ca="1">SUMIFS('F_Inputs adjusted'!T:T,'F_Inputs adjusted'!$A:$A,$A18,'F_Inputs adjusted'!$B:$B,$B18)</f>
        <v>918.35791855506159</v>
      </c>
      <c r="H18" s="182">
        <f ca="1">SUMIFS('F_Inputs adjusted'!U:U,'F_Inputs adjusted'!$A:$A,$A18,'F_Inputs adjusted'!$B:$B,$B18)</f>
        <v>1252.510714614566</v>
      </c>
      <c r="I18" s="182">
        <f ca="1">SUMIFS('F_Inputs adjusted'!V:V,'F_Inputs adjusted'!$A:$A,$A18,'F_Inputs adjusted'!$B:$B,$B18)</f>
        <v>1373.6720073368151</v>
      </c>
      <c r="J18" s="182">
        <f ca="1">SUMIFS('F_Inputs adjusted'!W:W,'F_Inputs adjusted'!$A:$A,$A18,'F_Inputs adjusted'!$B:$B,$B18)</f>
        <v>1412.752604889323</v>
      </c>
      <c r="K18" s="182">
        <f ca="1">SUMIFS('F_Inputs adjusted'!X:X,'F_Inputs adjusted'!$A:$A,$A18,'F_Inputs adjusted'!$B:$B,$B18)</f>
        <v>1043.517799885112</v>
      </c>
    </row>
    <row r="19" spans="1:11" ht="13.15">
      <c r="A19" s="181" t="str">
        <f>F_Inputs!A21</f>
        <v>WSH</v>
      </c>
      <c r="B19" s="181" t="str">
        <f>F_Inputs!B21</f>
        <v>CWW3_010TOT_PR24</v>
      </c>
      <c r="C19" s="181" t="str">
        <f>F_Inputs!C21</f>
        <v>EA/NRW environmental programme wastewater (WINEP/NEP) - MCERTs monitoring at emergency sewage pumping station overflows (WINEP/NEP) wastewater capex - Total</v>
      </c>
      <c r="D19" s="181" t="str">
        <f>F_Inputs!D22</f>
        <v>£m</v>
      </c>
      <c r="E19" s="182">
        <f ca="1">SUMIFS('F_Inputs adjusted'!R:R,'F_Inputs adjusted'!$A:$A,$A19,'F_Inputs adjusted'!$B:$B,$B19)</f>
        <v>0</v>
      </c>
      <c r="F19" s="182">
        <f ca="1">SUMIFS('F_Inputs adjusted'!S:S,'F_Inputs adjusted'!$A:$A,$A19,'F_Inputs adjusted'!$B:$B,$B19)</f>
        <v>0</v>
      </c>
      <c r="G19" s="182">
        <f ca="1">SUMIFS('F_Inputs adjusted'!T:T,'F_Inputs adjusted'!$A:$A,$A19,'F_Inputs adjusted'!$B:$B,$B19)</f>
        <v>3.8420000000000001</v>
      </c>
      <c r="H19" s="182">
        <f ca="1">SUMIFS('F_Inputs adjusted'!U:U,'F_Inputs adjusted'!$A:$A,$A19,'F_Inputs adjusted'!$B:$B,$B19)</f>
        <v>5.617</v>
      </c>
      <c r="I19" s="182">
        <f ca="1">SUMIFS('F_Inputs adjusted'!V:V,'F_Inputs adjusted'!$A:$A,$A19,'F_Inputs adjusted'!$B:$B,$B19)</f>
        <v>5.5249999999999986</v>
      </c>
      <c r="J19" s="182">
        <f ca="1">SUMIFS('F_Inputs adjusted'!W:W,'F_Inputs adjusted'!$A:$A,$A19,'F_Inputs adjusted'!$B:$B,$B19)</f>
        <v>3.722999999999999</v>
      </c>
      <c r="K19" s="182">
        <f ca="1">SUMIFS('F_Inputs adjusted'!X:X,'F_Inputs adjusted'!$A:$A,$A19,'F_Inputs adjusted'!$B:$B,$B19)</f>
        <v>0</v>
      </c>
    </row>
    <row r="20" spans="1:11" ht="13.15">
      <c r="A20" s="181" t="str">
        <f>F_Inputs!A22</f>
        <v>WSH</v>
      </c>
      <c r="B20" s="181" t="str">
        <f>F_Inputs!B22</f>
        <v>CWW3_011TOT_PR24</v>
      </c>
      <c r="C20" s="181" t="str">
        <f>F_Inputs!C22</f>
        <v>EA/NRW environmental programme wastewater (WINEP/NEP) - MCERTs monitoring at emergency sewage pumping station overflows (WINEP/NEP) wastewater opex - Total</v>
      </c>
      <c r="D20" s="181" t="str">
        <f>F_Inputs!D23</f>
        <v>£m</v>
      </c>
      <c r="E20" s="182">
        <f ca="1">SUMIFS('F_Inputs adjusted'!R:R,'F_Inputs adjusted'!$A:$A,$A20,'F_Inputs adjusted'!$B:$B,$B20)</f>
        <v>0</v>
      </c>
      <c r="F20" s="182">
        <f ca="1">SUMIFS('F_Inputs adjusted'!S:S,'F_Inputs adjusted'!$A:$A,$A20,'F_Inputs adjusted'!$B:$B,$B20)</f>
        <v>0</v>
      </c>
      <c r="G20" s="182">
        <f ca="1">SUMIFS('F_Inputs adjusted'!T:T,'F_Inputs adjusted'!$A:$A,$A20,'F_Inputs adjusted'!$B:$B,$B20)</f>
        <v>0.14000000000000001</v>
      </c>
      <c r="H20" s="182">
        <f ca="1">SUMIFS('F_Inputs adjusted'!U:U,'F_Inputs adjusted'!$A:$A,$A20,'F_Inputs adjusted'!$B:$B,$B20)</f>
        <v>0.35099999999999998</v>
      </c>
      <c r="I20" s="182">
        <f ca="1">SUMIFS('F_Inputs adjusted'!V:V,'F_Inputs adjusted'!$A:$A,$A20,'F_Inputs adjusted'!$B:$B,$B20)</f>
        <v>0.56700000000000006</v>
      </c>
      <c r="J20" s="182">
        <f ca="1">SUMIFS('F_Inputs adjusted'!W:W,'F_Inputs adjusted'!$A:$A,$A20,'F_Inputs adjusted'!$B:$B,$B20)</f>
        <v>0.71299999999999997</v>
      </c>
      <c r="K20" s="182">
        <f ca="1">SUMIFS('F_Inputs adjusted'!X:X,'F_Inputs adjusted'!$A:$A,$A20,'F_Inputs adjusted'!$B:$B,$B20)</f>
        <v>0.71399999999999997</v>
      </c>
    </row>
    <row r="21" spans="1:11" ht="13.15">
      <c r="A21" s="181" t="str">
        <f>F_Inputs!A23</f>
        <v>WSH</v>
      </c>
      <c r="B21" s="181" t="str">
        <f>F_Inputs!B23</f>
        <v>CWW3_012TOT_PR24</v>
      </c>
      <c r="C21" s="181" t="str">
        <f>F_Inputs!C23</f>
        <v>EA/NRW environmental programme wastewater (WINEP/NEP) - MCERTs monitoring at emergency sewage pumping station overflows (WINEP/NEP) wastewater totex - Total</v>
      </c>
      <c r="D21" s="181" t="str">
        <f>F_Inputs!D24</f>
        <v>£m</v>
      </c>
      <c r="E21" s="182">
        <f ca="1">SUMIFS('F_Inputs adjusted'!R:R,'F_Inputs adjusted'!$A:$A,$A21,'F_Inputs adjusted'!$B:$B,$B21)</f>
        <v>0</v>
      </c>
      <c r="F21" s="182">
        <f ca="1">SUMIFS('F_Inputs adjusted'!S:S,'F_Inputs adjusted'!$A:$A,$A21,'F_Inputs adjusted'!$B:$B,$B21)</f>
        <v>0</v>
      </c>
      <c r="G21" s="182">
        <f ca="1">SUMIFS('F_Inputs adjusted'!T:T,'F_Inputs adjusted'!$A:$A,$A21,'F_Inputs adjusted'!$B:$B,$B21)</f>
        <v>3.9820000000000002</v>
      </c>
      <c r="H21" s="182">
        <f ca="1">SUMIFS('F_Inputs adjusted'!U:U,'F_Inputs adjusted'!$A:$A,$A21,'F_Inputs adjusted'!$B:$B,$B21)</f>
        <v>5.9680000000000009</v>
      </c>
      <c r="I21" s="182">
        <f ca="1">SUMIFS('F_Inputs adjusted'!V:V,'F_Inputs adjusted'!$A:$A,$A21,'F_Inputs adjusted'!$B:$B,$B21)</f>
        <v>6.0919999999999996</v>
      </c>
      <c r="J21" s="182">
        <f ca="1">SUMIFS('F_Inputs adjusted'!W:W,'F_Inputs adjusted'!$A:$A,$A21,'F_Inputs adjusted'!$B:$B,$B21)</f>
        <v>4.4359999999999999</v>
      </c>
      <c r="K21" s="182">
        <f ca="1">SUMIFS('F_Inputs adjusted'!X:X,'F_Inputs adjusted'!$A:$A,$A21,'F_Inputs adjusted'!$B:$B,$B21)</f>
        <v>0.71399999999999997</v>
      </c>
    </row>
    <row r="22" spans="1:11" ht="13.15">
      <c r="A22" s="181" t="str">
        <f>F_Inputs!A24</f>
        <v>WSH</v>
      </c>
      <c r="B22" s="181" t="str">
        <f>F_Inputs!B24</f>
        <v>CWW12_010TOT_PR24</v>
      </c>
      <c r="C22" s="181" t="str">
        <f>F_Inputs!C24</f>
        <v>EA/NRW environmental programme wastewater (WINEP/NEP) - MCERTs monitoring at emergency sewage pumping station overflows (WINEP/NEP) wastewater capex - Total</v>
      </c>
      <c r="D22" s="181" t="str">
        <f>F_Inputs!D25</f>
        <v>£m</v>
      </c>
      <c r="E22" s="182">
        <f ca="1">SUMIFS('F_Inputs adjusted'!R:R,'F_Inputs adjusted'!$A:$A,$A22,'F_Inputs adjusted'!$B:$B,$B22)</f>
        <v>0</v>
      </c>
      <c r="F22" s="182">
        <f ca="1">SUMIFS('F_Inputs adjusted'!S:S,'F_Inputs adjusted'!$A:$A,$A22,'F_Inputs adjusted'!$B:$B,$B22)</f>
        <v>0</v>
      </c>
      <c r="G22" s="182">
        <f ca="1">SUMIFS('F_Inputs adjusted'!T:T,'F_Inputs adjusted'!$A:$A,$A22,'F_Inputs adjusted'!$B:$B,$B22)</f>
        <v>0</v>
      </c>
      <c r="H22" s="182">
        <f ca="1">SUMIFS('F_Inputs adjusted'!U:U,'F_Inputs adjusted'!$A:$A,$A22,'F_Inputs adjusted'!$B:$B,$B22)</f>
        <v>0</v>
      </c>
      <c r="I22" s="182">
        <f ca="1">SUMIFS('F_Inputs adjusted'!V:V,'F_Inputs adjusted'!$A:$A,$A22,'F_Inputs adjusted'!$B:$B,$B22)</f>
        <v>0</v>
      </c>
      <c r="J22" s="182">
        <f ca="1">SUMIFS('F_Inputs adjusted'!W:W,'F_Inputs adjusted'!$A:$A,$A22,'F_Inputs adjusted'!$B:$B,$B22)</f>
        <v>0</v>
      </c>
      <c r="K22" s="182">
        <f ca="1">SUMIFS('F_Inputs adjusted'!X:X,'F_Inputs adjusted'!$A:$A,$A22,'F_Inputs adjusted'!$B:$B,$B22)</f>
        <v>0</v>
      </c>
    </row>
    <row r="23" spans="1:11" ht="13.15">
      <c r="A23" s="181" t="str">
        <f>F_Inputs!A25</f>
        <v>WSH</v>
      </c>
      <c r="B23" s="181" t="str">
        <f>F_Inputs!B25</f>
        <v>CWW12_011TOT_PR24</v>
      </c>
      <c r="C23" s="181" t="str">
        <f>F_Inputs!C25</f>
        <v>EA/NRW environmental programme wastewater (WINEP/NEP) - MCERTs monitoring at emergency sewage pumping station overflows (WINEP/NEP) wastewater opex - Total</v>
      </c>
      <c r="D23" s="181" t="str">
        <f>F_Inputs!D26</f>
        <v>£m</v>
      </c>
      <c r="E23" s="182">
        <f ca="1">SUMIFS('F_Inputs adjusted'!R:R,'F_Inputs adjusted'!$A:$A,$A23,'F_Inputs adjusted'!$B:$B,$B23)</f>
        <v>0</v>
      </c>
      <c r="F23" s="182">
        <f ca="1">SUMIFS('F_Inputs adjusted'!S:S,'F_Inputs adjusted'!$A:$A,$A23,'F_Inputs adjusted'!$B:$B,$B23)</f>
        <v>0</v>
      </c>
      <c r="G23" s="182">
        <f ca="1">SUMIFS('F_Inputs adjusted'!T:T,'F_Inputs adjusted'!$A:$A,$A23,'F_Inputs adjusted'!$B:$B,$B23)</f>
        <v>0</v>
      </c>
      <c r="H23" s="182">
        <f ca="1">SUMIFS('F_Inputs adjusted'!U:U,'F_Inputs adjusted'!$A:$A,$A23,'F_Inputs adjusted'!$B:$B,$B23)</f>
        <v>0</v>
      </c>
      <c r="I23" s="182">
        <f ca="1">SUMIFS('F_Inputs adjusted'!V:V,'F_Inputs adjusted'!$A:$A,$A23,'F_Inputs adjusted'!$B:$B,$B23)</f>
        <v>0</v>
      </c>
      <c r="J23" s="182">
        <f ca="1">SUMIFS('F_Inputs adjusted'!W:W,'F_Inputs adjusted'!$A:$A,$A23,'F_Inputs adjusted'!$B:$B,$B23)</f>
        <v>0</v>
      </c>
      <c r="K23" s="182">
        <f ca="1">SUMIFS('F_Inputs adjusted'!X:X,'F_Inputs adjusted'!$A:$A,$A23,'F_Inputs adjusted'!$B:$B,$B23)</f>
        <v>0</v>
      </c>
    </row>
    <row r="24" spans="1:11" ht="13.15">
      <c r="A24" s="181" t="str">
        <f>F_Inputs!A26</f>
        <v>WSH</v>
      </c>
      <c r="B24" s="181" t="str">
        <f>F_Inputs!B26</f>
        <v>CWW12_012TOT_PR24</v>
      </c>
      <c r="C24" s="181" t="str">
        <f>F_Inputs!C26</f>
        <v>EA/NRW environmental programme wastewater (WINEP/NEP) - MCERTs monitoring at emergency sewage pumping station overflows (WINEP/NEP) wastewater totex - Total</v>
      </c>
      <c r="D24" s="181" t="str">
        <f>F_Inputs!D27</f>
        <v>£m</v>
      </c>
      <c r="E24" s="182">
        <f ca="1">SUMIFS('F_Inputs adjusted'!R:R,'F_Inputs adjusted'!$A:$A,$A24,'F_Inputs adjusted'!$B:$B,$B24)</f>
        <v>0</v>
      </c>
      <c r="F24" s="182">
        <f ca="1">SUMIFS('F_Inputs adjusted'!S:S,'F_Inputs adjusted'!$A:$A,$A24,'F_Inputs adjusted'!$B:$B,$B24)</f>
        <v>0</v>
      </c>
      <c r="G24" s="182">
        <f ca="1">SUMIFS('F_Inputs adjusted'!T:T,'F_Inputs adjusted'!$A:$A,$A24,'F_Inputs adjusted'!$B:$B,$B24)</f>
        <v>0</v>
      </c>
      <c r="H24" s="182">
        <f ca="1">SUMIFS('F_Inputs adjusted'!U:U,'F_Inputs adjusted'!$A:$A,$A24,'F_Inputs adjusted'!$B:$B,$B24)</f>
        <v>0</v>
      </c>
      <c r="I24" s="182">
        <f ca="1">SUMIFS('F_Inputs adjusted'!V:V,'F_Inputs adjusted'!$A:$A,$A24,'F_Inputs adjusted'!$B:$B,$B24)</f>
        <v>0</v>
      </c>
      <c r="J24" s="182">
        <f ca="1">SUMIFS('F_Inputs adjusted'!W:W,'F_Inputs adjusted'!$A:$A,$A24,'F_Inputs adjusted'!$B:$B,$B24)</f>
        <v>0</v>
      </c>
      <c r="K24" s="182">
        <f ca="1">SUMIFS('F_Inputs adjusted'!X:X,'F_Inputs adjusted'!$A:$A,$A24,'F_Inputs adjusted'!$B:$B,$B24)</f>
        <v>0</v>
      </c>
    </row>
    <row r="25" spans="1:11" ht="13.15">
      <c r="A25" s="181" t="str">
        <f>F_Inputs!A27</f>
        <v>WSH</v>
      </c>
      <c r="B25" s="181" t="str">
        <f>F_Inputs!B27</f>
        <v>CWW17_010TOT_PR24</v>
      </c>
      <c r="C25" s="181" t="str">
        <f>F_Inputs!C27</f>
        <v>EA/NRW environmental programme wastewater (WINEP/NEP) - MCERTs monitoring at emergency sewage pumping station overflows (WINEP/NEP) wastewater capex - Total</v>
      </c>
      <c r="D25" s="181" t="str">
        <f>F_Inputs!D28</f>
        <v>£m</v>
      </c>
      <c r="E25" s="182">
        <f ca="1">SUMIFS('F_Inputs adjusted'!R:R,'F_Inputs adjusted'!$A:$A,$A25,'F_Inputs adjusted'!$B:$B,$B25)</f>
        <v>0</v>
      </c>
      <c r="F25" s="182">
        <f ca="1">SUMIFS('F_Inputs adjusted'!S:S,'F_Inputs adjusted'!$A:$A,$A25,'F_Inputs adjusted'!$B:$B,$B25)</f>
        <v>0</v>
      </c>
      <c r="G25" s="182">
        <f ca="1">SUMIFS('F_Inputs adjusted'!T:T,'F_Inputs adjusted'!$A:$A,$A25,'F_Inputs adjusted'!$B:$B,$B25)</f>
        <v>0</v>
      </c>
      <c r="H25" s="182">
        <f ca="1">SUMIFS('F_Inputs adjusted'!U:U,'F_Inputs adjusted'!$A:$A,$A25,'F_Inputs adjusted'!$B:$B,$B25)</f>
        <v>0</v>
      </c>
      <c r="I25" s="182">
        <f ca="1">SUMIFS('F_Inputs adjusted'!V:V,'F_Inputs adjusted'!$A:$A,$A25,'F_Inputs adjusted'!$B:$B,$B25)</f>
        <v>0</v>
      </c>
      <c r="J25" s="182">
        <f ca="1">SUMIFS('F_Inputs adjusted'!W:W,'F_Inputs adjusted'!$A:$A,$A25,'F_Inputs adjusted'!$B:$B,$B25)</f>
        <v>0</v>
      </c>
      <c r="K25" s="182">
        <f ca="1">SUMIFS('F_Inputs adjusted'!X:X,'F_Inputs adjusted'!$A:$A,$A25,'F_Inputs adjusted'!$B:$B,$B25)</f>
        <v>0</v>
      </c>
    </row>
    <row r="26" spans="1:11" ht="13.15">
      <c r="A26" s="181" t="str">
        <f>F_Inputs!A28</f>
        <v>WSH</v>
      </c>
      <c r="B26" s="181" t="str">
        <f>F_Inputs!B28</f>
        <v>CWW17_011TOT_PR24</v>
      </c>
      <c r="C26" s="181" t="str">
        <f>F_Inputs!C28</f>
        <v>EA/NRW environmental programme wastewater (WINEP/NEP) - MCERTs monitoring at emergency sewage pumping station overflows (WINEP/NEP) wastewater opex - Total</v>
      </c>
      <c r="D26" s="181" t="str">
        <f>F_Inputs!D29</f>
        <v>£m</v>
      </c>
      <c r="E26" s="182">
        <f ca="1">SUMIFS('F_Inputs adjusted'!R:R,'F_Inputs adjusted'!$A:$A,$A26,'F_Inputs adjusted'!$B:$B,$B26)</f>
        <v>0</v>
      </c>
      <c r="F26" s="182">
        <f ca="1">SUMIFS('F_Inputs adjusted'!S:S,'F_Inputs adjusted'!$A:$A,$A26,'F_Inputs adjusted'!$B:$B,$B26)</f>
        <v>0</v>
      </c>
      <c r="G26" s="182">
        <f ca="1">SUMIFS('F_Inputs adjusted'!T:T,'F_Inputs adjusted'!$A:$A,$A26,'F_Inputs adjusted'!$B:$B,$B26)</f>
        <v>0</v>
      </c>
      <c r="H26" s="182">
        <f ca="1">SUMIFS('F_Inputs adjusted'!U:U,'F_Inputs adjusted'!$A:$A,$A26,'F_Inputs adjusted'!$B:$B,$B26)</f>
        <v>0</v>
      </c>
      <c r="I26" s="182">
        <f ca="1">SUMIFS('F_Inputs adjusted'!V:V,'F_Inputs adjusted'!$A:$A,$A26,'F_Inputs adjusted'!$B:$B,$B26)</f>
        <v>0</v>
      </c>
      <c r="J26" s="182">
        <f ca="1">SUMIFS('F_Inputs adjusted'!W:W,'F_Inputs adjusted'!$A:$A,$A26,'F_Inputs adjusted'!$B:$B,$B26)</f>
        <v>0</v>
      </c>
      <c r="K26" s="182">
        <f ca="1">SUMIFS('F_Inputs adjusted'!X:X,'F_Inputs adjusted'!$A:$A,$A26,'F_Inputs adjusted'!$B:$B,$B26)</f>
        <v>0</v>
      </c>
    </row>
    <row r="27" spans="1:11" ht="13.15">
      <c r="A27" s="181" t="str">
        <f>F_Inputs!A29</f>
        <v>WSH</v>
      </c>
      <c r="B27" s="181" t="str">
        <f>F_Inputs!B29</f>
        <v>CWW17_012TOT_PR24</v>
      </c>
      <c r="C27" s="181" t="str">
        <f>F_Inputs!C29</f>
        <v>EA/NRW environmental programme wastewater (WINEP/NEP) - MCERTs monitoring at emergency sewage pumping station overflows (WINEP/NEP) wastewater totex - Total</v>
      </c>
      <c r="D27" s="181" t="str">
        <f>F_Inputs!D30</f>
        <v>nr</v>
      </c>
      <c r="E27" s="182">
        <f ca="1">SUMIFS('F_Inputs adjusted'!R:R,'F_Inputs adjusted'!$A:$A,$A27,'F_Inputs adjusted'!$B:$B,$B27)</f>
        <v>0</v>
      </c>
      <c r="F27" s="182">
        <f ca="1">SUMIFS('F_Inputs adjusted'!S:S,'F_Inputs adjusted'!$A:$A,$A27,'F_Inputs adjusted'!$B:$B,$B27)</f>
        <v>0</v>
      </c>
      <c r="G27" s="182">
        <f ca="1">SUMIFS('F_Inputs adjusted'!T:T,'F_Inputs adjusted'!$A:$A,$A27,'F_Inputs adjusted'!$B:$B,$B27)</f>
        <v>0</v>
      </c>
      <c r="H27" s="182">
        <f ca="1">SUMIFS('F_Inputs adjusted'!U:U,'F_Inputs adjusted'!$A:$A,$A27,'F_Inputs adjusted'!$B:$B,$B27)</f>
        <v>0</v>
      </c>
      <c r="I27" s="182">
        <f ca="1">SUMIFS('F_Inputs adjusted'!V:V,'F_Inputs adjusted'!$A:$A,$A27,'F_Inputs adjusted'!$B:$B,$B27)</f>
        <v>0</v>
      </c>
      <c r="J27" s="182">
        <f ca="1">SUMIFS('F_Inputs adjusted'!W:W,'F_Inputs adjusted'!$A:$A,$A27,'F_Inputs adjusted'!$B:$B,$B27)</f>
        <v>0</v>
      </c>
      <c r="K27" s="182">
        <f ca="1">SUMIFS('F_Inputs adjusted'!X:X,'F_Inputs adjusted'!$A:$A,$A27,'F_Inputs adjusted'!$B:$B,$B27)</f>
        <v>0</v>
      </c>
    </row>
    <row r="28" spans="1:11" ht="13.15">
      <c r="A28" s="181" t="str">
        <f>F_Inputs!A30</f>
        <v>WSH</v>
      </c>
      <c r="B28" s="181" t="str">
        <f>F_Inputs!B30</f>
        <v>CWW20_050_PR24</v>
      </c>
      <c r="C28" s="181" t="str">
        <f>F_Inputs!C30</f>
        <v>Network / Storm overflow data - Number of new MCERTs event duration monitors installed at SPS emergency overflows</v>
      </c>
      <c r="D28" s="181" t="str">
        <f>F_Inputs!D31</f>
        <v>nr</v>
      </c>
      <c r="E28" s="182">
        <f ca="1">SUMIFS('F_Inputs adjusted'!R:R,'F_Inputs adjusted'!$A:$A,$A28,'F_Inputs adjusted'!$B:$B,$B28)</f>
        <v>0</v>
      </c>
      <c r="F28" s="182">
        <f ca="1">SUMIFS('F_Inputs adjusted'!S:S,'F_Inputs adjusted'!$A:$A,$A28,'F_Inputs adjusted'!$B:$B,$B28)</f>
        <v>0</v>
      </c>
      <c r="G28" s="182">
        <f ca="1">SUMIFS('F_Inputs adjusted'!T:T,'F_Inputs adjusted'!$A:$A,$A28,'F_Inputs adjusted'!$B:$B,$B28)</f>
        <v>162</v>
      </c>
      <c r="H28" s="182">
        <f ca="1">SUMIFS('F_Inputs adjusted'!U:U,'F_Inputs adjusted'!$A:$A,$A28,'F_Inputs adjusted'!$B:$B,$B28)</f>
        <v>244</v>
      </c>
      <c r="I28" s="182">
        <f ca="1">SUMIFS('F_Inputs adjusted'!V:V,'F_Inputs adjusted'!$A:$A,$A28,'F_Inputs adjusted'!$B:$B,$B28)</f>
        <v>244</v>
      </c>
      <c r="J28" s="182">
        <f ca="1">SUMIFS('F_Inputs adjusted'!W:W,'F_Inputs adjusted'!$A:$A,$A28,'F_Inputs adjusted'!$B:$B,$B28)</f>
        <v>163</v>
      </c>
      <c r="K28" s="182">
        <f ca="1">SUMIFS('F_Inputs adjusted'!X:X,'F_Inputs adjusted'!$A:$A,$A28,'F_Inputs adjusted'!$B:$B,$B28)</f>
        <v>0</v>
      </c>
    </row>
    <row r="29" spans="1:11" ht="13.15">
      <c r="A29" s="181" t="str">
        <f>F_Inputs!A31</f>
        <v>WSH</v>
      </c>
      <c r="B29" s="181" t="str">
        <f>F_Inputs!B31</f>
        <v>CWW20_051_PR24</v>
      </c>
      <c r="C29" s="181" t="str">
        <f>F_Inputs!C31</f>
        <v>Network / Storm overflow data - Number of new MCERTs flow monitors (PFF) installed at SPSs with combined emergency and storm overflows.</v>
      </c>
      <c r="D29" s="181" t="str">
        <f>F_Inputs!D32</f>
        <v>nr</v>
      </c>
      <c r="E29" s="182">
        <f ca="1">SUMIFS('F_Inputs adjusted'!R:R,'F_Inputs adjusted'!$A:$A,$A29,'F_Inputs adjusted'!$B:$B,$B29)</f>
        <v>0</v>
      </c>
      <c r="F29" s="182">
        <f ca="1">SUMIFS('F_Inputs adjusted'!S:S,'F_Inputs adjusted'!$A:$A,$A29,'F_Inputs adjusted'!$B:$B,$B29)</f>
        <v>0</v>
      </c>
      <c r="G29" s="182">
        <f ca="1">SUMIFS('F_Inputs adjusted'!T:T,'F_Inputs adjusted'!$A:$A,$A29,'F_Inputs adjusted'!$B:$B,$B29)</f>
        <v>1</v>
      </c>
      <c r="H29" s="182">
        <f ca="1">SUMIFS('F_Inputs adjusted'!U:U,'F_Inputs adjusted'!$A:$A,$A29,'F_Inputs adjusted'!$B:$B,$B29)</f>
        <v>2</v>
      </c>
      <c r="I29" s="182">
        <f ca="1">SUMIFS('F_Inputs adjusted'!V:V,'F_Inputs adjusted'!$A:$A,$A29,'F_Inputs adjusted'!$B:$B,$B29)</f>
        <v>2</v>
      </c>
      <c r="J29" s="182">
        <f ca="1">SUMIFS('F_Inputs adjusted'!W:W,'F_Inputs adjusted'!$A:$A,$A29,'F_Inputs adjusted'!$B:$B,$B29)</f>
        <v>2</v>
      </c>
      <c r="K29" s="182">
        <f ca="1">SUMIFS('F_Inputs adjusted'!X:X,'F_Inputs adjusted'!$A:$A,$A29,'F_Inputs adjusted'!$B:$B,$B29)</f>
        <v>0</v>
      </c>
    </row>
    <row r="30" spans="1:11" ht="13.15">
      <c r="A30" s="181" t="str">
        <f>F_Inputs!A32</f>
        <v>WSH</v>
      </c>
      <c r="B30" s="181" t="str">
        <f>F_Inputs!B32</f>
        <v>CWW20A_050_PR24</v>
      </c>
      <c r="C30" s="181" t="str">
        <f>F_Inputs!C32</f>
        <v>Network / Storm overflow data - Number of new MCERTs event duration monitors installed at SPS emergency overflows</v>
      </c>
      <c r="D30" s="181" t="str">
        <f>F_Inputs!D33</f>
        <v>nr</v>
      </c>
      <c r="E30" s="182">
        <f ca="1">SUMIFS('F_Inputs adjusted'!R:R,'F_Inputs adjusted'!$A:$A,$A30,'F_Inputs adjusted'!$B:$B,$B30)</f>
        <v>0</v>
      </c>
      <c r="F30" s="182">
        <f ca="1">SUMIFS('F_Inputs adjusted'!S:S,'F_Inputs adjusted'!$A:$A,$A30,'F_Inputs adjusted'!$B:$B,$B30)</f>
        <v>0</v>
      </c>
      <c r="G30" s="182">
        <f ca="1">SUMIFS('F_Inputs adjusted'!T:T,'F_Inputs adjusted'!$A:$A,$A30,'F_Inputs adjusted'!$B:$B,$B30)</f>
        <v>0</v>
      </c>
      <c r="H30" s="182">
        <f ca="1">SUMIFS('F_Inputs adjusted'!U:U,'F_Inputs adjusted'!$A:$A,$A30,'F_Inputs adjusted'!$B:$B,$B30)</f>
        <v>0</v>
      </c>
      <c r="I30" s="182">
        <f ca="1">SUMIFS('F_Inputs adjusted'!V:V,'F_Inputs adjusted'!$A:$A,$A30,'F_Inputs adjusted'!$B:$B,$B30)</f>
        <v>0</v>
      </c>
      <c r="J30" s="182">
        <f ca="1">SUMIFS('F_Inputs adjusted'!W:W,'F_Inputs adjusted'!$A:$A,$A30,'F_Inputs adjusted'!$B:$B,$B30)</f>
        <v>0</v>
      </c>
      <c r="K30" s="182">
        <f ca="1">SUMIFS('F_Inputs adjusted'!X:X,'F_Inputs adjusted'!$A:$A,$A30,'F_Inputs adjusted'!$B:$B,$B30)</f>
        <v>0</v>
      </c>
    </row>
    <row r="31" spans="1:11" ht="13.15">
      <c r="A31" s="181" t="str">
        <f>F_Inputs!A33</f>
        <v>WSH</v>
      </c>
      <c r="B31" s="181" t="str">
        <f>F_Inputs!B33</f>
        <v>CWW20A_051_PR24</v>
      </c>
      <c r="C31" s="181" t="str">
        <f>F_Inputs!C33</f>
        <v>Network / Storm overflow data - Number of new MCERTs flow monitors (PFF) installed at SPSs with combined emergency and storm overflows.</v>
      </c>
      <c r="D31" s="181" t="str">
        <f>F_Inputs!D34</f>
        <v>£m</v>
      </c>
      <c r="E31" s="182">
        <f ca="1">SUMIFS('F_Inputs adjusted'!R:R,'F_Inputs adjusted'!$A:$A,$A31,'F_Inputs adjusted'!$B:$B,$B31)</f>
        <v>0</v>
      </c>
      <c r="F31" s="182">
        <f ca="1">SUMIFS('F_Inputs adjusted'!S:S,'F_Inputs adjusted'!$A:$A,$A31,'F_Inputs adjusted'!$B:$B,$B31)</f>
        <v>0</v>
      </c>
      <c r="G31" s="182">
        <f ca="1">SUMIFS('F_Inputs adjusted'!T:T,'F_Inputs adjusted'!$A:$A,$A31,'F_Inputs adjusted'!$B:$B,$B31)</f>
        <v>0</v>
      </c>
      <c r="H31" s="182">
        <f ca="1">SUMIFS('F_Inputs adjusted'!U:U,'F_Inputs adjusted'!$A:$A,$A31,'F_Inputs adjusted'!$B:$B,$B31)</f>
        <v>0</v>
      </c>
      <c r="I31" s="182">
        <f ca="1">SUMIFS('F_Inputs adjusted'!V:V,'F_Inputs adjusted'!$A:$A,$A31,'F_Inputs adjusted'!$B:$B,$B31)</f>
        <v>0</v>
      </c>
      <c r="J31" s="182">
        <f ca="1">SUMIFS('F_Inputs adjusted'!W:W,'F_Inputs adjusted'!$A:$A,$A31,'F_Inputs adjusted'!$B:$B,$B31)</f>
        <v>0</v>
      </c>
      <c r="K31" s="182">
        <f ca="1">SUMIFS('F_Inputs adjusted'!X:X,'F_Inputs adjusted'!$A:$A,$A31,'F_Inputs adjusted'!$B:$B,$B31)</f>
        <v>0</v>
      </c>
    </row>
    <row r="32" spans="1:11" ht="13.15">
      <c r="A32" s="181" t="str">
        <f>F_Inputs!A34</f>
        <v>WSH</v>
      </c>
      <c r="B32" s="181" t="str">
        <f>F_Inputs!B34</f>
        <v>CWW1A_015TOT_PR24</v>
      </c>
      <c r="C32" s="181" t="str">
        <f>F_Inputs!C34</f>
        <v>Net totex - Total</v>
      </c>
      <c r="D32" s="181" t="str">
        <f>F_Inputs!D35</f>
        <v>£m</v>
      </c>
      <c r="E32" s="182">
        <f ca="1">SUMIFS('F_Inputs adjusted'!R:R,'F_Inputs adjusted'!$A:$A,$A32,'F_Inputs adjusted'!$B:$B,$B32)</f>
        <v>0</v>
      </c>
      <c r="F32" s="182">
        <f ca="1">SUMIFS('F_Inputs adjusted'!S:S,'F_Inputs adjusted'!$A:$A,$A32,'F_Inputs adjusted'!$B:$B,$B32)</f>
        <v>0</v>
      </c>
      <c r="G32" s="182">
        <f ca="1">SUMIFS('F_Inputs adjusted'!T:T,'F_Inputs adjusted'!$A:$A,$A32,'F_Inputs adjusted'!$B:$B,$B32)</f>
        <v>532.04300000000001</v>
      </c>
      <c r="H32" s="182">
        <f ca="1">SUMIFS('F_Inputs adjusted'!U:U,'F_Inputs adjusted'!$A:$A,$A32,'F_Inputs adjusted'!$B:$B,$B32)</f>
        <v>677.46500000000003</v>
      </c>
      <c r="I32" s="182">
        <f ca="1">SUMIFS('F_Inputs adjusted'!V:V,'F_Inputs adjusted'!$A:$A,$A32,'F_Inputs adjusted'!$B:$B,$B32)</f>
        <v>781.62900000000002</v>
      </c>
      <c r="J32" s="182">
        <f ca="1">SUMIFS('F_Inputs adjusted'!W:W,'F_Inputs adjusted'!$A:$A,$A32,'F_Inputs adjusted'!$B:$B,$B32)</f>
        <v>743.375</v>
      </c>
      <c r="K32" s="182">
        <f ca="1">SUMIFS('F_Inputs adjusted'!X:X,'F_Inputs adjusted'!$A:$A,$A32,'F_Inputs adjusted'!$B:$B,$B32)</f>
        <v>583.65700000000004</v>
      </c>
    </row>
    <row r="33" spans="1:11" ht="13.15">
      <c r="A33" s="181" t="str">
        <f>F_Inputs!A35</f>
        <v>HDD</v>
      </c>
      <c r="B33" s="181" t="str">
        <f>F_Inputs!B35</f>
        <v>CWW3_010TOT_PR24</v>
      </c>
      <c r="C33" s="181" t="str">
        <f>F_Inputs!C35</f>
        <v>EA/NRW environmental programme wastewater (WINEP/NEP) - MCERTs monitoring at emergency sewage pumping station overflows (WINEP/NEP) wastewater capex - Total</v>
      </c>
      <c r="D33" s="181" t="str">
        <f>F_Inputs!D36</f>
        <v>£m</v>
      </c>
      <c r="E33" s="182">
        <f ca="1">SUMIFS('F_Inputs adjusted'!R:R,'F_Inputs adjusted'!$A:$A,$A33,'F_Inputs adjusted'!$B:$B,$B33)</f>
        <v>0</v>
      </c>
      <c r="F33" s="182">
        <f ca="1">SUMIFS('F_Inputs adjusted'!S:S,'F_Inputs adjusted'!$A:$A,$A33,'F_Inputs adjusted'!$B:$B,$B33)</f>
        <v>0</v>
      </c>
      <c r="G33" s="182">
        <f ca="1">SUMIFS('F_Inputs adjusted'!T:T,'F_Inputs adjusted'!$A:$A,$A33,'F_Inputs adjusted'!$B:$B,$B33)</f>
        <v>5.3999999999999999E-2</v>
      </c>
      <c r="H33" s="182">
        <f ca="1">SUMIFS('F_Inputs adjusted'!U:U,'F_Inputs adjusted'!$A:$A,$A33,'F_Inputs adjusted'!$B:$B,$B33)</f>
        <v>5.3999999999999999E-2</v>
      </c>
      <c r="I33" s="182">
        <f ca="1">SUMIFS('F_Inputs adjusted'!V:V,'F_Inputs adjusted'!$A:$A,$A33,'F_Inputs adjusted'!$B:$B,$B33)</f>
        <v>0.13600000000000001</v>
      </c>
      <c r="J33" s="182">
        <f ca="1">SUMIFS('F_Inputs adjusted'!W:W,'F_Inputs adjusted'!$A:$A,$A33,'F_Inputs adjusted'!$B:$B,$B33)</f>
        <v>0.16500000000000001</v>
      </c>
      <c r="K33" s="182">
        <f ca="1">SUMIFS('F_Inputs adjusted'!X:X,'F_Inputs adjusted'!$A:$A,$A33,'F_Inputs adjusted'!$B:$B,$B33)</f>
        <v>0.13800000000000001</v>
      </c>
    </row>
    <row r="34" spans="1:11" ht="13.15">
      <c r="A34" s="181" t="str">
        <f>F_Inputs!A36</f>
        <v>HDD</v>
      </c>
      <c r="B34" s="181" t="str">
        <f>F_Inputs!B36</f>
        <v>CWW3_011TOT_PR24</v>
      </c>
      <c r="C34" s="181" t="str">
        <f>F_Inputs!C36</f>
        <v>EA/NRW environmental programme wastewater (WINEP/NEP) - MCERTs monitoring at emergency sewage pumping station overflows (WINEP/NEP) wastewater opex - Total</v>
      </c>
      <c r="D34" s="181" t="str">
        <f>F_Inputs!D37</f>
        <v>£m</v>
      </c>
      <c r="E34" s="182">
        <f ca="1">SUMIFS('F_Inputs adjusted'!R:R,'F_Inputs adjusted'!$A:$A,$A34,'F_Inputs adjusted'!$B:$B,$B34)</f>
        <v>0</v>
      </c>
      <c r="F34" s="182">
        <f ca="1">SUMIFS('F_Inputs adjusted'!S:S,'F_Inputs adjusted'!$A:$A,$A34,'F_Inputs adjusted'!$B:$B,$B34)</f>
        <v>0</v>
      </c>
      <c r="G34" s="182">
        <f ca="1">SUMIFS('F_Inputs adjusted'!T:T,'F_Inputs adjusted'!$A:$A,$A34,'F_Inputs adjusted'!$B:$B,$B34)</f>
        <v>1E-3</v>
      </c>
      <c r="H34" s="182">
        <f ca="1">SUMIFS('F_Inputs adjusted'!U:U,'F_Inputs adjusted'!$A:$A,$A34,'F_Inputs adjusted'!$B:$B,$B34)</f>
        <v>1E-3</v>
      </c>
      <c r="I34" s="182">
        <f ca="1">SUMIFS('F_Inputs adjusted'!V:V,'F_Inputs adjusted'!$A:$A,$A34,'F_Inputs adjusted'!$B:$B,$B34)</f>
        <v>3.0000000000000001E-3</v>
      </c>
      <c r="J34" s="182">
        <f ca="1">SUMIFS('F_Inputs adjusted'!W:W,'F_Inputs adjusted'!$A:$A,$A34,'F_Inputs adjusted'!$B:$B,$B34)</f>
        <v>6.0000000000000001E-3</v>
      </c>
      <c r="K34" s="182">
        <f ca="1">SUMIFS('F_Inputs adjusted'!X:X,'F_Inputs adjusted'!$A:$A,$A34,'F_Inputs adjusted'!$B:$B,$B34)</f>
        <v>8.0000000000000002E-3</v>
      </c>
    </row>
    <row r="35" spans="1:11" ht="13.15">
      <c r="A35" s="181" t="str">
        <f>F_Inputs!A37</f>
        <v>HDD</v>
      </c>
      <c r="B35" s="181" t="str">
        <f>F_Inputs!B37</f>
        <v>CWW3_012TOT_PR24</v>
      </c>
      <c r="C35" s="181" t="str">
        <f>F_Inputs!C37</f>
        <v>EA/NRW environmental programme wastewater (WINEP/NEP) - MCERTs monitoring at emergency sewage pumping station overflows (WINEP/NEP) wastewater totex - Total</v>
      </c>
      <c r="D35" s="181" t="str">
        <f>F_Inputs!D38</f>
        <v>£m</v>
      </c>
      <c r="E35" s="182">
        <f ca="1">SUMIFS('F_Inputs adjusted'!R:R,'F_Inputs adjusted'!$A:$A,$A35,'F_Inputs adjusted'!$B:$B,$B35)</f>
        <v>0</v>
      </c>
      <c r="F35" s="182">
        <f ca="1">SUMIFS('F_Inputs adjusted'!S:S,'F_Inputs adjusted'!$A:$A,$A35,'F_Inputs adjusted'!$B:$B,$B35)</f>
        <v>0</v>
      </c>
      <c r="G35" s="182">
        <f ca="1">SUMIFS('F_Inputs adjusted'!T:T,'F_Inputs adjusted'!$A:$A,$A35,'F_Inputs adjusted'!$B:$B,$B35)</f>
        <v>5.5E-2</v>
      </c>
      <c r="H35" s="182">
        <f ca="1">SUMIFS('F_Inputs adjusted'!U:U,'F_Inputs adjusted'!$A:$A,$A35,'F_Inputs adjusted'!$B:$B,$B35)</f>
        <v>5.5E-2</v>
      </c>
      <c r="I35" s="182">
        <f ca="1">SUMIFS('F_Inputs adjusted'!V:V,'F_Inputs adjusted'!$A:$A,$A35,'F_Inputs adjusted'!$B:$B,$B35)</f>
        <v>0.13900000000000001</v>
      </c>
      <c r="J35" s="182">
        <f ca="1">SUMIFS('F_Inputs adjusted'!W:W,'F_Inputs adjusted'!$A:$A,$A35,'F_Inputs adjusted'!$B:$B,$B35)</f>
        <v>0.17100000000000001</v>
      </c>
      <c r="K35" s="182">
        <f ca="1">SUMIFS('F_Inputs adjusted'!X:X,'F_Inputs adjusted'!$A:$A,$A35,'F_Inputs adjusted'!$B:$B,$B35)</f>
        <v>0.14599999999999999</v>
      </c>
    </row>
    <row r="36" spans="1:11" ht="13.15">
      <c r="A36" s="181" t="str">
        <f>F_Inputs!A38</f>
        <v>HDD</v>
      </c>
      <c r="B36" s="181" t="str">
        <f>F_Inputs!B38</f>
        <v>CWW12_010TOT_PR24</v>
      </c>
      <c r="C36" s="181" t="str">
        <f>F_Inputs!C38</f>
        <v>EA/NRW environmental programme wastewater (WINEP/NEP) - MCERTs monitoring at emergency sewage pumping station overflows (WINEP/NEP) wastewater capex - Total</v>
      </c>
      <c r="D36" s="181" t="str">
        <f>F_Inputs!D39</f>
        <v>£m</v>
      </c>
      <c r="E36" s="182">
        <f ca="1">SUMIFS('F_Inputs adjusted'!R:R,'F_Inputs adjusted'!$A:$A,$A36,'F_Inputs adjusted'!$B:$B,$B36)</f>
        <v>0</v>
      </c>
      <c r="F36" s="182">
        <f ca="1">SUMIFS('F_Inputs adjusted'!S:S,'F_Inputs adjusted'!$A:$A,$A36,'F_Inputs adjusted'!$B:$B,$B36)</f>
        <v>0</v>
      </c>
      <c r="G36" s="182">
        <f ca="1">SUMIFS('F_Inputs adjusted'!T:T,'F_Inputs adjusted'!$A:$A,$A36,'F_Inputs adjusted'!$B:$B,$B36)</f>
        <v>0</v>
      </c>
      <c r="H36" s="182">
        <f ca="1">SUMIFS('F_Inputs adjusted'!U:U,'F_Inputs adjusted'!$A:$A,$A36,'F_Inputs adjusted'!$B:$B,$B36)</f>
        <v>0</v>
      </c>
      <c r="I36" s="182">
        <f ca="1">SUMIFS('F_Inputs adjusted'!V:V,'F_Inputs adjusted'!$A:$A,$A36,'F_Inputs adjusted'!$B:$B,$B36)</f>
        <v>0</v>
      </c>
      <c r="J36" s="182">
        <f ca="1">SUMIFS('F_Inputs adjusted'!W:W,'F_Inputs adjusted'!$A:$A,$A36,'F_Inputs adjusted'!$B:$B,$B36)</f>
        <v>0</v>
      </c>
      <c r="K36" s="182">
        <f ca="1">SUMIFS('F_Inputs adjusted'!X:X,'F_Inputs adjusted'!$A:$A,$A36,'F_Inputs adjusted'!$B:$B,$B36)</f>
        <v>0</v>
      </c>
    </row>
    <row r="37" spans="1:11" ht="13.15">
      <c r="A37" s="181" t="str">
        <f>F_Inputs!A39</f>
        <v>HDD</v>
      </c>
      <c r="B37" s="181" t="str">
        <f>F_Inputs!B39</f>
        <v>CWW12_011TOT_PR24</v>
      </c>
      <c r="C37" s="181" t="str">
        <f>F_Inputs!C39</f>
        <v>EA/NRW environmental programme wastewater (WINEP/NEP) - MCERTs monitoring at emergency sewage pumping station overflows (WINEP/NEP) wastewater opex - Total</v>
      </c>
      <c r="D37" s="181" t="str">
        <f>F_Inputs!D40</f>
        <v>£m</v>
      </c>
      <c r="E37" s="182">
        <f ca="1">SUMIFS('F_Inputs adjusted'!R:R,'F_Inputs adjusted'!$A:$A,$A37,'F_Inputs adjusted'!$B:$B,$B37)</f>
        <v>0</v>
      </c>
      <c r="F37" s="182">
        <f ca="1">SUMIFS('F_Inputs adjusted'!S:S,'F_Inputs adjusted'!$A:$A,$A37,'F_Inputs adjusted'!$B:$B,$B37)</f>
        <v>0</v>
      </c>
      <c r="G37" s="182">
        <f ca="1">SUMIFS('F_Inputs adjusted'!T:T,'F_Inputs adjusted'!$A:$A,$A37,'F_Inputs adjusted'!$B:$B,$B37)</f>
        <v>0</v>
      </c>
      <c r="H37" s="182">
        <f ca="1">SUMIFS('F_Inputs adjusted'!U:U,'F_Inputs adjusted'!$A:$A,$A37,'F_Inputs adjusted'!$B:$B,$B37)</f>
        <v>0</v>
      </c>
      <c r="I37" s="182">
        <f ca="1">SUMIFS('F_Inputs adjusted'!V:V,'F_Inputs adjusted'!$A:$A,$A37,'F_Inputs adjusted'!$B:$B,$B37)</f>
        <v>0</v>
      </c>
      <c r="J37" s="182">
        <f ca="1">SUMIFS('F_Inputs adjusted'!W:W,'F_Inputs adjusted'!$A:$A,$A37,'F_Inputs adjusted'!$B:$B,$B37)</f>
        <v>0</v>
      </c>
      <c r="K37" s="182">
        <f ca="1">SUMIFS('F_Inputs adjusted'!X:X,'F_Inputs adjusted'!$A:$A,$A37,'F_Inputs adjusted'!$B:$B,$B37)</f>
        <v>0</v>
      </c>
    </row>
    <row r="38" spans="1:11" ht="13.15">
      <c r="A38" s="181" t="str">
        <f>F_Inputs!A40</f>
        <v>HDD</v>
      </c>
      <c r="B38" s="181" t="str">
        <f>F_Inputs!B40</f>
        <v>CWW12_012TOT_PR24</v>
      </c>
      <c r="C38" s="181" t="str">
        <f>F_Inputs!C40</f>
        <v>EA/NRW environmental programme wastewater (WINEP/NEP) - MCERTs monitoring at emergency sewage pumping station overflows (WINEP/NEP) wastewater totex - Total</v>
      </c>
      <c r="D38" s="181" t="str">
        <f>F_Inputs!D41</f>
        <v>£m</v>
      </c>
      <c r="E38" s="182">
        <f ca="1">SUMIFS('F_Inputs adjusted'!R:R,'F_Inputs adjusted'!$A:$A,$A38,'F_Inputs adjusted'!$B:$B,$B38)</f>
        <v>0</v>
      </c>
      <c r="F38" s="182">
        <f ca="1">SUMIFS('F_Inputs adjusted'!S:S,'F_Inputs adjusted'!$A:$A,$A38,'F_Inputs adjusted'!$B:$B,$B38)</f>
        <v>0</v>
      </c>
      <c r="G38" s="182">
        <f ca="1">SUMIFS('F_Inputs adjusted'!T:T,'F_Inputs adjusted'!$A:$A,$A38,'F_Inputs adjusted'!$B:$B,$B38)</f>
        <v>0</v>
      </c>
      <c r="H38" s="182">
        <f ca="1">SUMIFS('F_Inputs adjusted'!U:U,'F_Inputs adjusted'!$A:$A,$A38,'F_Inputs adjusted'!$B:$B,$B38)</f>
        <v>0</v>
      </c>
      <c r="I38" s="182">
        <f ca="1">SUMIFS('F_Inputs adjusted'!V:V,'F_Inputs adjusted'!$A:$A,$A38,'F_Inputs adjusted'!$B:$B,$B38)</f>
        <v>0</v>
      </c>
      <c r="J38" s="182">
        <f ca="1">SUMIFS('F_Inputs adjusted'!W:W,'F_Inputs adjusted'!$A:$A,$A38,'F_Inputs adjusted'!$B:$B,$B38)</f>
        <v>0</v>
      </c>
      <c r="K38" s="182">
        <f ca="1">SUMIFS('F_Inputs adjusted'!X:X,'F_Inputs adjusted'!$A:$A,$A38,'F_Inputs adjusted'!$B:$B,$B38)</f>
        <v>0</v>
      </c>
    </row>
    <row r="39" spans="1:11" ht="13.15">
      <c r="A39" s="181" t="str">
        <f>F_Inputs!A41</f>
        <v>HDD</v>
      </c>
      <c r="B39" s="181" t="str">
        <f>F_Inputs!B41</f>
        <v>CWW17_010TOT_PR24</v>
      </c>
      <c r="C39" s="181" t="str">
        <f>F_Inputs!C41</f>
        <v>EA/NRW environmental programme wastewater (WINEP/NEP) - MCERTs monitoring at emergency sewage pumping station overflows (WINEP/NEP) wastewater capex - Total</v>
      </c>
      <c r="D39" s="181" t="str">
        <f>F_Inputs!D42</f>
        <v>£m</v>
      </c>
      <c r="E39" s="182">
        <f ca="1">SUMIFS('F_Inputs adjusted'!R:R,'F_Inputs adjusted'!$A:$A,$A39,'F_Inputs adjusted'!$B:$B,$B39)</f>
        <v>0</v>
      </c>
      <c r="F39" s="182">
        <f ca="1">SUMIFS('F_Inputs adjusted'!S:S,'F_Inputs adjusted'!$A:$A,$A39,'F_Inputs adjusted'!$B:$B,$B39)</f>
        <v>0</v>
      </c>
      <c r="G39" s="182">
        <f ca="1">SUMIFS('F_Inputs adjusted'!T:T,'F_Inputs adjusted'!$A:$A,$A39,'F_Inputs adjusted'!$B:$B,$B39)</f>
        <v>0</v>
      </c>
      <c r="H39" s="182">
        <f ca="1">SUMIFS('F_Inputs adjusted'!U:U,'F_Inputs adjusted'!$A:$A,$A39,'F_Inputs adjusted'!$B:$B,$B39)</f>
        <v>0</v>
      </c>
      <c r="I39" s="182">
        <f ca="1">SUMIFS('F_Inputs adjusted'!V:V,'F_Inputs adjusted'!$A:$A,$A39,'F_Inputs adjusted'!$B:$B,$B39)</f>
        <v>0</v>
      </c>
      <c r="J39" s="182">
        <f ca="1">SUMIFS('F_Inputs adjusted'!W:W,'F_Inputs adjusted'!$A:$A,$A39,'F_Inputs adjusted'!$B:$B,$B39)</f>
        <v>0</v>
      </c>
      <c r="K39" s="182">
        <f ca="1">SUMIFS('F_Inputs adjusted'!X:X,'F_Inputs adjusted'!$A:$A,$A39,'F_Inputs adjusted'!$B:$B,$B39)</f>
        <v>0</v>
      </c>
    </row>
    <row r="40" spans="1:11" ht="13.15">
      <c r="A40" s="181" t="str">
        <f>F_Inputs!A42</f>
        <v>HDD</v>
      </c>
      <c r="B40" s="181" t="str">
        <f>F_Inputs!B42</f>
        <v>CWW17_011TOT_PR24</v>
      </c>
      <c r="C40" s="181" t="str">
        <f>F_Inputs!C42</f>
        <v>EA/NRW environmental programme wastewater (WINEP/NEP) - MCERTs monitoring at emergency sewage pumping station overflows (WINEP/NEP) wastewater opex - Total</v>
      </c>
      <c r="D40" s="181" t="str">
        <f>F_Inputs!D43</f>
        <v>£m</v>
      </c>
      <c r="E40" s="182">
        <f ca="1">SUMIFS('F_Inputs adjusted'!R:R,'F_Inputs adjusted'!$A:$A,$A40,'F_Inputs adjusted'!$B:$B,$B40)</f>
        <v>0</v>
      </c>
      <c r="F40" s="182">
        <f ca="1">SUMIFS('F_Inputs adjusted'!S:S,'F_Inputs adjusted'!$A:$A,$A40,'F_Inputs adjusted'!$B:$B,$B40)</f>
        <v>0</v>
      </c>
      <c r="G40" s="182">
        <f ca="1">SUMIFS('F_Inputs adjusted'!T:T,'F_Inputs adjusted'!$A:$A,$A40,'F_Inputs adjusted'!$B:$B,$B40)</f>
        <v>0</v>
      </c>
      <c r="H40" s="182">
        <f ca="1">SUMIFS('F_Inputs adjusted'!U:U,'F_Inputs adjusted'!$A:$A,$A40,'F_Inputs adjusted'!$B:$B,$B40)</f>
        <v>0</v>
      </c>
      <c r="I40" s="182">
        <f ca="1">SUMIFS('F_Inputs adjusted'!V:V,'F_Inputs adjusted'!$A:$A,$A40,'F_Inputs adjusted'!$B:$B,$B40)</f>
        <v>0</v>
      </c>
      <c r="J40" s="182">
        <f ca="1">SUMIFS('F_Inputs adjusted'!W:W,'F_Inputs adjusted'!$A:$A,$A40,'F_Inputs adjusted'!$B:$B,$B40)</f>
        <v>0</v>
      </c>
      <c r="K40" s="182">
        <f ca="1">SUMIFS('F_Inputs adjusted'!X:X,'F_Inputs adjusted'!$A:$A,$A40,'F_Inputs adjusted'!$B:$B,$B40)</f>
        <v>0</v>
      </c>
    </row>
    <row r="41" spans="1:11" ht="13.15">
      <c r="A41" s="181" t="str">
        <f>F_Inputs!A43</f>
        <v>HDD</v>
      </c>
      <c r="B41" s="181" t="str">
        <f>F_Inputs!B43</f>
        <v>CWW17_012TOT_PR24</v>
      </c>
      <c r="C41" s="181" t="str">
        <f>F_Inputs!C43</f>
        <v>EA/NRW environmental programme wastewater (WINEP/NEP) - MCERTs monitoring at emergency sewage pumping station overflows (WINEP/NEP) wastewater totex - Total</v>
      </c>
      <c r="D41" s="181" t="str">
        <f>F_Inputs!D44</f>
        <v>nr</v>
      </c>
      <c r="E41" s="182">
        <f ca="1">SUMIFS('F_Inputs adjusted'!R:R,'F_Inputs adjusted'!$A:$A,$A41,'F_Inputs adjusted'!$B:$B,$B41)</f>
        <v>0</v>
      </c>
      <c r="F41" s="182">
        <f ca="1">SUMIFS('F_Inputs adjusted'!S:S,'F_Inputs adjusted'!$A:$A,$A41,'F_Inputs adjusted'!$B:$B,$B41)</f>
        <v>0</v>
      </c>
      <c r="G41" s="182">
        <f ca="1">SUMIFS('F_Inputs adjusted'!T:T,'F_Inputs adjusted'!$A:$A,$A41,'F_Inputs adjusted'!$B:$B,$B41)</f>
        <v>0</v>
      </c>
      <c r="H41" s="182">
        <f ca="1">SUMIFS('F_Inputs adjusted'!U:U,'F_Inputs adjusted'!$A:$A,$A41,'F_Inputs adjusted'!$B:$B,$B41)</f>
        <v>0</v>
      </c>
      <c r="I41" s="182">
        <f ca="1">SUMIFS('F_Inputs adjusted'!V:V,'F_Inputs adjusted'!$A:$A,$A41,'F_Inputs adjusted'!$B:$B,$B41)</f>
        <v>0</v>
      </c>
      <c r="J41" s="182">
        <f ca="1">SUMIFS('F_Inputs adjusted'!W:W,'F_Inputs adjusted'!$A:$A,$A41,'F_Inputs adjusted'!$B:$B,$B41)</f>
        <v>0</v>
      </c>
      <c r="K41" s="182">
        <f ca="1">SUMIFS('F_Inputs adjusted'!X:X,'F_Inputs adjusted'!$A:$A,$A41,'F_Inputs adjusted'!$B:$B,$B41)</f>
        <v>0</v>
      </c>
    </row>
    <row r="42" spans="1:11" ht="13.15">
      <c r="A42" s="181" t="str">
        <f>F_Inputs!A44</f>
        <v>HDD</v>
      </c>
      <c r="B42" s="181" t="str">
        <f>F_Inputs!B44</f>
        <v>CWW20_050_PR24</v>
      </c>
      <c r="C42" s="181" t="str">
        <f>F_Inputs!C44</f>
        <v>Network / Storm overflow data - Number of new MCERTs event duration monitors installed at SPS emergency overflows</v>
      </c>
      <c r="D42" s="181" t="str">
        <f>F_Inputs!D45</f>
        <v>nr</v>
      </c>
      <c r="E42" s="182">
        <f ca="1">SUMIFS('F_Inputs adjusted'!R:R,'F_Inputs adjusted'!$A:$A,$A42,'F_Inputs adjusted'!$B:$B,$B42)</f>
        <v>0</v>
      </c>
      <c r="F42" s="182">
        <f ca="1">SUMIFS('F_Inputs adjusted'!S:S,'F_Inputs adjusted'!$A:$A,$A42,'F_Inputs adjusted'!$B:$B,$B42)</f>
        <v>0</v>
      </c>
      <c r="G42" s="182">
        <f ca="1">SUMIFS('F_Inputs adjusted'!T:T,'F_Inputs adjusted'!$A:$A,$A42,'F_Inputs adjusted'!$B:$B,$B42)</f>
        <v>1</v>
      </c>
      <c r="H42" s="182">
        <f ca="1">SUMIFS('F_Inputs adjusted'!U:U,'F_Inputs adjusted'!$A:$A,$A42,'F_Inputs adjusted'!$B:$B,$B42)</f>
        <v>1</v>
      </c>
      <c r="I42" s="182">
        <f ca="1">SUMIFS('F_Inputs adjusted'!V:V,'F_Inputs adjusted'!$A:$A,$A42,'F_Inputs adjusted'!$B:$B,$B42)</f>
        <v>1</v>
      </c>
      <c r="J42" s="182">
        <f ca="1">SUMIFS('F_Inputs adjusted'!W:W,'F_Inputs adjusted'!$A:$A,$A42,'F_Inputs adjusted'!$B:$B,$B42)</f>
        <v>1</v>
      </c>
      <c r="K42" s="182">
        <f ca="1">SUMIFS('F_Inputs adjusted'!X:X,'F_Inputs adjusted'!$A:$A,$A42,'F_Inputs adjusted'!$B:$B,$B42)</f>
        <v>1</v>
      </c>
    </row>
    <row r="43" spans="1:11" ht="13.15">
      <c r="A43" s="181" t="str">
        <f>F_Inputs!A45</f>
        <v>HDD</v>
      </c>
      <c r="B43" s="181" t="str">
        <f>F_Inputs!B45</f>
        <v>CWW20_051_PR24</v>
      </c>
      <c r="C43" s="181" t="str">
        <f>F_Inputs!C45</f>
        <v>Network / Storm overflow data - Number of new MCERTs flow monitors (PFF) installed at SPSs with combined emergency and storm overflows.</v>
      </c>
      <c r="D43" s="181" t="str">
        <f>F_Inputs!D46</f>
        <v>nr</v>
      </c>
      <c r="E43" s="182">
        <f ca="1">SUMIFS('F_Inputs adjusted'!R:R,'F_Inputs adjusted'!$A:$A,$A43,'F_Inputs adjusted'!$B:$B,$B43)</f>
        <v>0</v>
      </c>
      <c r="F43" s="182">
        <f ca="1">SUMIFS('F_Inputs adjusted'!S:S,'F_Inputs adjusted'!$A:$A,$A43,'F_Inputs adjusted'!$B:$B,$B43)</f>
        <v>0</v>
      </c>
      <c r="G43" s="182">
        <f ca="1">SUMIFS('F_Inputs adjusted'!T:T,'F_Inputs adjusted'!$A:$A,$A43,'F_Inputs adjusted'!$B:$B,$B43)</f>
        <v>0</v>
      </c>
      <c r="H43" s="182">
        <f ca="1">SUMIFS('F_Inputs adjusted'!U:U,'F_Inputs adjusted'!$A:$A,$A43,'F_Inputs adjusted'!$B:$B,$B43)</f>
        <v>1</v>
      </c>
      <c r="I43" s="182">
        <f ca="1">SUMIFS('F_Inputs adjusted'!V:V,'F_Inputs adjusted'!$A:$A,$A43,'F_Inputs adjusted'!$B:$B,$B43)</f>
        <v>1</v>
      </c>
      <c r="J43" s="182">
        <f ca="1">SUMIFS('F_Inputs adjusted'!W:W,'F_Inputs adjusted'!$A:$A,$A43,'F_Inputs adjusted'!$B:$B,$B43)</f>
        <v>1</v>
      </c>
      <c r="K43" s="182">
        <f ca="1">SUMIFS('F_Inputs adjusted'!X:X,'F_Inputs adjusted'!$A:$A,$A43,'F_Inputs adjusted'!$B:$B,$B43)</f>
        <v>1</v>
      </c>
    </row>
    <row r="44" spans="1:11" ht="13.15">
      <c r="A44" s="181" t="str">
        <f>F_Inputs!A46</f>
        <v>HDD</v>
      </c>
      <c r="B44" s="181" t="str">
        <f>F_Inputs!B46</f>
        <v>CWW20A_050_PR24</v>
      </c>
      <c r="C44" s="181" t="str">
        <f>F_Inputs!C46</f>
        <v>Network / Storm overflow data - Number of new MCERTs event duration monitors installed at SPS emergency overflows</v>
      </c>
      <c r="D44" s="181" t="str">
        <f>F_Inputs!D47</f>
        <v>nr</v>
      </c>
      <c r="E44" s="182">
        <f ca="1">SUMIFS('F_Inputs adjusted'!R:R,'F_Inputs adjusted'!$A:$A,$A44,'F_Inputs adjusted'!$B:$B,$B44)</f>
        <v>0</v>
      </c>
      <c r="F44" s="182">
        <f ca="1">SUMIFS('F_Inputs adjusted'!S:S,'F_Inputs adjusted'!$A:$A,$A44,'F_Inputs adjusted'!$B:$B,$B44)</f>
        <v>0</v>
      </c>
      <c r="G44" s="182">
        <f ca="1">SUMIFS('F_Inputs adjusted'!T:T,'F_Inputs adjusted'!$A:$A,$A44,'F_Inputs adjusted'!$B:$B,$B44)</f>
        <v>0</v>
      </c>
      <c r="H44" s="182">
        <f ca="1">SUMIFS('F_Inputs adjusted'!U:U,'F_Inputs adjusted'!$A:$A,$A44,'F_Inputs adjusted'!$B:$B,$B44)</f>
        <v>0</v>
      </c>
      <c r="I44" s="182">
        <f ca="1">SUMIFS('F_Inputs adjusted'!V:V,'F_Inputs adjusted'!$A:$A,$A44,'F_Inputs adjusted'!$B:$B,$B44)</f>
        <v>0</v>
      </c>
      <c r="J44" s="182">
        <f ca="1">SUMIFS('F_Inputs adjusted'!W:W,'F_Inputs adjusted'!$A:$A,$A44,'F_Inputs adjusted'!$B:$B,$B44)</f>
        <v>0</v>
      </c>
      <c r="K44" s="182">
        <f ca="1">SUMIFS('F_Inputs adjusted'!X:X,'F_Inputs adjusted'!$A:$A,$A44,'F_Inputs adjusted'!$B:$B,$B44)</f>
        <v>0</v>
      </c>
    </row>
    <row r="45" spans="1:11" ht="13.15">
      <c r="A45" s="181" t="str">
        <f>F_Inputs!A47</f>
        <v>HDD</v>
      </c>
      <c r="B45" s="181" t="str">
        <f>F_Inputs!B47</f>
        <v>CWW20A_051_PR24</v>
      </c>
      <c r="C45" s="181" t="str">
        <f>F_Inputs!C47</f>
        <v>Network / Storm overflow data - Number of new MCERTs flow monitors (PFF) installed at SPSs with combined emergency and storm overflows.</v>
      </c>
      <c r="D45" s="181" t="str">
        <f>F_Inputs!D48</f>
        <v>£m</v>
      </c>
      <c r="E45" s="182">
        <f ca="1">SUMIFS('F_Inputs adjusted'!R:R,'F_Inputs adjusted'!$A:$A,$A45,'F_Inputs adjusted'!$B:$B,$B45)</f>
        <v>0</v>
      </c>
      <c r="F45" s="182">
        <f ca="1">SUMIFS('F_Inputs adjusted'!S:S,'F_Inputs adjusted'!$A:$A,$A45,'F_Inputs adjusted'!$B:$B,$B45)</f>
        <v>0</v>
      </c>
      <c r="G45" s="182">
        <f ca="1">SUMIFS('F_Inputs adjusted'!T:T,'F_Inputs adjusted'!$A:$A,$A45,'F_Inputs adjusted'!$B:$B,$B45)</f>
        <v>0</v>
      </c>
      <c r="H45" s="182">
        <f ca="1">SUMIFS('F_Inputs adjusted'!U:U,'F_Inputs adjusted'!$A:$A,$A45,'F_Inputs adjusted'!$B:$B,$B45)</f>
        <v>0</v>
      </c>
      <c r="I45" s="182">
        <f ca="1">SUMIFS('F_Inputs adjusted'!V:V,'F_Inputs adjusted'!$A:$A,$A45,'F_Inputs adjusted'!$B:$B,$B45)</f>
        <v>0</v>
      </c>
      <c r="J45" s="182">
        <f ca="1">SUMIFS('F_Inputs adjusted'!W:W,'F_Inputs adjusted'!$A:$A,$A45,'F_Inputs adjusted'!$B:$B,$B45)</f>
        <v>0</v>
      </c>
      <c r="K45" s="182">
        <f ca="1">SUMIFS('F_Inputs adjusted'!X:X,'F_Inputs adjusted'!$A:$A,$A45,'F_Inputs adjusted'!$B:$B,$B45)</f>
        <v>0</v>
      </c>
    </row>
    <row r="46" spans="1:11" ht="13.15">
      <c r="A46" s="181" t="str">
        <f>F_Inputs!A48</f>
        <v>HDD</v>
      </c>
      <c r="B46" s="181" t="str">
        <f>F_Inputs!B48</f>
        <v>CWW1A_015TOT_PR24</v>
      </c>
      <c r="C46" s="181" t="str">
        <f>F_Inputs!C48</f>
        <v>Net totex - Total</v>
      </c>
      <c r="D46" s="181" t="str">
        <f>F_Inputs!D49</f>
        <v>£m</v>
      </c>
      <c r="E46" s="182">
        <f ca="1">SUMIFS('F_Inputs adjusted'!R:R,'F_Inputs adjusted'!$A:$A,$A46,'F_Inputs adjusted'!$B:$B,$B46)</f>
        <v>0</v>
      </c>
      <c r="F46" s="182">
        <f ca="1">SUMIFS('F_Inputs adjusted'!S:S,'F_Inputs adjusted'!$A:$A,$A46,'F_Inputs adjusted'!$B:$B,$B46)</f>
        <v>0</v>
      </c>
      <c r="G46" s="182">
        <f ca="1">SUMIFS('F_Inputs adjusted'!T:T,'F_Inputs adjusted'!$A:$A,$A46,'F_Inputs adjusted'!$B:$B,$B46)</f>
        <v>8.9449866348255469</v>
      </c>
      <c r="H46" s="182">
        <f ca="1">SUMIFS('F_Inputs adjusted'!U:U,'F_Inputs adjusted'!$A:$A,$A46,'F_Inputs adjusted'!$B:$B,$B46)</f>
        <v>10.513360129683161</v>
      </c>
      <c r="I46" s="182">
        <f ca="1">SUMIFS('F_Inputs adjusted'!V:V,'F_Inputs adjusted'!$A:$A,$A46,'F_Inputs adjusted'!$B:$B,$B46)</f>
        <v>14.777142001610789</v>
      </c>
      <c r="J46" s="182">
        <f ca="1">SUMIFS('F_Inputs adjusted'!W:W,'F_Inputs adjusted'!$A:$A,$A46,'F_Inputs adjusted'!$B:$B,$B46)</f>
        <v>17.269327311959941</v>
      </c>
      <c r="K46" s="182">
        <f ca="1">SUMIFS('F_Inputs adjusted'!X:X,'F_Inputs adjusted'!$A:$A,$A46,'F_Inputs adjusted'!$B:$B,$B46)</f>
        <v>9.7979959403769783</v>
      </c>
    </row>
    <row r="47" spans="1:11" ht="13.15">
      <c r="A47" s="181" t="str">
        <f>F_Inputs!A49</f>
        <v>NES</v>
      </c>
      <c r="B47" s="181" t="str">
        <f>F_Inputs!B49</f>
        <v>CWW3_010TOT_PR24</v>
      </c>
      <c r="C47" s="181" t="str">
        <f>F_Inputs!C49</f>
        <v>EA/NRW environmental programme wastewater (WINEP/NEP) - MCERTs monitoring at emergency sewage pumping station overflows (WINEP/NEP) wastewater capex - Total</v>
      </c>
      <c r="D47" s="181" t="str">
        <f>F_Inputs!D50</f>
        <v>£m</v>
      </c>
      <c r="E47" s="182">
        <f ca="1">SUMIFS('F_Inputs adjusted'!R:R,'F_Inputs adjusted'!$A:$A,$A47,'F_Inputs adjusted'!$B:$B,$B47)</f>
        <v>0</v>
      </c>
      <c r="F47" s="182">
        <f ca="1">SUMIFS('F_Inputs adjusted'!S:S,'F_Inputs adjusted'!$A:$A,$A47,'F_Inputs adjusted'!$B:$B,$B47)</f>
        <v>0</v>
      </c>
      <c r="G47" s="182">
        <f ca="1">SUMIFS('F_Inputs adjusted'!T:T,'F_Inputs adjusted'!$A:$A,$A47,'F_Inputs adjusted'!$B:$B,$B47)</f>
        <v>5.6752500000000001</v>
      </c>
      <c r="H47" s="182">
        <f ca="1">SUMIFS('F_Inputs adjusted'!U:U,'F_Inputs adjusted'!$A:$A,$A47,'F_Inputs adjusted'!$B:$B,$B47)</f>
        <v>5.6752500000000001</v>
      </c>
      <c r="I47" s="182">
        <f ca="1">SUMIFS('F_Inputs adjusted'!V:V,'F_Inputs adjusted'!$A:$A,$A47,'F_Inputs adjusted'!$B:$B,$B47)</f>
        <v>5.6752500000000001</v>
      </c>
      <c r="J47" s="182">
        <f ca="1">SUMIFS('F_Inputs adjusted'!W:W,'F_Inputs adjusted'!$A:$A,$A47,'F_Inputs adjusted'!$B:$B,$B47)</f>
        <v>5.6752500000000001</v>
      </c>
      <c r="K47" s="182">
        <f ca="1">SUMIFS('F_Inputs adjusted'!X:X,'F_Inputs adjusted'!$A:$A,$A47,'F_Inputs adjusted'!$B:$B,$B47)</f>
        <v>5.6752500000000001</v>
      </c>
    </row>
    <row r="48" spans="1:11" ht="13.15">
      <c r="A48" s="181" t="str">
        <f>F_Inputs!A50</f>
        <v>NES</v>
      </c>
      <c r="B48" s="181" t="str">
        <f>F_Inputs!B50</f>
        <v>CWW3_011TOT_PR24</v>
      </c>
      <c r="C48" s="181" t="str">
        <f>F_Inputs!C50</f>
        <v>EA/NRW environmental programme wastewater (WINEP/NEP) - MCERTs monitoring at emergency sewage pumping station overflows (WINEP/NEP) wastewater opex - Total</v>
      </c>
      <c r="D48" s="181" t="str">
        <f>F_Inputs!D51</f>
        <v>£m</v>
      </c>
      <c r="E48" s="182">
        <f ca="1">SUMIFS('F_Inputs adjusted'!R:R,'F_Inputs adjusted'!$A:$A,$A48,'F_Inputs adjusted'!$B:$B,$B48)</f>
        <v>0</v>
      </c>
      <c r="F48" s="182">
        <f ca="1">SUMIFS('F_Inputs adjusted'!S:S,'F_Inputs adjusted'!$A:$A,$A48,'F_Inputs adjusted'!$B:$B,$B48)</f>
        <v>0</v>
      </c>
      <c r="G48" s="182">
        <f ca="1">SUMIFS('F_Inputs adjusted'!T:T,'F_Inputs adjusted'!$A:$A,$A48,'F_Inputs adjusted'!$B:$B,$B48)</f>
        <v>0</v>
      </c>
      <c r="H48" s="182">
        <f ca="1">SUMIFS('F_Inputs adjusted'!U:U,'F_Inputs adjusted'!$A:$A,$A48,'F_Inputs adjusted'!$B:$B,$B48)</f>
        <v>0.73750000000000004</v>
      </c>
      <c r="I48" s="182">
        <f ca="1">SUMIFS('F_Inputs adjusted'!V:V,'F_Inputs adjusted'!$A:$A,$A48,'F_Inputs adjusted'!$B:$B,$B48)</f>
        <v>0.73750000000000004</v>
      </c>
      <c r="J48" s="182">
        <f ca="1">SUMIFS('F_Inputs adjusted'!W:W,'F_Inputs adjusted'!$A:$A,$A48,'F_Inputs adjusted'!$B:$B,$B48)</f>
        <v>0.73750000000000004</v>
      </c>
      <c r="K48" s="182">
        <f ca="1">SUMIFS('F_Inputs adjusted'!X:X,'F_Inputs adjusted'!$A:$A,$A48,'F_Inputs adjusted'!$B:$B,$B48)</f>
        <v>0.73750000000000004</v>
      </c>
    </row>
    <row r="49" spans="1:11" ht="13.15">
      <c r="A49" s="181" t="str">
        <f>F_Inputs!A51</f>
        <v>NES</v>
      </c>
      <c r="B49" s="181" t="str">
        <f>F_Inputs!B51</f>
        <v>CWW3_012TOT_PR24</v>
      </c>
      <c r="C49" s="181" t="str">
        <f>F_Inputs!C51</f>
        <v>EA/NRW environmental programme wastewater (WINEP/NEP) - MCERTs monitoring at emergency sewage pumping station overflows (WINEP/NEP) wastewater totex - Total</v>
      </c>
      <c r="D49" s="181" t="str">
        <f>F_Inputs!D52</f>
        <v>£m</v>
      </c>
      <c r="E49" s="182">
        <f ca="1">SUMIFS('F_Inputs adjusted'!R:R,'F_Inputs adjusted'!$A:$A,$A49,'F_Inputs adjusted'!$B:$B,$B49)</f>
        <v>0</v>
      </c>
      <c r="F49" s="182">
        <f ca="1">SUMIFS('F_Inputs adjusted'!S:S,'F_Inputs adjusted'!$A:$A,$A49,'F_Inputs adjusted'!$B:$B,$B49)</f>
        <v>0</v>
      </c>
      <c r="G49" s="182">
        <f ca="1">SUMIFS('F_Inputs adjusted'!T:T,'F_Inputs adjusted'!$A:$A,$A49,'F_Inputs adjusted'!$B:$B,$B49)</f>
        <v>5.6752500000000001</v>
      </c>
      <c r="H49" s="182">
        <f ca="1">SUMIFS('F_Inputs adjusted'!U:U,'F_Inputs adjusted'!$A:$A,$A49,'F_Inputs adjusted'!$B:$B,$B49)</f>
        <v>6.4127500000000008</v>
      </c>
      <c r="I49" s="182">
        <f ca="1">SUMIFS('F_Inputs adjusted'!V:V,'F_Inputs adjusted'!$A:$A,$A49,'F_Inputs adjusted'!$B:$B,$B49)</f>
        <v>6.4127500000000008</v>
      </c>
      <c r="J49" s="182">
        <f ca="1">SUMIFS('F_Inputs adjusted'!W:W,'F_Inputs adjusted'!$A:$A,$A49,'F_Inputs adjusted'!$B:$B,$B49)</f>
        <v>6.4127500000000008</v>
      </c>
      <c r="K49" s="182">
        <f ca="1">SUMIFS('F_Inputs adjusted'!X:X,'F_Inputs adjusted'!$A:$A,$A49,'F_Inputs adjusted'!$B:$B,$B49)</f>
        <v>6.4127500000000008</v>
      </c>
    </row>
    <row r="50" spans="1:11" ht="13.15">
      <c r="A50" s="181" t="str">
        <f>F_Inputs!A52</f>
        <v>NES</v>
      </c>
      <c r="B50" s="181" t="str">
        <f>F_Inputs!B52</f>
        <v>CWW12_010TOT_PR24</v>
      </c>
      <c r="C50" s="181" t="str">
        <f>F_Inputs!C52</f>
        <v>EA/NRW environmental programme wastewater (WINEP/NEP) - MCERTs monitoring at emergency sewage pumping station overflows (WINEP/NEP) wastewater capex - Total</v>
      </c>
      <c r="D50" s="181" t="str">
        <f>F_Inputs!D53</f>
        <v>£m</v>
      </c>
      <c r="E50" s="182">
        <f ca="1">SUMIFS('F_Inputs adjusted'!R:R,'F_Inputs adjusted'!$A:$A,$A50,'F_Inputs adjusted'!$B:$B,$B50)</f>
        <v>0</v>
      </c>
      <c r="F50" s="182">
        <f ca="1">SUMIFS('F_Inputs adjusted'!S:S,'F_Inputs adjusted'!$A:$A,$A50,'F_Inputs adjusted'!$B:$B,$B50)</f>
        <v>0</v>
      </c>
      <c r="G50" s="182">
        <f ca="1">SUMIFS('F_Inputs adjusted'!T:T,'F_Inputs adjusted'!$A:$A,$A50,'F_Inputs adjusted'!$B:$B,$B50)</f>
        <v>0</v>
      </c>
      <c r="H50" s="182">
        <f ca="1">SUMIFS('F_Inputs adjusted'!U:U,'F_Inputs adjusted'!$A:$A,$A50,'F_Inputs adjusted'!$B:$B,$B50)</f>
        <v>0</v>
      </c>
      <c r="I50" s="182">
        <f ca="1">SUMIFS('F_Inputs adjusted'!V:V,'F_Inputs adjusted'!$A:$A,$A50,'F_Inputs adjusted'!$B:$B,$B50)</f>
        <v>0</v>
      </c>
      <c r="J50" s="182">
        <f ca="1">SUMIFS('F_Inputs adjusted'!W:W,'F_Inputs adjusted'!$A:$A,$A50,'F_Inputs adjusted'!$B:$B,$B50)</f>
        <v>0</v>
      </c>
      <c r="K50" s="182">
        <f ca="1">SUMIFS('F_Inputs adjusted'!X:X,'F_Inputs adjusted'!$A:$A,$A50,'F_Inputs adjusted'!$B:$B,$B50)</f>
        <v>0</v>
      </c>
    </row>
    <row r="51" spans="1:11" ht="13.15">
      <c r="A51" s="181" t="str">
        <f>F_Inputs!A53</f>
        <v>NES</v>
      </c>
      <c r="B51" s="181" t="str">
        <f>F_Inputs!B53</f>
        <v>CWW12_011TOT_PR24</v>
      </c>
      <c r="C51" s="181" t="str">
        <f>F_Inputs!C53</f>
        <v>EA/NRW environmental programme wastewater (WINEP/NEP) - MCERTs monitoring at emergency sewage pumping station overflows (WINEP/NEP) wastewater opex - Total</v>
      </c>
      <c r="D51" s="181" t="str">
        <f>F_Inputs!D54</f>
        <v>£m</v>
      </c>
      <c r="E51" s="182">
        <f ca="1">SUMIFS('F_Inputs adjusted'!R:R,'F_Inputs adjusted'!$A:$A,$A51,'F_Inputs adjusted'!$B:$B,$B51)</f>
        <v>0</v>
      </c>
      <c r="F51" s="182">
        <f ca="1">SUMIFS('F_Inputs adjusted'!S:S,'F_Inputs adjusted'!$A:$A,$A51,'F_Inputs adjusted'!$B:$B,$B51)</f>
        <v>0</v>
      </c>
      <c r="G51" s="182">
        <f ca="1">SUMIFS('F_Inputs adjusted'!T:T,'F_Inputs adjusted'!$A:$A,$A51,'F_Inputs adjusted'!$B:$B,$B51)</f>
        <v>0</v>
      </c>
      <c r="H51" s="182">
        <f ca="1">SUMIFS('F_Inputs adjusted'!U:U,'F_Inputs adjusted'!$A:$A,$A51,'F_Inputs adjusted'!$B:$B,$B51)</f>
        <v>0</v>
      </c>
      <c r="I51" s="182">
        <f ca="1">SUMIFS('F_Inputs adjusted'!V:V,'F_Inputs adjusted'!$A:$A,$A51,'F_Inputs adjusted'!$B:$B,$B51)</f>
        <v>0</v>
      </c>
      <c r="J51" s="182">
        <f ca="1">SUMIFS('F_Inputs adjusted'!W:W,'F_Inputs adjusted'!$A:$A,$A51,'F_Inputs adjusted'!$B:$B,$B51)</f>
        <v>0</v>
      </c>
      <c r="K51" s="182">
        <f ca="1">SUMIFS('F_Inputs adjusted'!X:X,'F_Inputs adjusted'!$A:$A,$A51,'F_Inputs adjusted'!$B:$B,$B51)</f>
        <v>0</v>
      </c>
    </row>
    <row r="52" spans="1:11" ht="13.15">
      <c r="A52" s="181" t="str">
        <f>F_Inputs!A54</f>
        <v>NES</v>
      </c>
      <c r="B52" s="181" t="str">
        <f>F_Inputs!B54</f>
        <v>CWW12_012TOT_PR24</v>
      </c>
      <c r="C52" s="181" t="str">
        <f>F_Inputs!C54</f>
        <v>EA/NRW environmental programme wastewater (WINEP/NEP) - MCERTs monitoring at emergency sewage pumping station overflows (WINEP/NEP) wastewater totex - Total</v>
      </c>
      <c r="D52" s="181" t="str">
        <f>F_Inputs!D55</f>
        <v>£m</v>
      </c>
      <c r="E52" s="182">
        <f ca="1">SUMIFS('F_Inputs adjusted'!R:R,'F_Inputs adjusted'!$A:$A,$A52,'F_Inputs adjusted'!$B:$B,$B52)</f>
        <v>0</v>
      </c>
      <c r="F52" s="182">
        <f ca="1">SUMIFS('F_Inputs adjusted'!S:S,'F_Inputs adjusted'!$A:$A,$A52,'F_Inputs adjusted'!$B:$B,$B52)</f>
        <v>0</v>
      </c>
      <c r="G52" s="182">
        <f ca="1">SUMIFS('F_Inputs adjusted'!T:T,'F_Inputs adjusted'!$A:$A,$A52,'F_Inputs adjusted'!$B:$B,$B52)</f>
        <v>0</v>
      </c>
      <c r="H52" s="182">
        <f ca="1">SUMIFS('F_Inputs adjusted'!U:U,'F_Inputs adjusted'!$A:$A,$A52,'F_Inputs adjusted'!$B:$B,$B52)</f>
        <v>0</v>
      </c>
      <c r="I52" s="182">
        <f ca="1">SUMIFS('F_Inputs adjusted'!V:V,'F_Inputs adjusted'!$A:$A,$A52,'F_Inputs adjusted'!$B:$B,$B52)</f>
        <v>0</v>
      </c>
      <c r="J52" s="182">
        <f ca="1">SUMIFS('F_Inputs adjusted'!W:W,'F_Inputs adjusted'!$A:$A,$A52,'F_Inputs adjusted'!$B:$B,$B52)</f>
        <v>0</v>
      </c>
      <c r="K52" s="182">
        <f ca="1">SUMIFS('F_Inputs adjusted'!X:X,'F_Inputs adjusted'!$A:$A,$A52,'F_Inputs adjusted'!$B:$B,$B52)</f>
        <v>0</v>
      </c>
    </row>
    <row r="53" spans="1:11" ht="13.15">
      <c r="A53" s="181" t="str">
        <f>F_Inputs!A55</f>
        <v>NES</v>
      </c>
      <c r="B53" s="181" t="str">
        <f>F_Inputs!B55</f>
        <v>CWW17_010TOT_PR24</v>
      </c>
      <c r="C53" s="181" t="str">
        <f>F_Inputs!C55</f>
        <v>EA/NRW environmental programme wastewater (WINEP/NEP) - MCERTs monitoring at emergency sewage pumping station overflows (WINEP/NEP) wastewater capex - Total</v>
      </c>
      <c r="D53" s="181" t="str">
        <f>F_Inputs!D56</f>
        <v>£m</v>
      </c>
      <c r="E53" s="182">
        <f ca="1">SUMIFS('F_Inputs adjusted'!R:R,'F_Inputs adjusted'!$A:$A,$A53,'F_Inputs adjusted'!$B:$B,$B53)</f>
        <v>0</v>
      </c>
      <c r="F53" s="182">
        <f ca="1">SUMIFS('F_Inputs adjusted'!S:S,'F_Inputs adjusted'!$A:$A,$A53,'F_Inputs adjusted'!$B:$B,$B53)</f>
        <v>0</v>
      </c>
      <c r="G53" s="182">
        <f ca="1">SUMIFS('F_Inputs adjusted'!T:T,'F_Inputs adjusted'!$A:$A,$A53,'F_Inputs adjusted'!$B:$B,$B53)</f>
        <v>0</v>
      </c>
      <c r="H53" s="182">
        <f ca="1">SUMIFS('F_Inputs adjusted'!U:U,'F_Inputs adjusted'!$A:$A,$A53,'F_Inputs adjusted'!$B:$B,$B53)</f>
        <v>0</v>
      </c>
      <c r="I53" s="182">
        <f ca="1">SUMIFS('F_Inputs adjusted'!V:V,'F_Inputs adjusted'!$A:$A,$A53,'F_Inputs adjusted'!$B:$B,$B53)</f>
        <v>0</v>
      </c>
      <c r="J53" s="182">
        <f ca="1">SUMIFS('F_Inputs adjusted'!W:W,'F_Inputs adjusted'!$A:$A,$A53,'F_Inputs adjusted'!$B:$B,$B53)</f>
        <v>0</v>
      </c>
      <c r="K53" s="182">
        <f ca="1">SUMIFS('F_Inputs adjusted'!X:X,'F_Inputs adjusted'!$A:$A,$A53,'F_Inputs adjusted'!$B:$B,$B53)</f>
        <v>0</v>
      </c>
    </row>
    <row r="54" spans="1:11" ht="13.15">
      <c r="A54" s="181" t="str">
        <f>F_Inputs!A56</f>
        <v>NES</v>
      </c>
      <c r="B54" s="181" t="str">
        <f>F_Inputs!B56</f>
        <v>CWW17_011TOT_PR24</v>
      </c>
      <c r="C54" s="181" t="str">
        <f>F_Inputs!C56</f>
        <v>EA/NRW environmental programme wastewater (WINEP/NEP) - MCERTs monitoring at emergency sewage pumping station overflows (WINEP/NEP) wastewater opex - Total</v>
      </c>
      <c r="D54" s="181" t="str">
        <f>F_Inputs!D57</f>
        <v>£m</v>
      </c>
      <c r="E54" s="182">
        <f ca="1">SUMIFS('F_Inputs adjusted'!R:R,'F_Inputs adjusted'!$A:$A,$A54,'F_Inputs adjusted'!$B:$B,$B54)</f>
        <v>0</v>
      </c>
      <c r="F54" s="182">
        <f ca="1">SUMIFS('F_Inputs adjusted'!S:S,'F_Inputs adjusted'!$A:$A,$A54,'F_Inputs adjusted'!$B:$B,$B54)</f>
        <v>0</v>
      </c>
      <c r="G54" s="182">
        <f ca="1">SUMIFS('F_Inputs adjusted'!T:T,'F_Inputs adjusted'!$A:$A,$A54,'F_Inputs adjusted'!$B:$B,$B54)</f>
        <v>0</v>
      </c>
      <c r="H54" s="182">
        <f ca="1">SUMIFS('F_Inputs adjusted'!U:U,'F_Inputs adjusted'!$A:$A,$A54,'F_Inputs adjusted'!$B:$B,$B54)</f>
        <v>0</v>
      </c>
      <c r="I54" s="182">
        <f ca="1">SUMIFS('F_Inputs adjusted'!V:V,'F_Inputs adjusted'!$A:$A,$A54,'F_Inputs adjusted'!$B:$B,$B54)</f>
        <v>0</v>
      </c>
      <c r="J54" s="182">
        <f ca="1">SUMIFS('F_Inputs adjusted'!W:W,'F_Inputs adjusted'!$A:$A,$A54,'F_Inputs adjusted'!$B:$B,$B54)</f>
        <v>0</v>
      </c>
      <c r="K54" s="182">
        <f ca="1">SUMIFS('F_Inputs adjusted'!X:X,'F_Inputs adjusted'!$A:$A,$A54,'F_Inputs adjusted'!$B:$B,$B54)</f>
        <v>0</v>
      </c>
    </row>
    <row r="55" spans="1:11" ht="13.15">
      <c r="A55" s="181" t="str">
        <f>F_Inputs!A57</f>
        <v>NES</v>
      </c>
      <c r="B55" s="181" t="str">
        <f>F_Inputs!B57</f>
        <v>CWW17_012TOT_PR24</v>
      </c>
      <c r="C55" s="181" t="str">
        <f>F_Inputs!C57</f>
        <v>EA/NRW environmental programme wastewater (WINEP/NEP) - MCERTs monitoring at emergency sewage pumping station overflows (WINEP/NEP) wastewater totex - Total</v>
      </c>
      <c r="D55" s="181" t="str">
        <f>F_Inputs!D58</f>
        <v>nr</v>
      </c>
      <c r="E55" s="182">
        <f ca="1">SUMIFS('F_Inputs adjusted'!R:R,'F_Inputs adjusted'!$A:$A,$A55,'F_Inputs adjusted'!$B:$B,$B55)</f>
        <v>0</v>
      </c>
      <c r="F55" s="182">
        <f ca="1">SUMIFS('F_Inputs adjusted'!S:S,'F_Inputs adjusted'!$A:$A,$A55,'F_Inputs adjusted'!$B:$B,$B55)</f>
        <v>0</v>
      </c>
      <c r="G55" s="182">
        <f ca="1">SUMIFS('F_Inputs adjusted'!T:T,'F_Inputs adjusted'!$A:$A,$A55,'F_Inputs adjusted'!$B:$B,$B55)</f>
        <v>0</v>
      </c>
      <c r="H55" s="182">
        <f ca="1">SUMIFS('F_Inputs adjusted'!U:U,'F_Inputs adjusted'!$A:$A,$A55,'F_Inputs adjusted'!$B:$B,$B55)</f>
        <v>0</v>
      </c>
      <c r="I55" s="182">
        <f ca="1">SUMIFS('F_Inputs adjusted'!V:V,'F_Inputs adjusted'!$A:$A,$A55,'F_Inputs adjusted'!$B:$B,$B55)</f>
        <v>0</v>
      </c>
      <c r="J55" s="182">
        <f ca="1">SUMIFS('F_Inputs adjusted'!W:W,'F_Inputs adjusted'!$A:$A,$A55,'F_Inputs adjusted'!$B:$B,$B55)</f>
        <v>0</v>
      </c>
      <c r="K55" s="182">
        <f ca="1">SUMIFS('F_Inputs adjusted'!X:X,'F_Inputs adjusted'!$A:$A,$A55,'F_Inputs adjusted'!$B:$B,$B55)</f>
        <v>0</v>
      </c>
    </row>
    <row r="56" spans="1:11" ht="13.15">
      <c r="A56" s="181" t="str">
        <f>F_Inputs!A58</f>
        <v>NES</v>
      </c>
      <c r="B56" s="181" t="str">
        <f>F_Inputs!B58</f>
        <v>CWW20_050_PR24</v>
      </c>
      <c r="C56" s="181" t="str">
        <f>F_Inputs!C58</f>
        <v>Network / Storm overflow data - Number of new MCERTs event duration monitors installed at SPS emergency overflows</v>
      </c>
      <c r="D56" s="181" t="str">
        <f>F_Inputs!D59</f>
        <v>nr</v>
      </c>
      <c r="E56" s="182">
        <f ca="1">SUMIFS('F_Inputs adjusted'!R:R,'F_Inputs adjusted'!$A:$A,$A56,'F_Inputs adjusted'!$B:$B,$B56)</f>
        <v>0</v>
      </c>
      <c r="F56" s="182">
        <f ca="1">SUMIFS('F_Inputs adjusted'!S:S,'F_Inputs adjusted'!$A:$A,$A56,'F_Inputs adjusted'!$B:$B,$B56)</f>
        <v>0</v>
      </c>
      <c r="G56" s="182">
        <f ca="1">SUMIFS('F_Inputs adjusted'!T:T,'F_Inputs adjusted'!$A:$A,$A56,'F_Inputs adjusted'!$B:$B,$B56)</f>
        <v>29</v>
      </c>
      <c r="H56" s="182">
        <f ca="1">SUMIFS('F_Inputs adjusted'!U:U,'F_Inputs adjusted'!$A:$A,$A56,'F_Inputs adjusted'!$B:$B,$B56)</f>
        <v>30</v>
      </c>
      <c r="I56" s="182">
        <f ca="1">SUMIFS('F_Inputs adjusted'!V:V,'F_Inputs adjusted'!$A:$A,$A56,'F_Inputs adjusted'!$B:$B,$B56)</f>
        <v>30</v>
      </c>
      <c r="J56" s="182">
        <f ca="1">SUMIFS('F_Inputs adjusted'!W:W,'F_Inputs adjusted'!$A:$A,$A56,'F_Inputs adjusted'!$B:$B,$B56)</f>
        <v>30</v>
      </c>
      <c r="K56" s="182">
        <f ca="1">SUMIFS('F_Inputs adjusted'!X:X,'F_Inputs adjusted'!$A:$A,$A56,'F_Inputs adjusted'!$B:$B,$B56)</f>
        <v>30</v>
      </c>
    </row>
    <row r="57" spans="1:11" ht="13.15">
      <c r="A57" s="181" t="str">
        <f>F_Inputs!A59</f>
        <v>NES</v>
      </c>
      <c r="B57" s="181" t="str">
        <f>F_Inputs!B59</f>
        <v>CWW20_051_PR24</v>
      </c>
      <c r="C57" s="181" t="str">
        <f>F_Inputs!C59</f>
        <v>Network / Storm overflow data - Number of new MCERTs flow monitors (PFF) installed at SPSs with combined emergency and storm overflows.</v>
      </c>
      <c r="D57" s="181" t="str">
        <f>F_Inputs!D60</f>
        <v>nr</v>
      </c>
      <c r="E57" s="182">
        <f ca="1">SUMIFS('F_Inputs adjusted'!R:R,'F_Inputs adjusted'!$A:$A,$A57,'F_Inputs adjusted'!$B:$B,$B57)</f>
        <v>0</v>
      </c>
      <c r="F57" s="182">
        <f ca="1">SUMIFS('F_Inputs adjusted'!S:S,'F_Inputs adjusted'!$A:$A,$A57,'F_Inputs adjusted'!$B:$B,$B57)</f>
        <v>0</v>
      </c>
      <c r="G57" s="182">
        <f ca="1">SUMIFS('F_Inputs adjusted'!T:T,'F_Inputs adjusted'!$A:$A,$A57,'F_Inputs adjusted'!$B:$B,$B57)</f>
        <v>12</v>
      </c>
      <c r="H57" s="182">
        <f ca="1">SUMIFS('F_Inputs adjusted'!U:U,'F_Inputs adjusted'!$A:$A,$A57,'F_Inputs adjusted'!$B:$B,$B57)</f>
        <v>13</v>
      </c>
      <c r="I57" s="182">
        <f ca="1">SUMIFS('F_Inputs adjusted'!V:V,'F_Inputs adjusted'!$A:$A,$A57,'F_Inputs adjusted'!$B:$B,$B57)</f>
        <v>13</v>
      </c>
      <c r="J57" s="182">
        <f ca="1">SUMIFS('F_Inputs adjusted'!W:W,'F_Inputs adjusted'!$A:$A,$A57,'F_Inputs adjusted'!$B:$B,$B57)</f>
        <v>13</v>
      </c>
      <c r="K57" s="182">
        <f ca="1">SUMIFS('F_Inputs adjusted'!X:X,'F_Inputs adjusted'!$A:$A,$A57,'F_Inputs adjusted'!$B:$B,$B57)</f>
        <v>13</v>
      </c>
    </row>
    <row r="58" spans="1:11" ht="13.15">
      <c r="A58" s="181" t="str">
        <f>F_Inputs!A60</f>
        <v>NES</v>
      </c>
      <c r="B58" s="181" t="str">
        <f>F_Inputs!B60</f>
        <v>CWW20A_050_PR24</v>
      </c>
      <c r="C58" s="181" t="str">
        <f>F_Inputs!C60</f>
        <v>Network / Storm overflow data - Number of new MCERTs event duration monitors installed at SPS emergency overflows</v>
      </c>
      <c r="D58" s="181" t="str">
        <f>F_Inputs!D61</f>
        <v>nr</v>
      </c>
      <c r="E58" s="182">
        <f ca="1">SUMIFS('F_Inputs adjusted'!R:R,'F_Inputs adjusted'!$A:$A,$A58,'F_Inputs adjusted'!$B:$B,$B58)</f>
        <v>0</v>
      </c>
      <c r="F58" s="182">
        <f ca="1">SUMIFS('F_Inputs adjusted'!S:S,'F_Inputs adjusted'!$A:$A,$A58,'F_Inputs adjusted'!$B:$B,$B58)</f>
        <v>0</v>
      </c>
      <c r="G58" s="182">
        <f ca="1">SUMIFS('F_Inputs adjusted'!T:T,'F_Inputs adjusted'!$A:$A,$A58,'F_Inputs adjusted'!$B:$B,$B58)</f>
        <v>0</v>
      </c>
      <c r="H58" s="182">
        <f ca="1">SUMIFS('F_Inputs adjusted'!U:U,'F_Inputs adjusted'!$A:$A,$A58,'F_Inputs adjusted'!$B:$B,$B58)</f>
        <v>0</v>
      </c>
      <c r="I58" s="182">
        <f ca="1">SUMIFS('F_Inputs adjusted'!V:V,'F_Inputs adjusted'!$A:$A,$A58,'F_Inputs adjusted'!$B:$B,$B58)</f>
        <v>0</v>
      </c>
      <c r="J58" s="182">
        <f ca="1">SUMIFS('F_Inputs adjusted'!W:W,'F_Inputs adjusted'!$A:$A,$A58,'F_Inputs adjusted'!$B:$B,$B58)</f>
        <v>0</v>
      </c>
      <c r="K58" s="182">
        <f ca="1">SUMIFS('F_Inputs adjusted'!X:X,'F_Inputs adjusted'!$A:$A,$A58,'F_Inputs adjusted'!$B:$B,$B58)</f>
        <v>0</v>
      </c>
    </row>
    <row r="59" spans="1:11" ht="13.15">
      <c r="A59" s="181" t="str">
        <f>F_Inputs!A61</f>
        <v>NES</v>
      </c>
      <c r="B59" s="181" t="str">
        <f>F_Inputs!B61</f>
        <v>CWW20A_051_PR24</v>
      </c>
      <c r="C59" s="181" t="str">
        <f>F_Inputs!C61</f>
        <v>Network / Storm overflow data - Number of new MCERTs flow monitors (PFF) installed at SPSs with combined emergency and storm overflows.</v>
      </c>
      <c r="D59" s="181" t="str">
        <f>F_Inputs!D62</f>
        <v>£m</v>
      </c>
      <c r="E59" s="182">
        <f ca="1">SUMIFS('F_Inputs adjusted'!R:R,'F_Inputs adjusted'!$A:$A,$A59,'F_Inputs adjusted'!$B:$B,$B59)</f>
        <v>0</v>
      </c>
      <c r="F59" s="182">
        <f ca="1">SUMIFS('F_Inputs adjusted'!S:S,'F_Inputs adjusted'!$A:$A,$A59,'F_Inputs adjusted'!$B:$B,$B59)</f>
        <v>0</v>
      </c>
      <c r="G59" s="182">
        <f ca="1">SUMIFS('F_Inputs adjusted'!T:T,'F_Inputs adjusted'!$A:$A,$A59,'F_Inputs adjusted'!$B:$B,$B59)</f>
        <v>0</v>
      </c>
      <c r="H59" s="182">
        <f ca="1">SUMIFS('F_Inputs adjusted'!U:U,'F_Inputs adjusted'!$A:$A,$A59,'F_Inputs adjusted'!$B:$B,$B59)</f>
        <v>0</v>
      </c>
      <c r="I59" s="182">
        <f ca="1">SUMIFS('F_Inputs adjusted'!V:V,'F_Inputs adjusted'!$A:$A,$A59,'F_Inputs adjusted'!$B:$B,$B59)</f>
        <v>0</v>
      </c>
      <c r="J59" s="182">
        <f ca="1">SUMIFS('F_Inputs adjusted'!W:W,'F_Inputs adjusted'!$A:$A,$A59,'F_Inputs adjusted'!$B:$B,$B59)</f>
        <v>0</v>
      </c>
      <c r="K59" s="182">
        <f ca="1">SUMIFS('F_Inputs adjusted'!X:X,'F_Inputs adjusted'!$A:$A,$A59,'F_Inputs adjusted'!$B:$B,$B59)</f>
        <v>0</v>
      </c>
    </row>
    <row r="60" spans="1:11" ht="13.15">
      <c r="A60" s="181" t="str">
        <f>F_Inputs!A62</f>
        <v>NES</v>
      </c>
      <c r="B60" s="181" t="str">
        <f>F_Inputs!B62</f>
        <v>CWW1A_015TOT_PR24</v>
      </c>
      <c r="C60" s="181" t="str">
        <f>F_Inputs!C62</f>
        <v>Net totex - Total</v>
      </c>
      <c r="D60" s="181" t="str">
        <f>F_Inputs!D63</f>
        <v>£m</v>
      </c>
      <c r="E60" s="182">
        <f ca="1">SUMIFS('F_Inputs adjusted'!R:R,'F_Inputs adjusted'!$A:$A,$A60,'F_Inputs adjusted'!$B:$B,$B60)</f>
        <v>0</v>
      </c>
      <c r="F60" s="182">
        <f ca="1">SUMIFS('F_Inputs adjusted'!S:S,'F_Inputs adjusted'!$A:$A,$A60,'F_Inputs adjusted'!$B:$B,$B60)</f>
        <v>0</v>
      </c>
      <c r="G60" s="182">
        <f ca="1">SUMIFS('F_Inputs adjusted'!T:T,'F_Inputs adjusted'!$A:$A,$A60,'F_Inputs adjusted'!$B:$B,$B60)</f>
        <v>637.49235151146331</v>
      </c>
      <c r="H60" s="182">
        <f ca="1">SUMIFS('F_Inputs adjusted'!U:U,'F_Inputs adjusted'!$A:$A,$A60,'F_Inputs adjusted'!$B:$B,$B60)</f>
        <v>649.43938105100824</v>
      </c>
      <c r="I60" s="182">
        <f ca="1">SUMIFS('F_Inputs adjusted'!V:V,'F_Inputs adjusted'!$A:$A,$A60,'F_Inputs adjusted'!$B:$B,$B60)</f>
        <v>633.75696696428611</v>
      </c>
      <c r="J60" s="182">
        <f ca="1">SUMIFS('F_Inputs adjusted'!W:W,'F_Inputs adjusted'!$A:$A,$A60,'F_Inputs adjusted'!$B:$B,$B60)</f>
        <v>617.35869124562396</v>
      </c>
      <c r="K60" s="182">
        <f ca="1">SUMIFS('F_Inputs adjusted'!X:X,'F_Inputs adjusted'!$A:$A,$A60,'F_Inputs adjusted'!$B:$B,$B60)</f>
        <v>590.04476795521828</v>
      </c>
    </row>
    <row r="61" spans="1:11" ht="13.15">
      <c r="A61" s="181" t="str">
        <f>F_Inputs!A63</f>
        <v>SVE</v>
      </c>
      <c r="B61" s="181" t="str">
        <f>F_Inputs!B63</f>
        <v>CWW3_010TOT_PR24</v>
      </c>
      <c r="C61" s="181" t="str">
        <f>F_Inputs!C63</f>
        <v>EA/NRW environmental programme wastewater (WINEP/NEP) - MCERTs monitoring at emergency sewage pumping station overflows (WINEP/NEP) wastewater capex - Total</v>
      </c>
      <c r="D61" s="181" t="str">
        <f>F_Inputs!D64</f>
        <v>£m</v>
      </c>
      <c r="E61" s="182">
        <f ca="1">SUMIFS('F_Inputs adjusted'!R:R,'F_Inputs adjusted'!$A:$A,$A61,'F_Inputs adjusted'!$B:$B,$B61)</f>
        <v>0</v>
      </c>
      <c r="F61" s="182">
        <f ca="1">SUMIFS('F_Inputs adjusted'!S:S,'F_Inputs adjusted'!$A:$A,$A61,'F_Inputs adjusted'!$B:$B,$B61)</f>
        <v>0</v>
      </c>
      <c r="G61" s="182">
        <f ca="1">SUMIFS('F_Inputs adjusted'!T:T,'F_Inputs adjusted'!$A:$A,$A61,'F_Inputs adjusted'!$B:$B,$B61)</f>
        <v>2.4222169876894881</v>
      </c>
      <c r="H61" s="182">
        <f ca="1">SUMIFS('F_Inputs adjusted'!U:U,'F_Inputs adjusted'!$A:$A,$A61,'F_Inputs adjusted'!$B:$B,$B61)</f>
        <v>2.4970623405963779</v>
      </c>
      <c r="I61" s="182">
        <f ca="1">SUMIFS('F_Inputs adjusted'!V:V,'F_Inputs adjusted'!$A:$A,$A61,'F_Inputs adjusted'!$B:$B,$B61)</f>
        <v>3.8897476747409718</v>
      </c>
      <c r="J61" s="182">
        <f ca="1">SUMIFS('F_Inputs adjusted'!W:W,'F_Inputs adjusted'!$A:$A,$A61,'F_Inputs adjusted'!$B:$B,$B61)</f>
        <v>7.0000714619806184</v>
      </c>
      <c r="K61" s="182">
        <f ca="1">SUMIFS('F_Inputs adjusted'!X:X,'F_Inputs adjusted'!$A:$A,$A61,'F_Inputs adjusted'!$B:$B,$B61)</f>
        <v>9.6531095508949765</v>
      </c>
    </row>
    <row r="62" spans="1:11" ht="13.15">
      <c r="A62" s="181" t="str">
        <f>F_Inputs!A64</f>
        <v>SVE</v>
      </c>
      <c r="B62" s="181" t="str">
        <f>F_Inputs!B64</f>
        <v>CWW3_011TOT_PR24</v>
      </c>
      <c r="C62" s="181" t="str">
        <f>F_Inputs!C64</f>
        <v>EA/NRW environmental programme wastewater (WINEP/NEP) - MCERTs monitoring at emergency sewage pumping station overflows (WINEP/NEP) wastewater opex - Total</v>
      </c>
      <c r="D62" s="181" t="str">
        <f>F_Inputs!D65</f>
        <v>£m</v>
      </c>
      <c r="E62" s="182">
        <f ca="1">SUMIFS('F_Inputs adjusted'!R:R,'F_Inputs adjusted'!$A:$A,$A62,'F_Inputs adjusted'!$B:$B,$B62)</f>
        <v>0</v>
      </c>
      <c r="F62" s="182">
        <f ca="1">SUMIFS('F_Inputs adjusted'!S:S,'F_Inputs adjusted'!$A:$A,$A62,'F_Inputs adjusted'!$B:$B,$B62)</f>
        <v>0</v>
      </c>
      <c r="G62" s="182">
        <f ca="1">SUMIFS('F_Inputs adjusted'!T:T,'F_Inputs adjusted'!$A:$A,$A62,'F_Inputs adjusted'!$B:$B,$B62)</f>
        <v>2.3422693943730269E-2</v>
      </c>
      <c r="H62" s="182">
        <f ca="1">SUMIFS('F_Inputs adjusted'!U:U,'F_Inputs adjusted'!$A:$A,$A62,'F_Inputs adjusted'!$B:$B,$B62)</f>
        <v>9.861570446027397E-2</v>
      </c>
      <c r="I62" s="182">
        <f ca="1">SUMIFS('F_Inputs adjusted'!V:V,'F_Inputs adjusted'!$A:$A,$A62,'F_Inputs adjusted'!$B:$B,$B62)</f>
        <v>0.122151844582109</v>
      </c>
      <c r="J62" s="182">
        <f ca="1">SUMIFS('F_Inputs adjusted'!W:W,'F_Inputs adjusted'!$A:$A,$A62,'F_Inputs adjusted'!$B:$B,$B62)</f>
        <v>0.18052658330507129</v>
      </c>
      <c r="K62" s="182">
        <f ca="1">SUMIFS('F_Inputs adjusted'!X:X,'F_Inputs adjusted'!$A:$A,$A62,'F_Inputs adjusted'!$B:$B,$B62)</f>
        <v>0.31020580326515701</v>
      </c>
    </row>
    <row r="63" spans="1:11" ht="13.15">
      <c r="A63" s="181" t="str">
        <f>F_Inputs!A65</f>
        <v>SVE</v>
      </c>
      <c r="B63" s="181" t="str">
        <f>F_Inputs!B65</f>
        <v>CWW3_012TOT_PR24</v>
      </c>
      <c r="C63" s="181" t="str">
        <f>F_Inputs!C65</f>
        <v>EA/NRW environmental programme wastewater (WINEP/NEP) - MCERTs monitoring at emergency sewage pumping station overflows (WINEP/NEP) wastewater totex - Total</v>
      </c>
      <c r="D63" s="181" t="str">
        <f>F_Inputs!D66</f>
        <v>£m</v>
      </c>
      <c r="E63" s="182">
        <f ca="1">SUMIFS('F_Inputs adjusted'!R:R,'F_Inputs adjusted'!$A:$A,$A63,'F_Inputs adjusted'!$B:$B,$B63)</f>
        <v>0</v>
      </c>
      <c r="F63" s="182">
        <f ca="1">SUMIFS('F_Inputs adjusted'!S:S,'F_Inputs adjusted'!$A:$A,$A63,'F_Inputs adjusted'!$B:$B,$B63)</f>
        <v>0</v>
      </c>
      <c r="G63" s="182">
        <f ca="1">SUMIFS('F_Inputs adjusted'!T:T,'F_Inputs adjusted'!$A:$A,$A63,'F_Inputs adjusted'!$B:$B,$B63)</f>
        <v>2.4456396816332191</v>
      </c>
      <c r="H63" s="182">
        <f ca="1">SUMIFS('F_Inputs adjusted'!U:U,'F_Inputs adjusted'!$A:$A,$A63,'F_Inputs adjusted'!$B:$B,$B63)</f>
        <v>2.5956780450566521</v>
      </c>
      <c r="I63" s="182">
        <f ca="1">SUMIFS('F_Inputs adjusted'!V:V,'F_Inputs adjusted'!$A:$A,$A63,'F_Inputs adjusted'!$B:$B,$B63)</f>
        <v>4.0118995193230811</v>
      </c>
      <c r="J63" s="182">
        <f ca="1">SUMIFS('F_Inputs adjusted'!W:W,'F_Inputs adjusted'!$A:$A,$A63,'F_Inputs adjusted'!$B:$B,$B63)</f>
        <v>7.1805980452856897</v>
      </c>
      <c r="K63" s="182">
        <f ca="1">SUMIFS('F_Inputs adjusted'!X:X,'F_Inputs adjusted'!$A:$A,$A63,'F_Inputs adjusted'!$B:$B,$B63)</f>
        <v>9.963315354160132</v>
      </c>
    </row>
    <row r="64" spans="1:11" ht="13.15">
      <c r="A64" s="181" t="str">
        <f>F_Inputs!A66</f>
        <v>SVE</v>
      </c>
      <c r="B64" s="181" t="str">
        <f>F_Inputs!B66</f>
        <v>CWW12_010TOT_PR24</v>
      </c>
      <c r="C64" s="181" t="str">
        <f>F_Inputs!C66</f>
        <v>EA/NRW environmental programme wastewater (WINEP/NEP) - MCERTs monitoring at emergency sewage pumping station overflows (WINEP/NEP) wastewater capex - Total</v>
      </c>
      <c r="D64" s="181" t="str">
        <f>F_Inputs!D67</f>
        <v>£m</v>
      </c>
      <c r="E64" s="182">
        <f ca="1">SUMIFS('F_Inputs adjusted'!R:R,'F_Inputs adjusted'!$A:$A,$A64,'F_Inputs adjusted'!$B:$B,$B64)</f>
        <v>0</v>
      </c>
      <c r="F64" s="182">
        <f ca="1">SUMIFS('F_Inputs adjusted'!S:S,'F_Inputs adjusted'!$A:$A,$A64,'F_Inputs adjusted'!$B:$B,$B64)</f>
        <v>5.643126094345547E-2</v>
      </c>
      <c r="G64" s="182">
        <f ca="1">SUMIFS('F_Inputs adjusted'!T:T,'F_Inputs adjusted'!$A:$A,$A64,'F_Inputs adjusted'!$B:$B,$B64)</f>
        <v>0</v>
      </c>
      <c r="H64" s="182">
        <f ca="1">SUMIFS('F_Inputs adjusted'!U:U,'F_Inputs adjusted'!$A:$A,$A64,'F_Inputs adjusted'!$B:$B,$B64)</f>
        <v>0</v>
      </c>
      <c r="I64" s="182">
        <f ca="1">SUMIFS('F_Inputs adjusted'!V:V,'F_Inputs adjusted'!$A:$A,$A64,'F_Inputs adjusted'!$B:$B,$B64)</f>
        <v>0</v>
      </c>
      <c r="J64" s="182">
        <f ca="1">SUMIFS('F_Inputs adjusted'!W:W,'F_Inputs adjusted'!$A:$A,$A64,'F_Inputs adjusted'!$B:$B,$B64)</f>
        <v>0</v>
      </c>
      <c r="K64" s="182">
        <f ca="1">SUMIFS('F_Inputs adjusted'!X:X,'F_Inputs adjusted'!$A:$A,$A64,'F_Inputs adjusted'!$B:$B,$B64)</f>
        <v>0</v>
      </c>
    </row>
    <row r="65" spans="1:11" ht="13.15">
      <c r="A65" s="181" t="str">
        <f>F_Inputs!A67</f>
        <v>SVE</v>
      </c>
      <c r="B65" s="181" t="str">
        <f>F_Inputs!B67</f>
        <v>CWW12_011TOT_PR24</v>
      </c>
      <c r="C65" s="181" t="str">
        <f>F_Inputs!C67</f>
        <v>EA/NRW environmental programme wastewater (WINEP/NEP) - MCERTs monitoring at emergency sewage pumping station overflows (WINEP/NEP) wastewater opex - Total</v>
      </c>
      <c r="D65" s="181" t="str">
        <f>F_Inputs!D68</f>
        <v>£m</v>
      </c>
      <c r="E65" s="182">
        <f ca="1">SUMIFS('F_Inputs adjusted'!R:R,'F_Inputs adjusted'!$A:$A,$A65,'F_Inputs adjusted'!$B:$B,$B65)</f>
        <v>0</v>
      </c>
      <c r="F65" s="182">
        <f ca="1">SUMIFS('F_Inputs adjusted'!S:S,'F_Inputs adjusted'!$A:$A,$A65,'F_Inputs adjusted'!$B:$B,$B65)</f>
        <v>0</v>
      </c>
      <c r="G65" s="182">
        <f ca="1">SUMIFS('F_Inputs adjusted'!T:T,'F_Inputs adjusted'!$A:$A,$A65,'F_Inputs adjusted'!$B:$B,$B65)</f>
        <v>0</v>
      </c>
      <c r="H65" s="182">
        <f ca="1">SUMIFS('F_Inputs adjusted'!U:U,'F_Inputs adjusted'!$A:$A,$A65,'F_Inputs adjusted'!$B:$B,$B65)</f>
        <v>0</v>
      </c>
      <c r="I65" s="182">
        <f ca="1">SUMIFS('F_Inputs adjusted'!V:V,'F_Inputs adjusted'!$A:$A,$A65,'F_Inputs adjusted'!$B:$B,$B65)</f>
        <v>0</v>
      </c>
      <c r="J65" s="182">
        <f ca="1">SUMIFS('F_Inputs adjusted'!W:W,'F_Inputs adjusted'!$A:$A,$A65,'F_Inputs adjusted'!$B:$B,$B65)</f>
        <v>0</v>
      </c>
      <c r="K65" s="182">
        <f ca="1">SUMIFS('F_Inputs adjusted'!X:X,'F_Inputs adjusted'!$A:$A,$A65,'F_Inputs adjusted'!$B:$B,$B65)</f>
        <v>0</v>
      </c>
    </row>
    <row r="66" spans="1:11" ht="13.15">
      <c r="A66" s="181" t="str">
        <f>F_Inputs!A68</f>
        <v>SVE</v>
      </c>
      <c r="B66" s="181" t="str">
        <f>F_Inputs!B68</f>
        <v>CWW12_012TOT_PR24</v>
      </c>
      <c r="C66" s="181" t="str">
        <f>F_Inputs!C68</f>
        <v>EA/NRW environmental programme wastewater (WINEP/NEP) - MCERTs monitoring at emergency sewage pumping station overflows (WINEP/NEP) wastewater totex - Total</v>
      </c>
      <c r="D66" s="181" t="str">
        <f>F_Inputs!D69</f>
        <v>£m</v>
      </c>
      <c r="E66" s="182">
        <f ca="1">SUMIFS('F_Inputs adjusted'!R:R,'F_Inputs adjusted'!$A:$A,$A66,'F_Inputs adjusted'!$B:$B,$B66)</f>
        <v>0</v>
      </c>
      <c r="F66" s="182">
        <f ca="1">SUMIFS('F_Inputs adjusted'!S:S,'F_Inputs adjusted'!$A:$A,$A66,'F_Inputs adjusted'!$B:$B,$B66)</f>
        <v>5.643126094345547E-2</v>
      </c>
      <c r="G66" s="182">
        <f ca="1">SUMIFS('F_Inputs adjusted'!T:T,'F_Inputs adjusted'!$A:$A,$A66,'F_Inputs adjusted'!$B:$B,$B66)</f>
        <v>0</v>
      </c>
      <c r="H66" s="182">
        <f ca="1">SUMIFS('F_Inputs adjusted'!U:U,'F_Inputs adjusted'!$A:$A,$A66,'F_Inputs adjusted'!$B:$B,$B66)</f>
        <v>0</v>
      </c>
      <c r="I66" s="182">
        <f ca="1">SUMIFS('F_Inputs adjusted'!V:V,'F_Inputs adjusted'!$A:$A,$A66,'F_Inputs adjusted'!$B:$B,$B66)</f>
        <v>0</v>
      </c>
      <c r="J66" s="182">
        <f ca="1">SUMIFS('F_Inputs adjusted'!W:W,'F_Inputs adjusted'!$A:$A,$A66,'F_Inputs adjusted'!$B:$B,$B66)</f>
        <v>0</v>
      </c>
      <c r="K66" s="182">
        <f ca="1">SUMIFS('F_Inputs adjusted'!X:X,'F_Inputs adjusted'!$A:$A,$A66,'F_Inputs adjusted'!$B:$B,$B66)</f>
        <v>0</v>
      </c>
    </row>
    <row r="67" spans="1:11" ht="13.15">
      <c r="A67" s="181" t="str">
        <f>F_Inputs!A69</f>
        <v>SVE</v>
      </c>
      <c r="B67" s="181" t="str">
        <f>F_Inputs!B69</f>
        <v>CWW17_010TOT_PR24</v>
      </c>
      <c r="C67" s="181" t="str">
        <f>F_Inputs!C69</f>
        <v>EA/NRW environmental programme wastewater (WINEP/NEP) - MCERTs monitoring at emergency sewage pumping station overflows (WINEP/NEP) wastewater capex - Total</v>
      </c>
      <c r="D67" s="181" t="str">
        <f>F_Inputs!D70</f>
        <v>£m</v>
      </c>
      <c r="E67" s="182">
        <f ca="1">SUMIFS('F_Inputs adjusted'!R:R,'F_Inputs adjusted'!$A:$A,$A67,'F_Inputs adjusted'!$B:$B,$B67)</f>
        <v>0</v>
      </c>
      <c r="F67" s="182">
        <f ca="1">SUMIFS('F_Inputs adjusted'!S:S,'F_Inputs adjusted'!$A:$A,$A67,'F_Inputs adjusted'!$B:$B,$B67)</f>
        <v>0</v>
      </c>
      <c r="G67" s="182">
        <f ca="1">SUMIFS('F_Inputs adjusted'!T:T,'F_Inputs adjusted'!$A:$A,$A67,'F_Inputs adjusted'!$B:$B,$B67)</f>
        <v>0</v>
      </c>
      <c r="H67" s="182">
        <f ca="1">SUMIFS('F_Inputs adjusted'!U:U,'F_Inputs adjusted'!$A:$A,$A67,'F_Inputs adjusted'!$B:$B,$B67)</f>
        <v>0</v>
      </c>
      <c r="I67" s="182">
        <f ca="1">SUMIFS('F_Inputs adjusted'!V:V,'F_Inputs adjusted'!$A:$A,$A67,'F_Inputs adjusted'!$B:$B,$B67)</f>
        <v>0</v>
      </c>
      <c r="J67" s="182">
        <f ca="1">SUMIFS('F_Inputs adjusted'!W:W,'F_Inputs adjusted'!$A:$A,$A67,'F_Inputs adjusted'!$B:$B,$B67)</f>
        <v>0</v>
      </c>
      <c r="K67" s="182">
        <f ca="1">SUMIFS('F_Inputs adjusted'!X:X,'F_Inputs adjusted'!$A:$A,$A67,'F_Inputs adjusted'!$B:$B,$B67)</f>
        <v>0</v>
      </c>
    </row>
    <row r="68" spans="1:11" ht="13.15">
      <c r="A68" s="181" t="str">
        <f>F_Inputs!A70</f>
        <v>SVE</v>
      </c>
      <c r="B68" s="181" t="str">
        <f>F_Inputs!B70</f>
        <v>CWW17_011TOT_PR24</v>
      </c>
      <c r="C68" s="181" t="str">
        <f>F_Inputs!C70</f>
        <v>EA/NRW environmental programme wastewater (WINEP/NEP) - MCERTs monitoring at emergency sewage pumping station overflows (WINEP/NEP) wastewater opex - Total</v>
      </c>
      <c r="D68" s="181" t="str">
        <f>F_Inputs!D71</f>
        <v>£m</v>
      </c>
      <c r="E68" s="182">
        <f ca="1">SUMIFS('F_Inputs adjusted'!R:R,'F_Inputs adjusted'!$A:$A,$A68,'F_Inputs adjusted'!$B:$B,$B68)</f>
        <v>0</v>
      </c>
      <c r="F68" s="182">
        <f ca="1">SUMIFS('F_Inputs adjusted'!S:S,'F_Inputs adjusted'!$A:$A,$A68,'F_Inputs adjusted'!$B:$B,$B68)</f>
        <v>0</v>
      </c>
      <c r="G68" s="182">
        <f ca="1">SUMIFS('F_Inputs adjusted'!T:T,'F_Inputs adjusted'!$A:$A,$A68,'F_Inputs adjusted'!$B:$B,$B68)</f>
        <v>0</v>
      </c>
      <c r="H68" s="182">
        <f ca="1">SUMIFS('F_Inputs adjusted'!U:U,'F_Inputs adjusted'!$A:$A,$A68,'F_Inputs adjusted'!$B:$B,$B68)</f>
        <v>0</v>
      </c>
      <c r="I68" s="182">
        <f ca="1">SUMIFS('F_Inputs adjusted'!V:V,'F_Inputs adjusted'!$A:$A,$A68,'F_Inputs adjusted'!$B:$B,$B68)</f>
        <v>0</v>
      </c>
      <c r="J68" s="182">
        <f ca="1">SUMIFS('F_Inputs adjusted'!W:W,'F_Inputs adjusted'!$A:$A,$A68,'F_Inputs adjusted'!$B:$B,$B68)</f>
        <v>0</v>
      </c>
      <c r="K68" s="182">
        <f ca="1">SUMIFS('F_Inputs adjusted'!X:X,'F_Inputs adjusted'!$A:$A,$A68,'F_Inputs adjusted'!$B:$B,$B68)</f>
        <v>0</v>
      </c>
    </row>
    <row r="69" spans="1:11" ht="13.15">
      <c r="A69" s="181" t="str">
        <f>F_Inputs!A71</f>
        <v>SVE</v>
      </c>
      <c r="B69" s="181" t="str">
        <f>F_Inputs!B71</f>
        <v>CWW17_012TOT_PR24</v>
      </c>
      <c r="C69" s="181" t="str">
        <f>F_Inputs!C71</f>
        <v>EA/NRW environmental programme wastewater (WINEP/NEP) - MCERTs monitoring at emergency sewage pumping station overflows (WINEP/NEP) wastewater totex - Total</v>
      </c>
      <c r="D69" s="181" t="str">
        <f>F_Inputs!D72</f>
        <v>nr</v>
      </c>
      <c r="E69" s="182">
        <f ca="1">SUMIFS('F_Inputs adjusted'!R:R,'F_Inputs adjusted'!$A:$A,$A69,'F_Inputs adjusted'!$B:$B,$B69)</f>
        <v>0</v>
      </c>
      <c r="F69" s="182">
        <f ca="1">SUMIFS('F_Inputs adjusted'!S:S,'F_Inputs adjusted'!$A:$A,$A69,'F_Inputs adjusted'!$B:$B,$B69)</f>
        <v>0</v>
      </c>
      <c r="G69" s="182">
        <f ca="1">SUMIFS('F_Inputs adjusted'!T:T,'F_Inputs adjusted'!$A:$A,$A69,'F_Inputs adjusted'!$B:$B,$B69)</f>
        <v>0</v>
      </c>
      <c r="H69" s="182">
        <f ca="1">SUMIFS('F_Inputs adjusted'!U:U,'F_Inputs adjusted'!$A:$A,$A69,'F_Inputs adjusted'!$B:$B,$B69)</f>
        <v>0</v>
      </c>
      <c r="I69" s="182">
        <f ca="1">SUMIFS('F_Inputs adjusted'!V:V,'F_Inputs adjusted'!$A:$A,$A69,'F_Inputs adjusted'!$B:$B,$B69)</f>
        <v>0</v>
      </c>
      <c r="J69" s="182">
        <f ca="1">SUMIFS('F_Inputs adjusted'!W:W,'F_Inputs adjusted'!$A:$A,$A69,'F_Inputs adjusted'!$B:$B,$B69)</f>
        <v>0</v>
      </c>
      <c r="K69" s="182">
        <f ca="1">SUMIFS('F_Inputs adjusted'!X:X,'F_Inputs adjusted'!$A:$A,$A69,'F_Inputs adjusted'!$B:$B,$B69)</f>
        <v>0</v>
      </c>
    </row>
    <row r="70" spans="1:11" ht="13.15">
      <c r="A70" s="181" t="str">
        <f>F_Inputs!A72</f>
        <v>SVE</v>
      </c>
      <c r="B70" s="181" t="str">
        <f>F_Inputs!B72</f>
        <v>CWW20_050_PR24</v>
      </c>
      <c r="C70" s="181" t="str">
        <f>F_Inputs!C72</f>
        <v>Network / Storm overflow data - Number of new MCERTs event duration monitors installed at SPS emergency overflows</v>
      </c>
      <c r="D70" s="181" t="str">
        <f>F_Inputs!D73</f>
        <v>nr</v>
      </c>
      <c r="E70" s="182">
        <f ca="1">SUMIFS('F_Inputs adjusted'!R:R,'F_Inputs adjusted'!$A:$A,$A70,'F_Inputs adjusted'!$B:$B,$B70)</f>
        <v>0</v>
      </c>
      <c r="F70" s="182">
        <f ca="1">SUMIFS('F_Inputs adjusted'!S:S,'F_Inputs adjusted'!$A:$A,$A70,'F_Inputs adjusted'!$B:$B,$B70)</f>
        <v>0</v>
      </c>
      <c r="G70" s="182">
        <f ca="1">SUMIFS('F_Inputs adjusted'!T:T,'F_Inputs adjusted'!$A:$A,$A70,'F_Inputs adjusted'!$B:$B,$B70)</f>
        <v>73</v>
      </c>
      <c r="H70" s="182">
        <f ca="1">SUMIFS('F_Inputs adjusted'!U:U,'F_Inputs adjusted'!$A:$A,$A70,'F_Inputs adjusted'!$B:$B,$B70)</f>
        <v>73</v>
      </c>
      <c r="I70" s="182">
        <f ca="1">SUMIFS('F_Inputs adjusted'!V:V,'F_Inputs adjusted'!$A:$A,$A70,'F_Inputs adjusted'!$B:$B,$B70)</f>
        <v>73</v>
      </c>
      <c r="J70" s="182">
        <f ca="1">SUMIFS('F_Inputs adjusted'!W:W,'F_Inputs adjusted'!$A:$A,$A70,'F_Inputs adjusted'!$B:$B,$B70)</f>
        <v>73</v>
      </c>
      <c r="K70" s="182">
        <f ca="1">SUMIFS('F_Inputs adjusted'!X:X,'F_Inputs adjusted'!$A:$A,$A70,'F_Inputs adjusted'!$B:$B,$B70)</f>
        <v>74</v>
      </c>
    </row>
    <row r="71" spans="1:11" ht="13.15">
      <c r="A71" s="181" t="str">
        <f>F_Inputs!A73</f>
        <v>SVE</v>
      </c>
      <c r="B71" s="181" t="str">
        <f>F_Inputs!B73</f>
        <v>CWW20_051_PR24</v>
      </c>
      <c r="C71" s="181" t="str">
        <f>F_Inputs!C73</f>
        <v>Network / Storm overflow data - Number of new MCERTs flow monitors (PFF) installed at SPSs with combined emergency and storm overflows.</v>
      </c>
      <c r="D71" s="181" t="str">
        <f>F_Inputs!D74</f>
        <v>nr</v>
      </c>
      <c r="E71" s="182">
        <f ca="1">SUMIFS('F_Inputs adjusted'!R:R,'F_Inputs adjusted'!$A:$A,$A71,'F_Inputs adjusted'!$B:$B,$B71)</f>
        <v>0</v>
      </c>
      <c r="F71" s="182">
        <f ca="1">SUMIFS('F_Inputs adjusted'!S:S,'F_Inputs adjusted'!$A:$A,$A71,'F_Inputs adjusted'!$B:$B,$B71)</f>
        <v>0</v>
      </c>
      <c r="G71" s="182">
        <f ca="1">SUMIFS('F_Inputs adjusted'!T:T,'F_Inputs adjusted'!$A:$A,$A71,'F_Inputs adjusted'!$B:$B,$B71)</f>
        <v>46</v>
      </c>
      <c r="H71" s="182">
        <f ca="1">SUMIFS('F_Inputs adjusted'!U:U,'F_Inputs adjusted'!$A:$A,$A71,'F_Inputs adjusted'!$B:$B,$B71)</f>
        <v>48</v>
      </c>
      <c r="I71" s="182">
        <f ca="1">SUMIFS('F_Inputs adjusted'!V:V,'F_Inputs adjusted'!$A:$A,$A71,'F_Inputs adjusted'!$B:$B,$B71)</f>
        <v>48</v>
      </c>
      <c r="J71" s="182">
        <f ca="1">SUMIFS('F_Inputs adjusted'!W:W,'F_Inputs adjusted'!$A:$A,$A71,'F_Inputs adjusted'!$B:$B,$B71)</f>
        <v>48</v>
      </c>
      <c r="K71" s="182">
        <f ca="1">SUMIFS('F_Inputs adjusted'!X:X,'F_Inputs adjusted'!$A:$A,$A71,'F_Inputs adjusted'!$B:$B,$B71)</f>
        <v>48</v>
      </c>
    </row>
    <row r="72" spans="1:11" ht="13.15">
      <c r="A72" s="181" t="str">
        <f>F_Inputs!A74</f>
        <v>SVE</v>
      </c>
      <c r="B72" s="181" t="str">
        <f>F_Inputs!B74</f>
        <v>CWW20A_050_PR24</v>
      </c>
      <c r="C72" s="181" t="str">
        <f>F_Inputs!C74</f>
        <v>Network / Storm overflow data - Number of new MCERTs event duration monitors installed at SPS emergency overflows</v>
      </c>
      <c r="D72" s="181" t="str">
        <f>F_Inputs!D75</f>
        <v>nr</v>
      </c>
      <c r="E72" s="182">
        <f ca="1">SUMIFS('F_Inputs adjusted'!R:R,'F_Inputs adjusted'!$A:$A,$A72,'F_Inputs adjusted'!$B:$B,$B72)</f>
        <v>0</v>
      </c>
      <c r="F72" s="182">
        <f ca="1">SUMIFS('F_Inputs adjusted'!S:S,'F_Inputs adjusted'!$A:$A,$A72,'F_Inputs adjusted'!$B:$B,$B72)</f>
        <v>0</v>
      </c>
      <c r="G72" s="182">
        <f ca="1">SUMIFS('F_Inputs adjusted'!T:T,'F_Inputs adjusted'!$A:$A,$A72,'F_Inputs adjusted'!$B:$B,$B72)</f>
        <v>0</v>
      </c>
      <c r="H72" s="182">
        <f ca="1">SUMIFS('F_Inputs adjusted'!U:U,'F_Inputs adjusted'!$A:$A,$A72,'F_Inputs adjusted'!$B:$B,$B72)</f>
        <v>0</v>
      </c>
      <c r="I72" s="182">
        <f ca="1">SUMIFS('F_Inputs adjusted'!V:V,'F_Inputs adjusted'!$A:$A,$A72,'F_Inputs adjusted'!$B:$B,$B72)</f>
        <v>0</v>
      </c>
      <c r="J72" s="182">
        <f ca="1">SUMIFS('F_Inputs adjusted'!W:W,'F_Inputs adjusted'!$A:$A,$A72,'F_Inputs adjusted'!$B:$B,$B72)</f>
        <v>0</v>
      </c>
      <c r="K72" s="182">
        <f ca="1">SUMIFS('F_Inputs adjusted'!X:X,'F_Inputs adjusted'!$A:$A,$A72,'F_Inputs adjusted'!$B:$B,$B72)</f>
        <v>0</v>
      </c>
    </row>
    <row r="73" spans="1:11" ht="13.15">
      <c r="A73" s="181" t="str">
        <f>F_Inputs!A75</f>
        <v>SVE</v>
      </c>
      <c r="B73" s="181" t="str">
        <f>F_Inputs!B75</f>
        <v>CWW20A_051_PR24</v>
      </c>
      <c r="C73" s="181" t="str">
        <f>F_Inputs!C75</f>
        <v>Network / Storm overflow data - Number of new MCERTs flow monitors (PFF) installed at SPSs with combined emergency and storm overflows.</v>
      </c>
      <c r="D73" s="181" t="str">
        <f>F_Inputs!D76</f>
        <v>£m</v>
      </c>
      <c r="E73" s="182">
        <f ca="1">SUMIFS('F_Inputs adjusted'!R:R,'F_Inputs adjusted'!$A:$A,$A73,'F_Inputs adjusted'!$B:$B,$B73)</f>
        <v>0</v>
      </c>
      <c r="F73" s="182">
        <f ca="1">SUMIFS('F_Inputs adjusted'!S:S,'F_Inputs adjusted'!$A:$A,$A73,'F_Inputs adjusted'!$B:$B,$B73)</f>
        <v>0</v>
      </c>
      <c r="G73" s="182">
        <f ca="1">SUMIFS('F_Inputs adjusted'!T:T,'F_Inputs adjusted'!$A:$A,$A73,'F_Inputs adjusted'!$B:$B,$B73)</f>
        <v>0</v>
      </c>
      <c r="H73" s="182">
        <f ca="1">SUMIFS('F_Inputs adjusted'!U:U,'F_Inputs adjusted'!$A:$A,$A73,'F_Inputs adjusted'!$B:$B,$B73)</f>
        <v>0</v>
      </c>
      <c r="I73" s="182">
        <f ca="1">SUMIFS('F_Inputs adjusted'!V:V,'F_Inputs adjusted'!$A:$A,$A73,'F_Inputs adjusted'!$B:$B,$B73)</f>
        <v>0</v>
      </c>
      <c r="J73" s="182">
        <f ca="1">SUMIFS('F_Inputs adjusted'!W:W,'F_Inputs adjusted'!$A:$A,$A73,'F_Inputs adjusted'!$B:$B,$B73)</f>
        <v>0</v>
      </c>
      <c r="K73" s="182">
        <f ca="1">SUMIFS('F_Inputs adjusted'!X:X,'F_Inputs adjusted'!$A:$A,$A73,'F_Inputs adjusted'!$B:$B,$B73)</f>
        <v>0</v>
      </c>
    </row>
    <row r="74" spans="1:11" ht="13.15">
      <c r="A74" s="181" t="str">
        <f>F_Inputs!A76</f>
        <v>SVE</v>
      </c>
      <c r="B74" s="181" t="str">
        <f>F_Inputs!B76</f>
        <v>CWW1A_015TOT_PR24</v>
      </c>
      <c r="C74" s="181" t="str">
        <f>F_Inputs!C76</f>
        <v>Net totex - Total</v>
      </c>
      <c r="D74" s="181" t="str">
        <f>F_Inputs!D77</f>
        <v>£m</v>
      </c>
      <c r="E74" s="182">
        <f ca="1">SUMIFS('F_Inputs adjusted'!R:R,'F_Inputs adjusted'!$A:$A,$A74,'F_Inputs adjusted'!$B:$B,$B74)</f>
        <v>0</v>
      </c>
      <c r="F74" s="182">
        <f ca="1">SUMIFS('F_Inputs adjusted'!S:S,'F_Inputs adjusted'!$A:$A,$A74,'F_Inputs adjusted'!$B:$B,$B74)</f>
        <v>0</v>
      </c>
      <c r="G74" s="182">
        <f ca="1">SUMIFS('F_Inputs adjusted'!T:T,'F_Inputs adjusted'!$A:$A,$A74,'F_Inputs adjusted'!$B:$B,$B74)</f>
        <v>1627.130482039277</v>
      </c>
      <c r="H74" s="182">
        <f ca="1">SUMIFS('F_Inputs adjusted'!U:U,'F_Inputs adjusted'!$A:$A,$A74,'F_Inputs adjusted'!$B:$B,$B74)</f>
        <v>1799.6345533549929</v>
      </c>
      <c r="I74" s="182">
        <f ca="1">SUMIFS('F_Inputs adjusted'!V:V,'F_Inputs adjusted'!$A:$A,$A74,'F_Inputs adjusted'!$B:$B,$B74)</f>
        <v>1751.178437326055</v>
      </c>
      <c r="J74" s="182">
        <f ca="1">SUMIFS('F_Inputs adjusted'!W:W,'F_Inputs adjusted'!$A:$A,$A74,'F_Inputs adjusted'!$B:$B,$B74)</f>
        <v>1716.7333477224111</v>
      </c>
      <c r="K74" s="182">
        <f ca="1">SUMIFS('F_Inputs adjusted'!X:X,'F_Inputs adjusted'!$A:$A,$A74,'F_Inputs adjusted'!$B:$B,$B74)</f>
        <v>1480.0957061431859</v>
      </c>
    </row>
    <row r="75" spans="1:11" ht="13.15">
      <c r="A75" s="181" t="str">
        <f>F_Inputs!A77</f>
        <v>SWB</v>
      </c>
      <c r="B75" s="181" t="str">
        <f>F_Inputs!B77</f>
        <v>CWW3_010TOT_PR24</v>
      </c>
      <c r="C75" s="181" t="str">
        <f>F_Inputs!C77</f>
        <v>EA/NRW environmental programme wastewater (WINEP/NEP) - MCERTs monitoring at emergency sewage pumping station overflows (WINEP/NEP) wastewater capex - Total</v>
      </c>
      <c r="D75" s="181" t="str">
        <f>F_Inputs!D78</f>
        <v>£m</v>
      </c>
      <c r="E75" s="182">
        <f ca="1">SUMIFS('F_Inputs adjusted'!R:R,'F_Inputs adjusted'!$A:$A,$A75,'F_Inputs adjusted'!$B:$B,$B75)</f>
        <v>0</v>
      </c>
      <c r="F75" s="182">
        <f ca="1">SUMIFS('F_Inputs adjusted'!S:S,'F_Inputs adjusted'!$A:$A,$A75,'F_Inputs adjusted'!$B:$B,$B75)</f>
        <v>0</v>
      </c>
      <c r="G75" s="182">
        <f ca="1">SUMIFS('F_Inputs adjusted'!T:T,'F_Inputs adjusted'!$A:$A,$A75,'F_Inputs adjusted'!$B:$B,$B75)</f>
        <v>2.04</v>
      </c>
      <c r="H75" s="182">
        <f ca="1">SUMIFS('F_Inputs adjusted'!U:U,'F_Inputs adjusted'!$A:$A,$A75,'F_Inputs adjusted'!$B:$B,$B75)</f>
        <v>2.04</v>
      </c>
      <c r="I75" s="182">
        <f ca="1">SUMIFS('F_Inputs adjusted'!V:V,'F_Inputs adjusted'!$A:$A,$A75,'F_Inputs adjusted'!$B:$B,$B75)</f>
        <v>2.04</v>
      </c>
      <c r="J75" s="182">
        <f ca="1">SUMIFS('F_Inputs adjusted'!W:W,'F_Inputs adjusted'!$A:$A,$A75,'F_Inputs adjusted'!$B:$B,$B75)</f>
        <v>2.04</v>
      </c>
      <c r="K75" s="182">
        <f ca="1">SUMIFS('F_Inputs adjusted'!X:X,'F_Inputs adjusted'!$A:$A,$A75,'F_Inputs adjusted'!$B:$B,$B75)</f>
        <v>2.04</v>
      </c>
    </row>
    <row r="76" spans="1:11" ht="13.15">
      <c r="A76" s="181" t="str">
        <f>F_Inputs!A78</f>
        <v>SWB</v>
      </c>
      <c r="B76" s="181" t="str">
        <f>F_Inputs!B78</f>
        <v>CWW3_011TOT_PR24</v>
      </c>
      <c r="C76" s="181" t="str">
        <f>F_Inputs!C78</f>
        <v>EA/NRW environmental programme wastewater (WINEP/NEP) - MCERTs monitoring at emergency sewage pumping station overflows (WINEP/NEP) wastewater opex - Total</v>
      </c>
      <c r="D76" s="181" t="str">
        <f>F_Inputs!D79</f>
        <v>£m</v>
      </c>
      <c r="E76" s="182">
        <f ca="1">SUMIFS('F_Inputs adjusted'!R:R,'F_Inputs adjusted'!$A:$A,$A76,'F_Inputs adjusted'!$B:$B,$B76)</f>
        <v>0</v>
      </c>
      <c r="F76" s="182">
        <f ca="1">SUMIFS('F_Inputs adjusted'!S:S,'F_Inputs adjusted'!$A:$A,$A76,'F_Inputs adjusted'!$B:$B,$B76)</f>
        <v>0</v>
      </c>
      <c r="G76" s="182">
        <f ca="1">SUMIFS('F_Inputs adjusted'!T:T,'F_Inputs adjusted'!$A:$A,$A76,'F_Inputs adjusted'!$B:$B,$B76)</f>
        <v>0</v>
      </c>
      <c r="H76" s="182">
        <f ca="1">SUMIFS('F_Inputs adjusted'!U:U,'F_Inputs adjusted'!$A:$A,$A76,'F_Inputs adjusted'!$B:$B,$B76)</f>
        <v>0</v>
      </c>
      <c r="I76" s="182">
        <f ca="1">SUMIFS('F_Inputs adjusted'!V:V,'F_Inputs adjusted'!$A:$A,$A76,'F_Inputs adjusted'!$B:$B,$B76)</f>
        <v>0</v>
      </c>
      <c r="J76" s="182">
        <f ca="1">SUMIFS('F_Inputs adjusted'!W:W,'F_Inputs adjusted'!$A:$A,$A76,'F_Inputs adjusted'!$B:$B,$B76)</f>
        <v>0</v>
      </c>
      <c r="K76" s="182">
        <f ca="1">SUMIFS('F_Inputs adjusted'!X:X,'F_Inputs adjusted'!$A:$A,$A76,'F_Inputs adjusted'!$B:$B,$B76)</f>
        <v>0</v>
      </c>
    </row>
    <row r="77" spans="1:11" ht="13.15">
      <c r="A77" s="181" t="str">
        <f>F_Inputs!A79</f>
        <v>SWB</v>
      </c>
      <c r="B77" s="181" t="str">
        <f>F_Inputs!B79</f>
        <v>CWW3_012TOT_PR24</v>
      </c>
      <c r="C77" s="181" t="str">
        <f>F_Inputs!C79</f>
        <v>EA/NRW environmental programme wastewater (WINEP/NEP) - MCERTs monitoring at emergency sewage pumping station overflows (WINEP/NEP) wastewater totex - Total</v>
      </c>
      <c r="D77" s="181" t="str">
        <f>F_Inputs!D80</f>
        <v>£m</v>
      </c>
      <c r="E77" s="182">
        <f ca="1">SUMIFS('F_Inputs adjusted'!R:R,'F_Inputs adjusted'!$A:$A,$A77,'F_Inputs adjusted'!$B:$B,$B77)</f>
        <v>0</v>
      </c>
      <c r="F77" s="182">
        <f ca="1">SUMIFS('F_Inputs adjusted'!S:S,'F_Inputs adjusted'!$A:$A,$A77,'F_Inputs adjusted'!$B:$B,$B77)</f>
        <v>0</v>
      </c>
      <c r="G77" s="182">
        <f ca="1">SUMIFS('F_Inputs adjusted'!T:T,'F_Inputs adjusted'!$A:$A,$A77,'F_Inputs adjusted'!$B:$B,$B77)</f>
        <v>2.04</v>
      </c>
      <c r="H77" s="182">
        <f ca="1">SUMIFS('F_Inputs adjusted'!U:U,'F_Inputs adjusted'!$A:$A,$A77,'F_Inputs adjusted'!$B:$B,$B77)</f>
        <v>2.04</v>
      </c>
      <c r="I77" s="182">
        <f ca="1">SUMIFS('F_Inputs adjusted'!V:V,'F_Inputs adjusted'!$A:$A,$A77,'F_Inputs adjusted'!$B:$B,$B77)</f>
        <v>2.04</v>
      </c>
      <c r="J77" s="182">
        <f ca="1">SUMIFS('F_Inputs adjusted'!W:W,'F_Inputs adjusted'!$A:$A,$A77,'F_Inputs adjusted'!$B:$B,$B77)</f>
        <v>2.04</v>
      </c>
      <c r="K77" s="182">
        <f ca="1">SUMIFS('F_Inputs adjusted'!X:X,'F_Inputs adjusted'!$A:$A,$A77,'F_Inputs adjusted'!$B:$B,$B77)</f>
        <v>2.04</v>
      </c>
    </row>
    <row r="78" spans="1:11" ht="13.15">
      <c r="A78" s="181" t="str">
        <f>F_Inputs!A80</f>
        <v>SWB</v>
      </c>
      <c r="B78" s="181" t="str">
        <f>F_Inputs!B80</f>
        <v>CWW12_010TOT_PR24</v>
      </c>
      <c r="C78" s="181" t="str">
        <f>F_Inputs!C80</f>
        <v>EA/NRW environmental programme wastewater (WINEP/NEP) - MCERTs monitoring at emergency sewage pumping station overflows (WINEP/NEP) wastewater capex - Total</v>
      </c>
      <c r="D78" s="181" t="str">
        <f>F_Inputs!D81</f>
        <v>£m</v>
      </c>
      <c r="E78" s="182">
        <f ca="1">SUMIFS('F_Inputs adjusted'!R:R,'F_Inputs adjusted'!$A:$A,$A78,'F_Inputs adjusted'!$B:$B,$B78)</f>
        <v>0</v>
      </c>
      <c r="F78" s="182">
        <f ca="1">SUMIFS('F_Inputs adjusted'!S:S,'F_Inputs adjusted'!$A:$A,$A78,'F_Inputs adjusted'!$B:$B,$B78)</f>
        <v>0</v>
      </c>
      <c r="G78" s="182">
        <f ca="1">SUMIFS('F_Inputs adjusted'!T:T,'F_Inputs adjusted'!$A:$A,$A78,'F_Inputs adjusted'!$B:$B,$B78)</f>
        <v>0</v>
      </c>
      <c r="H78" s="182">
        <f ca="1">SUMIFS('F_Inputs adjusted'!U:U,'F_Inputs adjusted'!$A:$A,$A78,'F_Inputs adjusted'!$B:$B,$B78)</f>
        <v>0</v>
      </c>
      <c r="I78" s="182">
        <f ca="1">SUMIFS('F_Inputs adjusted'!V:V,'F_Inputs adjusted'!$A:$A,$A78,'F_Inputs adjusted'!$B:$B,$B78)</f>
        <v>0</v>
      </c>
      <c r="J78" s="182">
        <f ca="1">SUMIFS('F_Inputs adjusted'!W:W,'F_Inputs adjusted'!$A:$A,$A78,'F_Inputs adjusted'!$B:$B,$B78)</f>
        <v>0</v>
      </c>
      <c r="K78" s="182">
        <f ca="1">SUMIFS('F_Inputs adjusted'!X:X,'F_Inputs adjusted'!$A:$A,$A78,'F_Inputs adjusted'!$B:$B,$B78)</f>
        <v>0</v>
      </c>
    </row>
    <row r="79" spans="1:11" ht="13.15">
      <c r="A79" s="181" t="str">
        <f>F_Inputs!A81</f>
        <v>SWB</v>
      </c>
      <c r="B79" s="181" t="str">
        <f>F_Inputs!B81</f>
        <v>CWW12_011TOT_PR24</v>
      </c>
      <c r="C79" s="181" t="str">
        <f>F_Inputs!C81</f>
        <v>EA/NRW environmental programme wastewater (WINEP/NEP) - MCERTs monitoring at emergency sewage pumping station overflows (WINEP/NEP) wastewater opex - Total</v>
      </c>
      <c r="D79" s="181" t="str">
        <f>F_Inputs!D82</f>
        <v>£m</v>
      </c>
      <c r="E79" s="182">
        <f ca="1">SUMIFS('F_Inputs adjusted'!R:R,'F_Inputs adjusted'!$A:$A,$A79,'F_Inputs adjusted'!$B:$B,$B79)</f>
        <v>0</v>
      </c>
      <c r="F79" s="182">
        <f ca="1">SUMIFS('F_Inputs adjusted'!S:S,'F_Inputs adjusted'!$A:$A,$A79,'F_Inputs adjusted'!$B:$B,$B79)</f>
        <v>0</v>
      </c>
      <c r="G79" s="182">
        <f ca="1">SUMIFS('F_Inputs adjusted'!T:T,'F_Inputs adjusted'!$A:$A,$A79,'F_Inputs adjusted'!$B:$B,$B79)</f>
        <v>0</v>
      </c>
      <c r="H79" s="182">
        <f ca="1">SUMIFS('F_Inputs adjusted'!U:U,'F_Inputs adjusted'!$A:$A,$A79,'F_Inputs adjusted'!$B:$B,$B79)</f>
        <v>0</v>
      </c>
      <c r="I79" s="182">
        <f ca="1">SUMIFS('F_Inputs adjusted'!V:V,'F_Inputs adjusted'!$A:$A,$A79,'F_Inputs adjusted'!$B:$B,$B79)</f>
        <v>0</v>
      </c>
      <c r="J79" s="182">
        <f ca="1">SUMIFS('F_Inputs adjusted'!W:W,'F_Inputs adjusted'!$A:$A,$A79,'F_Inputs adjusted'!$B:$B,$B79)</f>
        <v>0</v>
      </c>
      <c r="K79" s="182">
        <f ca="1">SUMIFS('F_Inputs adjusted'!X:X,'F_Inputs adjusted'!$A:$A,$A79,'F_Inputs adjusted'!$B:$B,$B79)</f>
        <v>0</v>
      </c>
    </row>
    <row r="80" spans="1:11" ht="13.15">
      <c r="A80" s="181" t="str">
        <f>F_Inputs!A82</f>
        <v>SWB</v>
      </c>
      <c r="B80" s="181" t="str">
        <f>F_Inputs!B82</f>
        <v>CWW12_012TOT_PR24</v>
      </c>
      <c r="C80" s="181" t="str">
        <f>F_Inputs!C82</f>
        <v>EA/NRW environmental programme wastewater (WINEP/NEP) - MCERTs monitoring at emergency sewage pumping station overflows (WINEP/NEP) wastewater totex - Total</v>
      </c>
      <c r="D80" s="181" t="str">
        <f>F_Inputs!D83</f>
        <v>£m</v>
      </c>
      <c r="E80" s="182">
        <f ca="1">SUMIFS('F_Inputs adjusted'!R:R,'F_Inputs adjusted'!$A:$A,$A80,'F_Inputs adjusted'!$B:$B,$B80)</f>
        <v>0</v>
      </c>
      <c r="F80" s="182">
        <f ca="1">SUMIFS('F_Inputs adjusted'!S:S,'F_Inputs adjusted'!$A:$A,$A80,'F_Inputs adjusted'!$B:$B,$B80)</f>
        <v>0</v>
      </c>
      <c r="G80" s="182">
        <f ca="1">SUMIFS('F_Inputs adjusted'!T:T,'F_Inputs adjusted'!$A:$A,$A80,'F_Inputs adjusted'!$B:$B,$B80)</f>
        <v>0</v>
      </c>
      <c r="H80" s="182">
        <f ca="1">SUMIFS('F_Inputs adjusted'!U:U,'F_Inputs adjusted'!$A:$A,$A80,'F_Inputs adjusted'!$B:$B,$B80)</f>
        <v>0</v>
      </c>
      <c r="I80" s="182">
        <f ca="1">SUMIFS('F_Inputs adjusted'!V:V,'F_Inputs adjusted'!$A:$A,$A80,'F_Inputs adjusted'!$B:$B,$B80)</f>
        <v>0</v>
      </c>
      <c r="J80" s="182">
        <f ca="1">SUMIFS('F_Inputs adjusted'!W:W,'F_Inputs adjusted'!$A:$A,$A80,'F_Inputs adjusted'!$B:$B,$B80)</f>
        <v>0</v>
      </c>
      <c r="K80" s="182">
        <f ca="1">SUMIFS('F_Inputs adjusted'!X:X,'F_Inputs adjusted'!$A:$A,$A80,'F_Inputs adjusted'!$B:$B,$B80)</f>
        <v>0</v>
      </c>
    </row>
    <row r="81" spans="1:11" ht="13.15">
      <c r="A81" s="181" t="str">
        <f>F_Inputs!A83</f>
        <v>SWB</v>
      </c>
      <c r="B81" s="181" t="str">
        <f>F_Inputs!B83</f>
        <v>CWW17_010TOT_PR24</v>
      </c>
      <c r="C81" s="181" t="str">
        <f>F_Inputs!C83</f>
        <v>EA/NRW environmental programme wastewater (WINEP/NEP) - MCERTs monitoring at emergency sewage pumping station overflows (WINEP/NEP) wastewater capex - Total</v>
      </c>
      <c r="D81" s="181" t="str">
        <f>F_Inputs!D84</f>
        <v>£m</v>
      </c>
      <c r="E81" s="182">
        <f ca="1">SUMIFS('F_Inputs adjusted'!R:R,'F_Inputs adjusted'!$A:$A,$A81,'F_Inputs adjusted'!$B:$B,$B81)</f>
        <v>0</v>
      </c>
      <c r="F81" s="182">
        <f ca="1">SUMIFS('F_Inputs adjusted'!S:S,'F_Inputs adjusted'!$A:$A,$A81,'F_Inputs adjusted'!$B:$B,$B81)</f>
        <v>0</v>
      </c>
      <c r="G81" s="182">
        <f ca="1">SUMIFS('F_Inputs adjusted'!T:T,'F_Inputs adjusted'!$A:$A,$A81,'F_Inputs adjusted'!$B:$B,$B81)</f>
        <v>0</v>
      </c>
      <c r="H81" s="182">
        <f ca="1">SUMIFS('F_Inputs adjusted'!U:U,'F_Inputs adjusted'!$A:$A,$A81,'F_Inputs adjusted'!$B:$B,$B81)</f>
        <v>0</v>
      </c>
      <c r="I81" s="182">
        <f ca="1">SUMIFS('F_Inputs adjusted'!V:V,'F_Inputs adjusted'!$A:$A,$A81,'F_Inputs adjusted'!$B:$B,$B81)</f>
        <v>0</v>
      </c>
      <c r="J81" s="182">
        <f ca="1">SUMIFS('F_Inputs adjusted'!W:W,'F_Inputs adjusted'!$A:$A,$A81,'F_Inputs adjusted'!$B:$B,$B81)</f>
        <v>0</v>
      </c>
      <c r="K81" s="182">
        <f ca="1">SUMIFS('F_Inputs adjusted'!X:X,'F_Inputs adjusted'!$A:$A,$A81,'F_Inputs adjusted'!$B:$B,$B81)</f>
        <v>0</v>
      </c>
    </row>
    <row r="82" spans="1:11" ht="13.15">
      <c r="A82" s="181" t="str">
        <f>F_Inputs!A84</f>
        <v>SWB</v>
      </c>
      <c r="B82" s="181" t="str">
        <f>F_Inputs!B84</f>
        <v>CWW17_011TOT_PR24</v>
      </c>
      <c r="C82" s="181" t="str">
        <f>F_Inputs!C84</f>
        <v>EA/NRW environmental programme wastewater (WINEP/NEP) - MCERTs monitoring at emergency sewage pumping station overflows (WINEP/NEP) wastewater opex - Total</v>
      </c>
      <c r="D82" s="181" t="str">
        <f>F_Inputs!D85</f>
        <v>£m</v>
      </c>
      <c r="E82" s="182">
        <f ca="1">SUMIFS('F_Inputs adjusted'!R:R,'F_Inputs adjusted'!$A:$A,$A82,'F_Inputs adjusted'!$B:$B,$B82)</f>
        <v>0</v>
      </c>
      <c r="F82" s="182">
        <f ca="1">SUMIFS('F_Inputs adjusted'!S:S,'F_Inputs adjusted'!$A:$A,$A82,'F_Inputs adjusted'!$B:$B,$B82)</f>
        <v>0</v>
      </c>
      <c r="G82" s="182">
        <f ca="1">SUMIFS('F_Inputs adjusted'!T:T,'F_Inputs adjusted'!$A:$A,$A82,'F_Inputs adjusted'!$B:$B,$B82)</f>
        <v>0</v>
      </c>
      <c r="H82" s="182">
        <f ca="1">SUMIFS('F_Inputs adjusted'!U:U,'F_Inputs adjusted'!$A:$A,$A82,'F_Inputs adjusted'!$B:$B,$B82)</f>
        <v>0</v>
      </c>
      <c r="I82" s="182">
        <f ca="1">SUMIFS('F_Inputs adjusted'!V:V,'F_Inputs adjusted'!$A:$A,$A82,'F_Inputs adjusted'!$B:$B,$B82)</f>
        <v>0</v>
      </c>
      <c r="J82" s="182">
        <f ca="1">SUMIFS('F_Inputs adjusted'!W:W,'F_Inputs adjusted'!$A:$A,$A82,'F_Inputs adjusted'!$B:$B,$B82)</f>
        <v>0</v>
      </c>
      <c r="K82" s="182">
        <f ca="1">SUMIFS('F_Inputs adjusted'!X:X,'F_Inputs adjusted'!$A:$A,$A82,'F_Inputs adjusted'!$B:$B,$B82)</f>
        <v>0</v>
      </c>
    </row>
    <row r="83" spans="1:11" ht="13.15">
      <c r="A83" s="181" t="str">
        <f>F_Inputs!A85</f>
        <v>SWB</v>
      </c>
      <c r="B83" s="181" t="str">
        <f>F_Inputs!B85</f>
        <v>CWW17_012TOT_PR24</v>
      </c>
      <c r="C83" s="181" t="str">
        <f>F_Inputs!C85</f>
        <v>EA/NRW environmental programme wastewater (WINEP/NEP) - MCERTs monitoring at emergency sewage pumping station overflows (WINEP/NEP) wastewater totex - Total</v>
      </c>
      <c r="D83" s="181" t="str">
        <f>F_Inputs!D86</f>
        <v>nr</v>
      </c>
      <c r="E83" s="182">
        <f ca="1">SUMIFS('F_Inputs adjusted'!R:R,'F_Inputs adjusted'!$A:$A,$A83,'F_Inputs adjusted'!$B:$B,$B83)</f>
        <v>0</v>
      </c>
      <c r="F83" s="182">
        <f ca="1">SUMIFS('F_Inputs adjusted'!S:S,'F_Inputs adjusted'!$A:$A,$A83,'F_Inputs adjusted'!$B:$B,$B83)</f>
        <v>0</v>
      </c>
      <c r="G83" s="182">
        <f ca="1">SUMIFS('F_Inputs adjusted'!T:T,'F_Inputs adjusted'!$A:$A,$A83,'F_Inputs adjusted'!$B:$B,$B83)</f>
        <v>0</v>
      </c>
      <c r="H83" s="182">
        <f ca="1">SUMIFS('F_Inputs adjusted'!U:U,'F_Inputs adjusted'!$A:$A,$A83,'F_Inputs adjusted'!$B:$B,$B83)</f>
        <v>0</v>
      </c>
      <c r="I83" s="182">
        <f ca="1">SUMIFS('F_Inputs adjusted'!V:V,'F_Inputs adjusted'!$A:$A,$A83,'F_Inputs adjusted'!$B:$B,$B83)</f>
        <v>0</v>
      </c>
      <c r="J83" s="182">
        <f ca="1">SUMIFS('F_Inputs adjusted'!W:W,'F_Inputs adjusted'!$A:$A,$A83,'F_Inputs adjusted'!$B:$B,$B83)</f>
        <v>0</v>
      </c>
      <c r="K83" s="182">
        <f ca="1">SUMIFS('F_Inputs adjusted'!X:X,'F_Inputs adjusted'!$A:$A,$A83,'F_Inputs adjusted'!$B:$B,$B83)</f>
        <v>0</v>
      </c>
    </row>
    <row r="84" spans="1:11" ht="13.15">
      <c r="A84" s="181" t="str">
        <f>F_Inputs!A86</f>
        <v>SWB</v>
      </c>
      <c r="B84" s="181" t="str">
        <f>F_Inputs!B86</f>
        <v>CWW20_050_PR24</v>
      </c>
      <c r="C84" s="181" t="str">
        <f>F_Inputs!C86</f>
        <v>Network / Storm overflow data - Number of new MCERTs event duration monitors installed at SPS emergency overflows</v>
      </c>
      <c r="D84" s="181" t="str">
        <f>F_Inputs!D87</f>
        <v>nr</v>
      </c>
      <c r="E84" s="182">
        <f ca="1">SUMIFS('F_Inputs adjusted'!R:R,'F_Inputs adjusted'!$A:$A,$A84,'F_Inputs adjusted'!$B:$B,$B84)</f>
        <v>0</v>
      </c>
      <c r="F84" s="182">
        <f ca="1">SUMIFS('F_Inputs adjusted'!S:S,'F_Inputs adjusted'!$A:$A,$A84,'F_Inputs adjusted'!$B:$B,$B84)</f>
        <v>0</v>
      </c>
      <c r="G84" s="182">
        <f ca="1">SUMIFS('F_Inputs adjusted'!T:T,'F_Inputs adjusted'!$A:$A,$A84,'F_Inputs adjusted'!$B:$B,$B84)</f>
        <v>0</v>
      </c>
      <c r="H84" s="182">
        <f ca="1">SUMIFS('F_Inputs adjusted'!U:U,'F_Inputs adjusted'!$A:$A,$A84,'F_Inputs adjusted'!$B:$B,$B84)</f>
        <v>0</v>
      </c>
      <c r="I84" s="182">
        <f ca="1">SUMIFS('F_Inputs adjusted'!V:V,'F_Inputs adjusted'!$A:$A,$A84,'F_Inputs adjusted'!$B:$B,$B84)</f>
        <v>0</v>
      </c>
      <c r="J84" s="182">
        <f ca="1">SUMIFS('F_Inputs adjusted'!W:W,'F_Inputs adjusted'!$A:$A,$A84,'F_Inputs adjusted'!$B:$B,$B84)</f>
        <v>0</v>
      </c>
      <c r="K84" s="182">
        <f ca="1">SUMIFS('F_Inputs adjusted'!X:X,'F_Inputs adjusted'!$A:$A,$A84,'F_Inputs adjusted'!$B:$B,$B84)</f>
        <v>193</v>
      </c>
    </row>
    <row r="85" spans="1:11" ht="13.15">
      <c r="A85" s="181" t="str">
        <f>F_Inputs!A87</f>
        <v>SWB</v>
      </c>
      <c r="B85" s="181" t="str">
        <f>F_Inputs!B87</f>
        <v>CWW20_051_PR24</v>
      </c>
      <c r="C85" s="181" t="str">
        <f>F_Inputs!C87</f>
        <v>Network / Storm overflow data - Number of new MCERTs flow monitors (PFF) installed at SPSs with combined emergency and storm overflows.</v>
      </c>
      <c r="D85" s="181" t="str">
        <f>F_Inputs!D88</f>
        <v>nr</v>
      </c>
      <c r="E85" s="182">
        <f ca="1">SUMIFS('F_Inputs adjusted'!R:R,'F_Inputs adjusted'!$A:$A,$A85,'F_Inputs adjusted'!$B:$B,$B85)</f>
        <v>0</v>
      </c>
      <c r="F85" s="182">
        <f ca="1">SUMIFS('F_Inputs adjusted'!S:S,'F_Inputs adjusted'!$A:$A,$A85,'F_Inputs adjusted'!$B:$B,$B85)</f>
        <v>0</v>
      </c>
      <c r="G85" s="182">
        <f ca="1">SUMIFS('F_Inputs adjusted'!T:T,'F_Inputs adjusted'!$A:$A,$A85,'F_Inputs adjusted'!$B:$B,$B85)</f>
        <v>0</v>
      </c>
      <c r="H85" s="182">
        <f ca="1">SUMIFS('F_Inputs adjusted'!U:U,'F_Inputs adjusted'!$A:$A,$A85,'F_Inputs adjusted'!$B:$B,$B85)</f>
        <v>0</v>
      </c>
      <c r="I85" s="182">
        <f ca="1">SUMIFS('F_Inputs adjusted'!V:V,'F_Inputs adjusted'!$A:$A,$A85,'F_Inputs adjusted'!$B:$B,$B85)</f>
        <v>0</v>
      </c>
      <c r="J85" s="182">
        <f ca="1">SUMIFS('F_Inputs adjusted'!W:W,'F_Inputs adjusted'!$A:$A,$A85,'F_Inputs adjusted'!$B:$B,$B85)</f>
        <v>0</v>
      </c>
      <c r="K85" s="182">
        <f ca="1">SUMIFS('F_Inputs adjusted'!X:X,'F_Inputs adjusted'!$A:$A,$A85,'F_Inputs adjusted'!$B:$B,$B85)</f>
        <v>185</v>
      </c>
    </row>
    <row r="86" spans="1:11" ht="13.15">
      <c r="A86" s="181" t="str">
        <f>F_Inputs!A88</f>
        <v>SWB</v>
      </c>
      <c r="B86" s="181" t="str">
        <f>F_Inputs!B88</f>
        <v>CWW20A_050_PR24</v>
      </c>
      <c r="C86" s="181" t="str">
        <f>F_Inputs!C88</f>
        <v>Network / Storm overflow data - Number of new MCERTs event duration monitors installed at SPS emergency overflows</v>
      </c>
      <c r="D86" s="181" t="str">
        <f>F_Inputs!D89</f>
        <v>nr</v>
      </c>
      <c r="E86" s="182">
        <f ca="1">SUMIFS('F_Inputs adjusted'!R:R,'F_Inputs adjusted'!$A:$A,$A86,'F_Inputs adjusted'!$B:$B,$B86)</f>
        <v>0</v>
      </c>
      <c r="F86" s="182">
        <f ca="1">SUMIFS('F_Inputs adjusted'!S:S,'F_Inputs adjusted'!$A:$A,$A86,'F_Inputs adjusted'!$B:$B,$B86)</f>
        <v>0</v>
      </c>
      <c r="G86" s="182">
        <f ca="1">SUMIFS('F_Inputs adjusted'!T:T,'F_Inputs adjusted'!$A:$A,$A86,'F_Inputs adjusted'!$B:$B,$B86)</f>
        <v>0</v>
      </c>
      <c r="H86" s="182">
        <f ca="1">SUMIFS('F_Inputs adjusted'!U:U,'F_Inputs adjusted'!$A:$A,$A86,'F_Inputs adjusted'!$B:$B,$B86)</f>
        <v>0</v>
      </c>
      <c r="I86" s="182">
        <f ca="1">SUMIFS('F_Inputs adjusted'!V:V,'F_Inputs adjusted'!$A:$A,$A86,'F_Inputs adjusted'!$B:$B,$B86)</f>
        <v>0</v>
      </c>
      <c r="J86" s="182">
        <f ca="1">SUMIFS('F_Inputs adjusted'!W:W,'F_Inputs adjusted'!$A:$A,$A86,'F_Inputs adjusted'!$B:$B,$B86)</f>
        <v>0</v>
      </c>
      <c r="K86" s="182">
        <f ca="1">SUMIFS('F_Inputs adjusted'!X:X,'F_Inputs adjusted'!$A:$A,$A86,'F_Inputs adjusted'!$B:$B,$B86)</f>
        <v>0</v>
      </c>
    </row>
    <row r="87" spans="1:11" ht="13.15">
      <c r="A87" s="181" t="str">
        <f>F_Inputs!A89</f>
        <v>SWB</v>
      </c>
      <c r="B87" s="181" t="str">
        <f>F_Inputs!B89</f>
        <v>CWW20A_051_PR24</v>
      </c>
      <c r="C87" s="181" t="str">
        <f>F_Inputs!C89</f>
        <v>Network / Storm overflow data - Number of new MCERTs flow monitors (PFF) installed at SPSs with combined emergency and storm overflows.</v>
      </c>
      <c r="D87" s="181" t="str">
        <f>F_Inputs!D90</f>
        <v>£m</v>
      </c>
      <c r="E87" s="182">
        <f ca="1">SUMIFS('F_Inputs adjusted'!R:R,'F_Inputs adjusted'!$A:$A,$A87,'F_Inputs adjusted'!$B:$B,$B87)</f>
        <v>0</v>
      </c>
      <c r="F87" s="182">
        <f ca="1">SUMIFS('F_Inputs adjusted'!S:S,'F_Inputs adjusted'!$A:$A,$A87,'F_Inputs adjusted'!$B:$B,$B87)</f>
        <v>0</v>
      </c>
      <c r="G87" s="182">
        <f ca="1">SUMIFS('F_Inputs adjusted'!T:T,'F_Inputs adjusted'!$A:$A,$A87,'F_Inputs adjusted'!$B:$B,$B87)</f>
        <v>0</v>
      </c>
      <c r="H87" s="182">
        <f ca="1">SUMIFS('F_Inputs adjusted'!U:U,'F_Inputs adjusted'!$A:$A,$A87,'F_Inputs adjusted'!$B:$B,$B87)</f>
        <v>0</v>
      </c>
      <c r="I87" s="182">
        <f ca="1">SUMIFS('F_Inputs adjusted'!V:V,'F_Inputs adjusted'!$A:$A,$A87,'F_Inputs adjusted'!$B:$B,$B87)</f>
        <v>0</v>
      </c>
      <c r="J87" s="182">
        <f ca="1">SUMIFS('F_Inputs adjusted'!W:W,'F_Inputs adjusted'!$A:$A,$A87,'F_Inputs adjusted'!$B:$B,$B87)</f>
        <v>0</v>
      </c>
      <c r="K87" s="182">
        <f ca="1">SUMIFS('F_Inputs adjusted'!X:X,'F_Inputs adjusted'!$A:$A,$A87,'F_Inputs adjusted'!$B:$B,$B87)</f>
        <v>0</v>
      </c>
    </row>
    <row r="88" spans="1:11" ht="13.15">
      <c r="A88" s="181" t="str">
        <f>F_Inputs!A90</f>
        <v>SWB</v>
      </c>
      <c r="B88" s="181" t="str">
        <f>F_Inputs!B90</f>
        <v>CWW1A_015TOT_PR24</v>
      </c>
      <c r="C88" s="181" t="str">
        <f>F_Inputs!C90</f>
        <v>Net totex - Total</v>
      </c>
      <c r="D88" s="181" t="str">
        <f>F_Inputs!D91</f>
        <v>£m</v>
      </c>
      <c r="E88" s="182">
        <f ca="1">SUMIFS('F_Inputs adjusted'!R:R,'F_Inputs adjusted'!$A:$A,$A88,'F_Inputs adjusted'!$B:$B,$B88)</f>
        <v>0</v>
      </c>
      <c r="F88" s="182">
        <f ca="1">SUMIFS('F_Inputs adjusted'!S:S,'F_Inputs adjusted'!$A:$A,$A88,'F_Inputs adjusted'!$B:$B,$B88)</f>
        <v>0</v>
      </c>
      <c r="G88" s="182">
        <f ca="1">SUMIFS('F_Inputs adjusted'!T:T,'F_Inputs adjusted'!$A:$A,$A88,'F_Inputs adjusted'!$B:$B,$B88)</f>
        <v>424.43672704840031</v>
      </c>
      <c r="H88" s="182">
        <f ca="1">SUMIFS('F_Inputs adjusted'!U:U,'F_Inputs adjusted'!$A:$A,$A88,'F_Inputs adjusted'!$B:$B,$B88)</f>
        <v>452.43411651686932</v>
      </c>
      <c r="I88" s="182">
        <f ca="1">SUMIFS('F_Inputs adjusted'!V:V,'F_Inputs adjusted'!$A:$A,$A88,'F_Inputs adjusted'!$B:$B,$B88)</f>
        <v>438.9042052475661</v>
      </c>
      <c r="J88" s="182">
        <f ca="1">SUMIFS('F_Inputs adjusted'!W:W,'F_Inputs adjusted'!$A:$A,$A88,'F_Inputs adjusted'!$B:$B,$B88)</f>
        <v>443.81161410521469</v>
      </c>
      <c r="K88" s="182">
        <f ca="1">SUMIFS('F_Inputs adjusted'!X:X,'F_Inputs adjusted'!$A:$A,$A88,'F_Inputs adjusted'!$B:$B,$B88)</f>
        <v>366.29748727458627</v>
      </c>
    </row>
    <row r="89" spans="1:11" ht="13.15">
      <c r="A89" s="181" t="str">
        <f>F_Inputs!A91</f>
        <v>SRN</v>
      </c>
      <c r="B89" s="181" t="str">
        <f>F_Inputs!B91</f>
        <v>CWW3_010TOT_PR24</v>
      </c>
      <c r="C89" s="181" t="str">
        <f>F_Inputs!C91</f>
        <v>EA/NRW environmental programme wastewater (WINEP/NEP) - MCERTs monitoring at emergency sewage pumping station overflows (WINEP/NEP) wastewater capex - Total</v>
      </c>
      <c r="D89" s="181" t="str">
        <f>F_Inputs!D92</f>
        <v>£m</v>
      </c>
      <c r="E89" s="182">
        <f ca="1">SUMIFS('F_Inputs adjusted'!R:R,'F_Inputs adjusted'!$A:$A,$A89,'F_Inputs adjusted'!$B:$B,$B89)</f>
        <v>0</v>
      </c>
      <c r="F89" s="182">
        <f ca="1">SUMIFS('F_Inputs adjusted'!S:S,'F_Inputs adjusted'!$A:$A,$A89,'F_Inputs adjusted'!$B:$B,$B89)</f>
        <v>0</v>
      </c>
      <c r="G89" s="182">
        <f ca="1">SUMIFS('F_Inputs adjusted'!T:T,'F_Inputs adjusted'!$A:$A,$A89,'F_Inputs adjusted'!$B:$B,$B89)</f>
        <v>4.9539999999999997</v>
      </c>
      <c r="H89" s="182">
        <f ca="1">SUMIFS('F_Inputs adjusted'!U:U,'F_Inputs adjusted'!$A:$A,$A89,'F_Inputs adjusted'!$B:$B,$B89)</f>
        <v>5.6970000000000001</v>
      </c>
      <c r="I89" s="182">
        <f ca="1">SUMIFS('F_Inputs adjusted'!V:V,'F_Inputs adjusted'!$A:$A,$A89,'F_Inputs adjusted'!$B:$B,$B89)</f>
        <v>5.8279999999999994</v>
      </c>
      <c r="J89" s="182">
        <f ca="1">SUMIFS('F_Inputs adjusted'!W:W,'F_Inputs adjusted'!$A:$A,$A89,'F_Inputs adjusted'!$B:$B,$B89)</f>
        <v>6.4059999999999997</v>
      </c>
      <c r="K89" s="182">
        <f ca="1">SUMIFS('F_Inputs adjusted'!X:X,'F_Inputs adjusted'!$A:$A,$A89,'F_Inputs adjusted'!$B:$B,$B89)</f>
        <v>16.780999999999999</v>
      </c>
    </row>
    <row r="90" spans="1:11" ht="13.15">
      <c r="A90" s="181" t="str">
        <f>F_Inputs!A92</f>
        <v>SRN</v>
      </c>
      <c r="B90" s="181" t="str">
        <f>F_Inputs!B92</f>
        <v>CWW3_011TOT_PR24</v>
      </c>
      <c r="C90" s="181" t="str">
        <f>F_Inputs!C92</f>
        <v>EA/NRW environmental programme wastewater (WINEP/NEP) - MCERTs monitoring at emergency sewage pumping station overflows (WINEP/NEP) wastewater opex - Total</v>
      </c>
      <c r="D90" s="181" t="str">
        <f>F_Inputs!D93</f>
        <v>£m</v>
      </c>
      <c r="E90" s="182">
        <f ca="1">SUMIFS('F_Inputs adjusted'!R:R,'F_Inputs adjusted'!$A:$A,$A90,'F_Inputs adjusted'!$B:$B,$B90)</f>
        <v>0</v>
      </c>
      <c r="F90" s="182">
        <f ca="1">SUMIFS('F_Inputs adjusted'!S:S,'F_Inputs adjusted'!$A:$A,$A90,'F_Inputs adjusted'!$B:$B,$B90)</f>
        <v>0</v>
      </c>
      <c r="G90" s="182">
        <f ca="1">SUMIFS('F_Inputs adjusted'!T:T,'F_Inputs adjusted'!$A:$A,$A90,'F_Inputs adjusted'!$B:$B,$B90)</f>
        <v>0</v>
      </c>
      <c r="H90" s="182">
        <f ca="1">SUMIFS('F_Inputs adjusted'!U:U,'F_Inputs adjusted'!$A:$A,$A90,'F_Inputs adjusted'!$B:$B,$B90)</f>
        <v>0</v>
      </c>
      <c r="I90" s="182">
        <f ca="1">SUMIFS('F_Inputs adjusted'!V:V,'F_Inputs adjusted'!$A:$A,$A90,'F_Inputs adjusted'!$B:$B,$B90)</f>
        <v>0</v>
      </c>
      <c r="J90" s="182">
        <f ca="1">SUMIFS('F_Inputs adjusted'!W:W,'F_Inputs adjusted'!$A:$A,$A90,'F_Inputs adjusted'!$B:$B,$B90)</f>
        <v>0</v>
      </c>
      <c r="K90" s="182">
        <f ca="1">SUMIFS('F_Inputs adjusted'!X:X,'F_Inputs adjusted'!$A:$A,$A90,'F_Inputs adjusted'!$B:$B,$B90)</f>
        <v>4.1000000000000002E-2</v>
      </c>
    </row>
    <row r="91" spans="1:11" ht="13.15">
      <c r="A91" s="181" t="str">
        <f>F_Inputs!A93</f>
        <v>SRN</v>
      </c>
      <c r="B91" s="181" t="str">
        <f>F_Inputs!B93</f>
        <v>CWW3_012TOT_PR24</v>
      </c>
      <c r="C91" s="181" t="str">
        <f>F_Inputs!C93</f>
        <v>EA/NRW environmental programme wastewater (WINEP/NEP) - MCERTs monitoring at emergency sewage pumping station overflows (WINEP/NEP) wastewater totex - Total</v>
      </c>
      <c r="D91" s="181" t="str">
        <f>F_Inputs!D94</f>
        <v>£m</v>
      </c>
      <c r="E91" s="182">
        <f ca="1">SUMIFS('F_Inputs adjusted'!R:R,'F_Inputs adjusted'!$A:$A,$A91,'F_Inputs adjusted'!$B:$B,$B91)</f>
        <v>0</v>
      </c>
      <c r="F91" s="182">
        <f ca="1">SUMIFS('F_Inputs adjusted'!S:S,'F_Inputs adjusted'!$A:$A,$A91,'F_Inputs adjusted'!$B:$B,$B91)</f>
        <v>0</v>
      </c>
      <c r="G91" s="182">
        <f ca="1">SUMIFS('F_Inputs adjusted'!T:T,'F_Inputs adjusted'!$A:$A,$A91,'F_Inputs adjusted'!$B:$B,$B91)</f>
        <v>4.9539999999999997</v>
      </c>
      <c r="H91" s="182">
        <f ca="1">SUMIFS('F_Inputs adjusted'!U:U,'F_Inputs adjusted'!$A:$A,$A91,'F_Inputs adjusted'!$B:$B,$B91)</f>
        <v>5.6970000000000001</v>
      </c>
      <c r="I91" s="182">
        <f ca="1">SUMIFS('F_Inputs adjusted'!V:V,'F_Inputs adjusted'!$A:$A,$A91,'F_Inputs adjusted'!$B:$B,$B91)</f>
        <v>5.8279999999999994</v>
      </c>
      <c r="J91" s="182">
        <f ca="1">SUMIFS('F_Inputs adjusted'!W:W,'F_Inputs adjusted'!$A:$A,$A91,'F_Inputs adjusted'!$B:$B,$B91)</f>
        <v>6.4059999999999997</v>
      </c>
      <c r="K91" s="182">
        <f ca="1">SUMIFS('F_Inputs adjusted'!X:X,'F_Inputs adjusted'!$A:$A,$A91,'F_Inputs adjusted'!$B:$B,$B91)</f>
        <v>16.821999999999999</v>
      </c>
    </row>
    <row r="92" spans="1:11" ht="13.15">
      <c r="A92" s="181" t="str">
        <f>F_Inputs!A94</f>
        <v>SRN</v>
      </c>
      <c r="B92" s="181" t="str">
        <f>F_Inputs!B94</f>
        <v>CWW12_010TOT_PR24</v>
      </c>
      <c r="C92" s="181" t="str">
        <f>F_Inputs!C94</f>
        <v>EA/NRW environmental programme wastewater (WINEP/NEP) - MCERTs monitoring at emergency sewage pumping station overflows (WINEP/NEP) wastewater capex - Total</v>
      </c>
      <c r="D92" s="181" t="str">
        <f>F_Inputs!D95</f>
        <v>£m</v>
      </c>
      <c r="E92" s="182">
        <f ca="1">SUMIFS('F_Inputs adjusted'!R:R,'F_Inputs adjusted'!$A:$A,$A92,'F_Inputs adjusted'!$B:$B,$B92)</f>
        <v>0</v>
      </c>
      <c r="F92" s="182">
        <f ca="1">SUMIFS('F_Inputs adjusted'!S:S,'F_Inputs adjusted'!$A:$A,$A92,'F_Inputs adjusted'!$B:$B,$B92)</f>
        <v>0</v>
      </c>
      <c r="G92" s="182">
        <f ca="1">SUMIFS('F_Inputs adjusted'!T:T,'F_Inputs adjusted'!$A:$A,$A92,'F_Inputs adjusted'!$B:$B,$B92)</f>
        <v>0</v>
      </c>
      <c r="H92" s="182">
        <f ca="1">SUMIFS('F_Inputs adjusted'!U:U,'F_Inputs adjusted'!$A:$A,$A92,'F_Inputs adjusted'!$B:$B,$B92)</f>
        <v>0</v>
      </c>
      <c r="I92" s="182">
        <f ca="1">SUMIFS('F_Inputs adjusted'!V:V,'F_Inputs adjusted'!$A:$A,$A92,'F_Inputs adjusted'!$B:$B,$B92)</f>
        <v>0</v>
      </c>
      <c r="J92" s="182">
        <f ca="1">SUMIFS('F_Inputs adjusted'!W:W,'F_Inputs adjusted'!$A:$A,$A92,'F_Inputs adjusted'!$B:$B,$B92)</f>
        <v>0</v>
      </c>
      <c r="K92" s="182">
        <f ca="1">SUMIFS('F_Inputs adjusted'!X:X,'F_Inputs adjusted'!$A:$A,$A92,'F_Inputs adjusted'!$B:$B,$B92)</f>
        <v>0</v>
      </c>
    </row>
    <row r="93" spans="1:11" ht="13.15">
      <c r="A93" s="181" t="str">
        <f>F_Inputs!A95</f>
        <v>SRN</v>
      </c>
      <c r="B93" s="181" t="str">
        <f>F_Inputs!B95</f>
        <v>CWW12_011TOT_PR24</v>
      </c>
      <c r="C93" s="181" t="str">
        <f>F_Inputs!C95</f>
        <v>EA/NRW environmental programme wastewater (WINEP/NEP) - MCERTs monitoring at emergency sewage pumping station overflows (WINEP/NEP) wastewater opex - Total</v>
      </c>
      <c r="D93" s="181" t="str">
        <f>F_Inputs!D96</f>
        <v>£m</v>
      </c>
      <c r="E93" s="182">
        <f ca="1">SUMIFS('F_Inputs adjusted'!R:R,'F_Inputs adjusted'!$A:$A,$A93,'F_Inputs adjusted'!$B:$B,$B93)</f>
        <v>0</v>
      </c>
      <c r="F93" s="182">
        <f ca="1">SUMIFS('F_Inputs adjusted'!S:S,'F_Inputs adjusted'!$A:$A,$A93,'F_Inputs adjusted'!$B:$B,$B93)</f>
        <v>0</v>
      </c>
      <c r="G93" s="182">
        <f ca="1">SUMIFS('F_Inputs adjusted'!T:T,'F_Inputs adjusted'!$A:$A,$A93,'F_Inputs adjusted'!$B:$B,$B93)</f>
        <v>0</v>
      </c>
      <c r="H93" s="182">
        <f ca="1">SUMIFS('F_Inputs adjusted'!U:U,'F_Inputs adjusted'!$A:$A,$A93,'F_Inputs adjusted'!$B:$B,$B93)</f>
        <v>0</v>
      </c>
      <c r="I93" s="182">
        <f ca="1">SUMIFS('F_Inputs adjusted'!V:V,'F_Inputs adjusted'!$A:$A,$A93,'F_Inputs adjusted'!$B:$B,$B93)</f>
        <v>0</v>
      </c>
      <c r="J93" s="182">
        <f ca="1">SUMIFS('F_Inputs adjusted'!W:W,'F_Inputs adjusted'!$A:$A,$A93,'F_Inputs adjusted'!$B:$B,$B93)</f>
        <v>0</v>
      </c>
      <c r="K93" s="182">
        <f ca="1">SUMIFS('F_Inputs adjusted'!X:X,'F_Inputs adjusted'!$A:$A,$A93,'F_Inputs adjusted'!$B:$B,$B93)</f>
        <v>0</v>
      </c>
    </row>
    <row r="94" spans="1:11" ht="13.15">
      <c r="A94" s="181" t="str">
        <f>F_Inputs!A96</f>
        <v>SRN</v>
      </c>
      <c r="B94" s="181" t="str">
        <f>F_Inputs!B96</f>
        <v>CWW12_012TOT_PR24</v>
      </c>
      <c r="C94" s="181" t="str">
        <f>F_Inputs!C96</f>
        <v>EA/NRW environmental programme wastewater (WINEP/NEP) - MCERTs monitoring at emergency sewage pumping station overflows (WINEP/NEP) wastewater totex - Total</v>
      </c>
      <c r="D94" s="181" t="str">
        <f>F_Inputs!D97</f>
        <v>£m</v>
      </c>
      <c r="E94" s="182">
        <f ca="1">SUMIFS('F_Inputs adjusted'!R:R,'F_Inputs adjusted'!$A:$A,$A94,'F_Inputs adjusted'!$B:$B,$B94)</f>
        <v>0</v>
      </c>
      <c r="F94" s="182">
        <f ca="1">SUMIFS('F_Inputs adjusted'!S:S,'F_Inputs adjusted'!$A:$A,$A94,'F_Inputs adjusted'!$B:$B,$B94)</f>
        <v>0</v>
      </c>
      <c r="G94" s="182">
        <f ca="1">SUMIFS('F_Inputs adjusted'!T:T,'F_Inputs adjusted'!$A:$A,$A94,'F_Inputs adjusted'!$B:$B,$B94)</f>
        <v>0</v>
      </c>
      <c r="H94" s="182">
        <f ca="1">SUMIFS('F_Inputs adjusted'!U:U,'F_Inputs adjusted'!$A:$A,$A94,'F_Inputs adjusted'!$B:$B,$B94)</f>
        <v>0</v>
      </c>
      <c r="I94" s="182">
        <f ca="1">SUMIFS('F_Inputs adjusted'!V:V,'F_Inputs adjusted'!$A:$A,$A94,'F_Inputs adjusted'!$B:$B,$B94)</f>
        <v>0</v>
      </c>
      <c r="J94" s="182">
        <f ca="1">SUMIFS('F_Inputs adjusted'!W:W,'F_Inputs adjusted'!$A:$A,$A94,'F_Inputs adjusted'!$B:$B,$B94)</f>
        <v>0</v>
      </c>
      <c r="K94" s="182">
        <f ca="1">SUMIFS('F_Inputs adjusted'!X:X,'F_Inputs adjusted'!$A:$A,$A94,'F_Inputs adjusted'!$B:$B,$B94)</f>
        <v>0</v>
      </c>
    </row>
    <row r="95" spans="1:11" ht="13.15">
      <c r="A95" s="181" t="str">
        <f>F_Inputs!A97</f>
        <v>SRN</v>
      </c>
      <c r="B95" s="181" t="str">
        <f>F_Inputs!B97</f>
        <v>CWW17_010TOT_PR24</v>
      </c>
      <c r="C95" s="181" t="str">
        <f>F_Inputs!C97</f>
        <v>EA/NRW environmental programme wastewater (WINEP/NEP) - MCERTs monitoring at emergency sewage pumping station overflows (WINEP/NEP) wastewater capex - Total</v>
      </c>
      <c r="D95" s="181" t="str">
        <f>F_Inputs!D98</f>
        <v>£m</v>
      </c>
      <c r="E95" s="182">
        <f ca="1">SUMIFS('F_Inputs adjusted'!R:R,'F_Inputs adjusted'!$A:$A,$A95,'F_Inputs adjusted'!$B:$B,$B95)</f>
        <v>0</v>
      </c>
      <c r="F95" s="182">
        <f ca="1">SUMIFS('F_Inputs adjusted'!S:S,'F_Inputs adjusted'!$A:$A,$A95,'F_Inputs adjusted'!$B:$B,$B95)</f>
        <v>0</v>
      </c>
      <c r="G95" s="182">
        <f ca="1">SUMIFS('F_Inputs adjusted'!T:T,'F_Inputs adjusted'!$A:$A,$A95,'F_Inputs adjusted'!$B:$B,$B95)</f>
        <v>0</v>
      </c>
      <c r="H95" s="182">
        <f ca="1">SUMIFS('F_Inputs adjusted'!U:U,'F_Inputs adjusted'!$A:$A,$A95,'F_Inputs adjusted'!$B:$B,$B95)</f>
        <v>0</v>
      </c>
      <c r="I95" s="182">
        <f ca="1">SUMIFS('F_Inputs adjusted'!V:V,'F_Inputs adjusted'!$A:$A,$A95,'F_Inputs adjusted'!$B:$B,$B95)</f>
        <v>0</v>
      </c>
      <c r="J95" s="182">
        <f ca="1">SUMIFS('F_Inputs adjusted'!W:W,'F_Inputs adjusted'!$A:$A,$A95,'F_Inputs adjusted'!$B:$B,$B95)</f>
        <v>0</v>
      </c>
      <c r="K95" s="182">
        <f ca="1">SUMIFS('F_Inputs adjusted'!X:X,'F_Inputs adjusted'!$A:$A,$A95,'F_Inputs adjusted'!$B:$B,$B95)</f>
        <v>0</v>
      </c>
    </row>
    <row r="96" spans="1:11" ht="13.15">
      <c r="A96" s="181" t="str">
        <f>F_Inputs!A98</f>
        <v>SRN</v>
      </c>
      <c r="B96" s="181" t="str">
        <f>F_Inputs!B98</f>
        <v>CWW17_011TOT_PR24</v>
      </c>
      <c r="C96" s="181" t="str">
        <f>F_Inputs!C98</f>
        <v>EA/NRW environmental programme wastewater (WINEP/NEP) - MCERTs monitoring at emergency sewage pumping station overflows (WINEP/NEP) wastewater opex - Total</v>
      </c>
      <c r="D96" s="181" t="str">
        <f>F_Inputs!D99</f>
        <v>£m</v>
      </c>
      <c r="E96" s="182">
        <f ca="1">SUMIFS('F_Inputs adjusted'!R:R,'F_Inputs adjusted'!$A:$A,$A96,'F_Inputs adjusted'!$B:$B,$B96)</f>
        <v>0</v>
      </c>
      <c r="F96" s="182">
        <f ca="1">SUMIFS('F_Inputs adjusted'!S:S,'F_Inputs adjusted'!$A:$A,$A96,'F_Inputs adjusted'!$B:$B,$B96)</f>
        <v>0</v>
      </c>
      <c r="G96" s="182">
        <f ca="1">SUMIFS('F_Inputs adjusted'!T:T,'F_Inputs adjusted'!$A:$A,$A96,'F_Inputs adjusted'!$B:$B,$B96)</f>
        <v>0</v>
      </c>
      <c r="H96" s="182">
        <f ca="1">SUMIFS('F_Inputs adjusted'!U:U,'F_Inputs adjusted'!$A:$A,$A96,'F_Inputs adjusted'!$B:$B,$B96)</f>
        <v>0</v>
      </c>
      <c r="I96" s="182">
        <f ca="1">SUMIFS('F_Inputs adjusted'!V:V,'F_Inputs adjusted'!$A:$A,$A96,'F_Inputs adjusted'!$B:$B,$B96)</f>
        <v>0</v>
      </c>
      <c r="J96" s="182">
        <f ca="1">SUMIFS('F_Inputs adjusted'!W:W,'F_Inputs adjusted'!$A:$A,$A96,'F_Inputs adjusted'!$B:$B,$B96)</f>
        <v>0</v>
      </c>
      <c r="K96" s="182">
        <f ca="1">SUMIFS('F_Inputs adjusted'!X:X,'F_Inputs adjusted'!$A:$A,$A96,'F_Inputs adjusted'!$B:$B,$B96)</f>
        <v>0</v>
      </c>
    </row>
    <row r="97" spans="1:11" ht="13.15">
      <c r="A97" s="181" t="str">
        <f>F_Inputs!A99</f>
        <v>SRN</v>
      </c>
      <c r="B97" s="181" t="str">
        <f>F_Inputs!B99</f>
        <v>CWW17_012TOT_PR24</v>
      </c>
      <c r="C97" s="181" t="str">
        <f>F_Inputs!C99</f>
        <v>EA/NRW environmental programme wastewater (WINEP/NEP) - MCERTs monitoring at emergency sewage pumping station overflows (WINEP/NEP) wastewater totex - Total</v>
      </c>
      <c r="D97" s="181" t="str">
        <f>F_Inputs!D100</f>
        <v>nr</v>
      </c>
      <c r="E97" s="182">
        <f ca="1">SUMIFS('F_Inputs adjusted'!R:R,'F_Inputs adjusted'!$A:$A,$A97,'F_Inputs adjusted'!$B:$B,$B97)</f>
        <v>0</v>
      </c>
      <c r="F97" s="182">
        <f ca="1">SUMIFS('F_Inputs adjusted'!S:S,'F_Inputs adjusted'!$A:$A,$A97,'F_Inputs adjusted'!$B:$B,$B97)</f>
        <v>0</v>
      </c>
      <c r="G97" s="182">
        <f ca="1">SUMIFS('F_Inputs adjusted'!T:T,'F_Inputs adjusted'!$A:$A,$A97,'F_Inputs adjusted'!$B:$B,$B97)</f>
        <v>0</v>
      </c>
      <c r="H97" s="182">
        <f ca="1">SUMIFS('F_Inputs adjusted'!U:U,'F_Inputs adjusted'!$A:$A,$A97,'F_Inputs adjusted'!$B:$B,$B97)</f>
        <v>0</v>
      </c>
      <c r="I97" s="182">
        <f ca="1">SUMIFS('F_Inputs adjusted'!V:V,'F_Inputs adjusted'!$A:$A,$A97,'F_Inputs adjusted'!$B:$B,$B97)</f>
        <v>0</v>
      </c>
      <c r="J97" s="182">
        <f ca="1">SUMIFS('F_Inputs adjusted'!W:W,'F_Inputs adjusted'!$A:$A,$A97,'F_Inputs adjusted'!$B:$B,$B97)</f>
        <v>0</v>
      </c>
      <c r="K97" s="182">
        <f ca="1">SUMIFS('F_Inputs adjusted'!X:X,'F_Inputs adjusted'!$A:$A,$A97,'F_Inputs adjusted'!$B:$B,$B97)</f>
        <v>0</v>
      </c>
    </row>
    <row r="98" spans="1:11" ht="13.15">
      <c r="A98" s="181" t="str">
        <f>F_Inputs!A100</f>
        <v>SRN</v>
      </c>
      <c r="B98" s="181" t="str">
        <f>F_Inputs!B100</f>
        <v>CWW20_050_PR24</v>
      </c>
      <c r="C98" s="181" t="str">
        <f>F_Inputs!C100</f>
        <v>Network / Storm overflow data - Number of new MCERTs event duration monitors installed at SPS emergency overflows</v>
      </c>
      <c r="D98" s="181" t="str">
        <f>F_Inputs!D101</f>
        <v>nr</v>
      </c>
      <c r="E98" s="182">
        <f ca="1">SUMIFS('F_Inputs adjusted'!R:R,'F_Inputs adjusted'!$A:$A,$A98,'F_Inputs adjusted'!$B:$B,$B98)</f>
        <v>0</v>
      </c>
      <c r="F98" s="182">
        <f ca="1">SUMIFS('F_Inputs adjusted'!S:S,'F_Inputs adjusted'!$A:$A,$A98,'F_Inputs adjusted'!$B:$B,$B98)</f>
        <v>0</v>
      </c>
      <c r="G98" s="182">
        <f ca="1">SUMIFS('F_Inputs adjusted'!T:T,'F_Inputs adjusted'!$A:$A,$A98,'F_Inputs adjusted'!$B:$B,$B98)</f>
        <v>0</v>
      </c>
      <c r="H98" s="182">
        <f ca="1">SUMIFS('F_Inputs adjusted'!U:U,'F_Inputs adjusted'!$A:$A,$A98,'F_Inputs adjusted'!$B:$B,$B98)</f>
        <v>10</v>
      </c>
      <c r="I98" s="182">
        <f ca="1">SUMIFS('F_Inputs adjusted'!V:V,'F_Inputs adjusted'!$A:$A,$A98,'F_Inputs adjusted'!$B:$B,$B98)</f>
        <v>10</v>
      </c>
      <c r="J98" s="182">
        <f ca="1">SUMIFS('F_Inputs adjusted'!W:W,'F_Inputs adjusted'!$A:$A,$A98,'F_Inputs adjusted'!$B:$B,$B98)</f>
        <v>10</v>
      </c>
      <c r="K98" s="182">
        <f ca="1">SUMIFS('F_Inputs adjusted'!X:X,'F_Inputs adjusted'!$A:$A,$A98,'F_Inputs adjusted'!$B:$B,$B98)</f>
        <v>0</v>
      </c>
    </row>
    <row r="99" spans="1:11" ht="13.15">
      <c r="A99" s="181" t="str">
        <f>F_Inputs!A101</f>
        <v>SRN</v>
      </c>
      <c r="B99" s="181" t="str">
        <f>F_Inputs!B101</f>
        <v>CWW20_051_PR24</v>
      </c>
      <c r="C99" s="181" t="str">
        <f>F_Inputs!C101</f>
        <v>Network / Storm overflow data - Number of new MCERTs flow monitors (PFF) installed at SPSs with combined emergency and storm overflows.</v>
      </c>
      <c r="D99" s="181" t="str">
        <f>F_Inputs!D102</f>
        <v>nr</v>
      </c>
      <c r="E99" s="182">
        <f ca="1">SUMIFS('F_Inputs adjusted'!R:R,'F_Inputs adjusted'!$A:$A,$A99,'F_Inputs adjusted'!$B:$B,$B99)</f>
        <v>0</v>
      </c>
      <c r="F99" s="182">
        <f ca="1">SUMIFS('F_Inputs adjusted'!S:S,'F_Inputs adjusted'!$A:$A,$A99,'F_Inputs adjusted'!$B:$B,$B99)</f>
        <v>0</v>
      </c>
      <c r="G99" s="182">
        <f ca="1">SUMIFS('F_Inputs adjusted'!T:T,'F_Inputs adjusted'!$A:$A,$A99,'F_Inputs adjusted'!$B:$B,$B99)</f>
        <v>0</v>
      </c>
      <c r="H99" s="182">
        <f ca="1">SUMIFS('F_Inputs adjusted'!U:U,'F_Inputs adjusted'!$A:$A,$A99,'F_Inputs adjusted'!$B:$B,$B99)</f>
        <v>20</v>
      </c>
      <c r="I99" s="182">
        <f ca="1">SUMIFS('F_Inputs adjusted'!V:V,'F_Inputs adjusted'!$A:$A,$A99,'F_Inputs adjusted'!$B:$B,$B99)</f>
        <v>30</v>
      </c>
      <c r="J99" s="182">
        <f ca="1">SUMIFS('F_Inputs adjusted'!W:W,'F_Inputs adjusted'!$A:$A,$A99,'F_Inputs adjusted'!$B:$B,$B99)</f>
        <v>30</v>
      </c>
      <c r="K99" s="182">
        <f ca="1">SUMIFS('F_Inputs adjusted'!X:X,'F_Inputs adjusted'!$A:$A,$A99,'F_Inputs adjusted'!$B:$B,$B99)</f>
        <v>18</v>
      </c>
    </row>
    <row r="100" spans="1:11" ht="13.15">
      <c r="A100" s="181" t="str">
        <f>F_Inputs!A102</f>
        <v>SRN</v>
      </c>
      <c r="B100" s="181" t="str">
        <f>F_Inputs!B102</f>
        <v>CWW20A_050_PR24</v>
      </c>
      <c r="C100" s="181" t="str">
        <f>F_Inputs!C102</f>
        <v>Network / Storm overflow data - Number of new MCERTs event duration monitors installed at SPS emergency overflows</v>
      </c>
      <c r="D100" s="181" t="str">
        <f>F_Inputs!D103</f>
        <v>nr</v>
      </c>
      <c r="E100" s="182">
        <f ca="1">SUMIFS('F_Inputs adjusted'!R:R,'F_Inputs adjusted'!$A:$A,$A100,'F_Inputs adjusted'!$B:$B,$B100)</f>
        <v>0</v>
      </c>
      <c r="F100" s="182">
        <f ca="1">SUMIFS('F_Inputs adjusted'!S:S,'F_Inputs adjusted'!$A:$A,$A100,'F_Inputs adjusted'!$B:$B,$B100)</f>
        <v>0</v>
      </c>
      <c r="G100" s="182">
        <f ca="1">SUMIFS('F_Inputs adjusted'!T:T,'F_Inputs adjusted'!$A:$A,$A100,'F_Inputs adjusted'!$B:$B,$B100)</f>
        <v>0</v>
      </c>
      <c r="H100" s="182">
        <f ca="1">SUMIFS('F_Inputs adjusted'!U:U,'F_Inputs adjusted'!$A:$A,$A100,'F_Inputs adjusted'!$B:$B,$B100)</f>
        <v>0</v>
      </c>
      <c r="I100" s="182">
        <f ca="1">SUMIFS('F_Inputs adjusted'!V:V,'F_Inputs adjusted'!$A:$A,$A100,'F_Inputs adjusted'!$B:$B,$B100)</f>
        <v>0</v>
      </c>
      <c r="J100" s="182">
        <f ca="1">SUMIFS('F_Inputs adjusted'!W:W,'F_Inputs adjusted'!$A:$A,$A100,'F_Inputs adjusted'!$B:$B,$B100)</f>
        <v>0</v>
      </c>
      <c r="K100" s="182">
        <f ca="1">SUMIFS('F_Inputs adjusted'!X:X,'F_Inputs adjusted'!$A:$A,$A100,'F_Inputs adjusted'!$B:$B,$B100)</f>
        <v>0</v>
      </c>
    </row>
    <row r="101" spans="1:11" ht="13.15">
      <c r="A101" s="181" t="str">
        <f>F_Inputs!A103</f>
        <v>SRN</v>
      </c>
      <c r="B101" s="181" t="str">
        <f>F_Inputs!B103</f>
        <v>CWW20A_051_PR24</v>
      </c>
      <c r="C101" s="181" t="str">
        <f>F_Inputs!C103</f>
        <v>Network / Storm overflow data - Number of new MCERTs flow monitors (PFF) installed at SPSs with combined emergency and storm overflows.</v>
      </c>
      <c r="D101" s="181" t="str">
        <f>F_Inputs!D104</f>
        <v>£m</v>
      </c>
      <c r="E101" s="182">
        <f ca="1">SUMIFS('F_Inputs adjusted'!R:R,'F_Inputs adjusted'!$A:$A,$A101,'F_Inputs adjusted'!$B:$B,$B101)</f>
        <v>0</v>
      </c>
      <c r="F101" s="182">
        <f ca="1">SUMIFS('F_Inputs adjusted'!S:S,'F_Inputs adjusted'!$A:$A,$A101,'F_Inputs adjusted'!$B:$B,$B101)</f>
        <v>0</v>
      </c>
      <c r="G101" s="182">
        <f ca="1">SUMIFS('F_Inputs adjusted'!T:T,'F_Inputs adjusted'!$A:$A,$A101,'F_Inputs adjusted'!$B:$B,$B101)</f>
        <v>0</v>
      </c>
      <c r="H101" s="182">
        <f ca="1">SUMIFS('F_Inputs adjusted'!U:U,'F_Inputs adjusted'!$A:$A,$A101,'F_Inputs adjusted'!$B:$B,$B101)</f>
        <v>0</v>
      </c>
      <c r="I101" s="182">
        <f ca="1">SUMIFS('F_Inputs adjusted'!V:V,'F_Inputs adjusted'!$A:$A,$A101,'F_Inputs adjusted'!$B:$B,$B101)</f>
        <v>0</v>
      </c>
      <c r="J101" s="182">
        <f ca="1">SUMIFS('F_Inputs adjusted'!W:W,'F_Inputs adjusted'!$A:$A,$A101,'F_Inputs adjusted'!$B:$B,$B101)</f>
        <v>0</v>
      </c>
      <c r="K101" s="182">
        <f ca="1">SUMIFS('F_Inputs adjusted'!X:X,'F_Inputs adjusted'!$A:$A,$A101,'F_Inputs adjusted'!$B:$B,$B101)</f>
        <v>0</v>
      </c>
    </row>
    <row r="102" spans="1:11" ht="13.15">
      <c r="A102" s="181" t="str">
        <f>F_Inputs!A104</f>
        <v>SRN</v>
      </c>
      <c r="B102" s="181" t="str">
        <f>F_Inputs!B104</f>
        <v>CWW1A_015TOT_PR24</v>
      </c>
      <c r="C102" s="181" t="str">
        <f>F_Inputs!C104</f>
        <v>Net totex - Total</v>
      </c>
      <c r="D102" s="181" t="str">
        <f>F_Inputs!D105</f>
        <v>£m</v>
      </c>
      <c r="E102" s="182">
        <f ca="1">SUMIFS('F_Inputs adjusted'!R:R,'F_Inputs adjusted'!$A:$A,$A102,'F_Inputs adjusted'!$B:$B,$B102)</f>
        <v>0</v>
      </c>
      <c r="F102" s="182">
        <f ca="1">SUMIFS('F_Inputs adjusted'!S:S,'F_Inputs adjusted'!$A:$A,$A102,'F_Inputs adjusted'!$B:$B,$B102)</f>
        <v>0</v>
      </c>
      <c r="G102" s="182">
        <f ca="1">SUMIFS('F_Inputs adjusted'!T:T,'F_Inputs adjusted'!$A:$A,$A102,'F_Inputs adjusted'!$B:$B,$B102)</f>
        <v>919.95056665257835</v>
      </c>
      <c r="H102" s="182">
        <f ca="1">SUMIFS('F_Inputs adjusted'!U:U,'F_Inputs adjusted'!$A:$A,$A102,'F_Inputs adjusted'!$B:$B,$B102)</f>
        <v>1259.3054253890721</v>
      </c>
      <c r="I102" s="182">
        <f ca="1">SUMIFS('F_Inputs adjusted'!V:V,'F_Inputs adjusted'!$A:$A,$A102,'F_Inputs adjusted'!$B:$B,$B102)</f>
        <v>1000.932312638522</v>
      </c>
      <c r="J102" s="182">
        <f ca="1">SUMIFS('F_Inputs adjusted'!W:W,'F_Inputs adjusted'!$A:$A,$A102,'F_Inputs adjusted'!$B:$B,$B102)</f>
        <v>1075.9677056653011</v>
      </c>
      <c r="K102" s="182">
        <f ca="1">SUMIFS('F_Inputs adjusted'!X:X,'F_Inputs adjusted'!$A:$A,$A102,'F_Inputs adjusted'!$B:$B,$B102)</f>
        <v>779.11368189552627</v>
      </c>
    </row>
    <row r="103" spans="1:11" ht="13.15">
      <c r="A103" s="181" t="str">
        <f>F_Inputs!A105</f>
        <v>TMS</v>
      </c>
      <c r="B103" s="181" t="str">
        <f>F_Inputs!B105</f>
        <v>CWW3_010TOT_PR24</v>
      </c>
      <c r="C103" s="181" t="str">
        <f>F_Inputs!C105</f>
        <v>EA/NRW environmental programme wastewater (WINEP/NEP) - MCERTs monitoring at emergency sewage pumping station overflows (WINEP/NEP) wastewater capex - Total</v>
      </c>
      <c r="D103" s="181" t="str">
        <f>F_Inputs!D106</f>
        <v>£m</v>
      </c>
      <c r="E103" s="182">
        <f ca="1">SUMIFS('F_Inputs adjusted'!R:R,'F_Inputs adjusted'!$A:$A,$A103,'F_Inputs adjusted'!$B:$B,$B103)</f>
        <v>0</v>
      </c>
      <c r="F103" s="182">
        <f ca="1">SUMIFS('F_Inputs adjusted'!S:S,'F_Inputs adjusted'!$A:$A,$A103,'F_Inputs adjusted'!$B:$B,$B103)</f>
        <v>0</v>
      </c>
      <c r="G103" s="182">
        <f ca="1">SUMIFS('F_Inputs adjusted'!T:T,'F_Inputs adjusted'!$A:$A,$A103,'F_Inputs adjusted'!$B:$B,$B103)</f>
        <v>4.6950000000000003</v>
      </c>
      <c r="H103" s="182">
        <f ca="1">SUMIFS('F_Inputs adjusted'!U:U,'F_Inputs adjusted'!$A:$A,$A103,'F_Inputs adjusted'!$B:$B,$B103)</f>
        <v>4.7160000000000002</v>
      </c>
      <c r="I103" s="182">
        <f ca="1">SUMIFS('F_Inputs adjusted'!V:V,'F_Inputs adjusted'!$A:$A,$A103,'F_Inputs adjusted'!$B:$B,$B103)</f>
        <v>1.1839999999999999</v>
      </c>
      <c r="J103" s="182">
        <f ca="1">SUMIFS('F_Inputs adjusted'!W:W,'F_Inputs adjusted'!$A:$A,$A103,'F_Inputs adjusted'!$B:$B,$B103)</f>
        <v>0.59499999999999997</v>
      </c>
      <c r="K103" s="182">
        <f ca="1">SUMIFS('F_Inputs adjusted'!X:X,'F_Inputs adjusted'!$A:$A,$A103,'F_Inputs adjusted'!$B:$B,$B103)</f>
        <v>0.59799999999999998</v>
      </c>
    </row>
    <row r="104" spans="1:11" ht="13.15">
      <c r="A104" s="181" t="str">
        <f>F_Inputs!A106</f>
        <v>TMS</v>
      </c>
      <c r="B104" s="181" t="str">
        <f>F_Inputs!B106</f>
        <v>CWW3_011TOT_PR24</v>
      </c>
      <c r="C104" s="181" t="str">
        <f>F_Inputs!C106</f>
        <v>EA/NRW environmental programme wastewater (WINEP/NEP) - MCERTs monitoring at emergency sewage pumping station overflows (WINEP/NEP) wastewater opex - Total</v>
      </c>
      <c r="D104" s="181" t="str">
        <f>F_Inputs!D107</f>
        <v>£m</v>
      </c>
      <c r="E104" s="182">
        <f ca="1">SUMIFS('F_Inputs adjusted'!R:R,'F_Inputs adjusted'!$A:$A,$A104,'F_Inputs adjusted'!$B:$B,$B104)</f>
        <v>0</v>
      </c>
      <c r="F104" s="182">
        <f ca="1">SUMIFS('F_Inputs adjusted'!S:S,'F_Inputs adjusted'!$A:$A,$A104,'F_Inputs adjusted'!$B:$B,$B104)</f>
        <v>0</v>
      </c>
      <c r="G104" s="182">
        <f ca="1">SUMIFS('F_Inputs adjusted'!T:T,'F_Inputs adjusted'!$A:$A,$A104,'F_Inputs adjusted'!$B:$B,$B104)</f>
        <v>0</v>
      </c>
      <c r="H104" s="182">
        <f ca="1">SUMIFS('F_Inputs adjusted'!U:U,'F_Inputs adjusted'!$A:$A,$A104,'F_Inputs adjusted'!$B:$B,$B104)</f>
        <v>0</v>
      </c>
      <c r="I104" s="182">
        <f ca="1">SUMIFS('F_Inputs adjusted'!V:V,'F_Inputs adjusted'!$A:$A,$A104,'F_Inputs adjusted'!$B:$B,$B104)</f>
        <v>0</v>
      </c>
      <c r="J104" s="182">
        <f ca="1">SUMIFS('F_Inputs adjusted'!W:W,'F_Inputs adjusted'!$A:$A,$A104,'F_Inputs adjusted'!$B:$B,$B104)</f>
        <v>0</v>
      </c>
      <c r="K104" s="182">
        <f ca="1">SUMIFS('F_Inputs adjusted'!X:X,'F_Inputs adjusted'!$A:$A,$A104,'F_Inputs adjusted'!$B:$B,$B104)</f>
        <v>0</v>
      </c>
    </row>
    <row r="105" spans="1:11" ht="13.15">
      <c r="A105" s="181" t="str">
        <f>F_Inputs!A107</f>
        <v>TMS</v>
      </c>
      <c r="B105" s="181" t="str">
        <f>F_Inputs!B107</f>
        <v>CWW3_012TOT_PR24</v>
      </c>
      <c r="C105" s="181" t="str">
        <f>F_Inputs!C107</f>
        <v>EA/NRW environmental programme wastewater (WINEP/NEP) - MCERTs monitoring at emergency sewage pumping station overflows (WINEP/NEP) wastewater totex - Total</v>
      </c>
      <c r="D105" s="181" t="str">
        <f>F_Inputs!D108</f>
        <v>£m</v>
      </c>
      <c r="E105" s="182">
        <f ca="1">SUMIFS('F_Inputs adjusted'!R:R,'F_Inputs adjusted'!$A:$A,$A105,'F_Inputs adjusted'!$B:$B,$B105)</f>
        <v>0</v>
      </c>
      <c r="F105" s="182">
        <f ca="1">SUMIFS('F_Inputs adjusted'!S:S,'F_Inputs adjusted'!$A:$A,$A105,'F_Inputs adjusted'!$B:$B,$B105)</f>
        <v>0</v>
      </c>
      <c r="G105" s="182">
        <f ca="1">SUMIFS('F_Inputs adjusted'!T:T,'F_Inputs adjusted'!$A:$A,$A105,'F_Inputs adjusted'!$B:$B,$B105)</f>
        <v>4.6950000000000003</v>
      </c>
      <c r="H105" s="182">
        <f ca="1">SUMIFS('F_Inputs adjusted'!U:U,'F_Inputs adjusted'!$A:$A,$A105,'F_Inputs adjusted'!$B:$B,$B105)</f>
        <v>4.7160000000000002</v>
      </c>
      <c r="I105" s="182">
        <f ca="1">SUMIFS('F_Inputs adjusted'!V:V,'F_Inputs adjusted'!$A:$A,$A105,'F_Inputs adjusted'!$B:$B,$B105)</f>
        <v>1.1839999999999999</v>
      </c>
      <c r="J105" s="182">
        <f ca="1">SUMIFS('F_Inputs adjusted'!W:W,'F_Inputs adjusted'!$A:$A,$A105,'F_Inputs adjusted'!$B:$B,$B105)</f>
        <v>0.59499999999999997</v>
      </c>
      <c r="K105" s="182">
        <f ca="1">SUMIFS('F_Inputs adjusted'!X:X,'F_Inputs adjusted'!$A:$A,$A105,'F_Inputs adjusted'!$B:$B,$B105)</f>
        <v>0.59799999999999998</v>
      </c>
    </row>
    <row r="106" spans="1:11" ht="13.15">
      <c r="A106" s="181" t="str">
        <f>F_Inputs!A108</f>
        <v>TMS</v>
      </c>
      <c r="B106" s="181" t="str">
        <f>F_Inputs!B108</f>
        <v>CWW12_010TOT_PR24</v>
      </c>
      <c r="C106" s="181" t="str">
        <f>F_Inputs!C108</f>
        <v>EA/NRW environmental programme wastewater (WINEP/NEP) - MCERTs monitoring at emergency sewage pumping station overflows (WINEP/NEP) wastewater capex - Total</v>
      </c>
      <c r="D106" s="181" t="str">
        <f>F_Inputs!D109</f>
        <v>£m</v>
      </c>
      <c r="E106" s="182">
        <f ca="1">SUMIFS('F_Inputs adjusted'!R:R,'F_Inputs adjusted'!$A:$A,$A106,'F_Inputs adjusted'!$B:$B,$B106)</f>
        <v>0</v>
      </c>
      <c r="F106" s="182">
        <f ca="1">SUMIFS('F_Inputs adjusted'!S:S,'F_Inputs adjusted'!$A:$A,$A106,'F_Inputs adjusted'!$B:$B,$B106)</f>
        <v>0</v>
      </c>
      <c r="G106" s="182">
        <f ca="1">SUMIFS('F_Inputs adjusted'!T:T,'F_Inputs adjusted'!$A:$A,$A106,'F_Inputs adjusted'!$B:$B,$B106)</f>
        <v>0</v>
      </c>
      <c r="H106" s="182">
        <f ca="1">SUMIFS('F_Inputs adjusted'!U:U,'F_Inputs adjusted'!$A:$A,$A106,'F_Inputs adjusted'!$B:$B,$B106)</f>
        <v>0</v>
      </c>
      <c r="I106" s="182">
        <f ca="1">SUMIFS('F_Inputs adjusted'!V:V,'F_Inputs adjusted'!$A:$A,$A106,'F_Inputs adjusted'!$B:$B,$B106)</f>
        <v>0</v>
      </c>
      <c r="J106" s="182">
        <f ca="1">SUMIFS('F_Inputs adjusted'!W:W,'F_Inputs adjusted'!$A:$A,$A106,'F_Inputs adjusted'!$B:$B,$B106)</f>
        <v>0</v>
      </c>
      <c r="K106" s="182">
        <f ca="1">SUMIFS('F_Inputs adjusted'!X:X,'F_Inputs adjusted'!$A:$A,$A106,'F_Inputs adjusted'!$B:$B,$B106)</f>
        <v>0</v>
      </c>
    </row>
    <row r="107" spans="1:11" ht="13.15">
      <c r="A107" s="181" t="str">
        <f>F_Inputs!A109</f>
        <v>TMS</v>
      </c>
      <c r="B107" s="181" t="str">
        <f>F_Inputs!B109</f>
        <v>CWW12_011TOT_PR24</v>
      </c>
      <c r="C107" s="181" t="str">
        <f>F_Inputs!C109</f>
        <v>EA/NRW environmental programme wastewater (WINEP/NEP) - MCERTs monitoring at emergency sewage pumping station overflows (WINEP/NEP) wastewater opex - Total</v>
      </c>
      <c r="D107" s="181" t="str">
        <f>F_Inputs!D110</f>
        <v>£m</v>
      </c>
      <c r="E107" s="182">
        <f ca="1">SUMIFS('F_Inputs adjusted'!R:R,'F_Inputs adjusted'!$A:$A,$A107,'F_Inputs adjusted'!$B:$B,$B107)</f>
        <v>0</v>
      </c>
      <c r="F107" s="182">
        <f ca="1">SUMIFS('F_Inputs adjusted'!S:S,'F_Inputs adjusted'!$A:$A,$A107,'F_Inputs adjusted'!$B:$B,$B107)</f>
        <v>0</v>
      </c>
      <c r="G107" s="182">
        <f ca="1">SUMIFS('F_Inputs adjusted'!T:T,'F_Inputs adjusted'!$A:$A,$A107,'F_Inputs adjusted'!$B:$B,$B107)</f>
        <v>0</v>
      </c>
      <c r="H107" s="182">
        <f ca="1">SUMIFS('F_Inputs adjusted'!U:U,'F_Inputs adjusted'!$A:$A,$A107,'F_Inputs adjusted'!$B:$B,$B107)</f>
        <v>0</v>
      </c>
      <c r="I107" s="182">
        <f ca="1">SUMIFS('F_Inputs adjusted'!V:V,'F_Inputs adjusted'!$A:$A,$A107,'F_Inputs adjusted'!$B:$B,$B107)</f>
        <v>0</v>
      </c>
      <c r="J107" s="182">
        <f ca="1">SUMIFS('F_Inputs adjusted'!W:W,'F_Inputs adjusted'!$A:$A,$A107,'F_Inputs adjusted'!$B:$B,$B107)</f>
        <v>0</v>
      </c>
      <c r="K107" s="182">
        <f ca="1">SUMIFS('F_Inputs adjusted'!X:X,'F_Inputs adjusted'!$A:$A,$A107,'F_Inputs adjusted'!$B:$B,$B107)</f>
        <v>0</v>
      </c>
    </row>
    <row r="108" spans="1:11" ht="13.15">
      <c r="A108" s="181" t="str">
        <f>F_Inputs!A110</f>
        <v>TMS</v>
      </c>
      <c r="B108" s="181" t="str">
        <f>F_Inputs!B110</f>
        <v>CWW12_012TOT_PR24</v>
      </c>
      <c r="C108" s="181" t="str">
        <f>F_Inputs!C110</f>
        <v>EA/NRW environmental programme wastewater (WINEP/NEP) - MCERTs monitoring at emergency sewage pumping station overflows (WINEP/NEP) wastewater totex - Total</v>
      </c>
      <c r="D108" s="181" t="str">
        <f>F_Inputs!D111</f>
        <v>£m</v>
      </c>
      <c r="E108" s="182">
        <f ca="1">SUMIFS('F_Inputs adjusted'!R:R,'F_Inputs adjusted'!$A:$A,$A108,'F_Inputs adjusted'!$B:$B,$B108)</f>
        <v>0</v>
      </c>
      <c r="F108" s="182">
        <f ca="1">SUMIFS('F_Inputs adjusted'!S:S,'F_Inputs adjusted'!$A:$A,$A108,'F_Inputs adjusted'!$B:$B,$B108)</f>
        <v>0</v>
      </c>
      <c r="G108" s="182">
        <f ca="1">SUMIFS('F_Inputs adjusted'!T:T,'F_Inputs adjusted'!$A:$A,$A108,'F_Inputs adjusted'!$B:$B,$B108)</f>
        <v>0</v>
      </c>
      <c r="H108" s="182">
        <f ca="1">SUMIFS('F_Inputs adjusted'!U:U,'F_Inputs adjusted'!$A:$A,$A108,'F_Inputs adjusted'!$B:$B,$B108)</f>
        <v>0</v>
      </c>
      <c r="I108" s="182">
        <f ca="1">SUMIFS('F_Inputs adjusted'!V:V,'F_Inputs adjusted'!$A:$A,$A108,'F_Inputs adjusted'!$B:$B,$B108)</f>
        <v>0</v>
      </c>
      <c r="J108" s="182">
        <f ca="1">SUMIFS('F_Inputs adjusted'!W:W,'F_Inputs adjusted'!$A:$A,$A108,'F_Inputs adjusted'!$B:$B,$B108)</f>
        <v>0</v>
      </c>
      <c r="K108" s="182">
        <f ca="1">SUMIFS('F_Inputs adjusted'!X:X,'F_Inputs adjusted'!$A:$A,$A108,'F_Inputs adjusted'!$B:$B,$B108)</f>
        <v>0</v>
      </c>
    </row>
    <row r="109" spans="1:11" ht="13.15">
      <c r="A109" s="181" t="str">
        <f>F_Inputs!A111</f>
        <v>TMS</v>
      </c>
      <c r="B109" s="181" t="str">
        <f>F_Inputs!B111</f>
        <v>CWW17_010TOT_PR24</v>
      </c>
      <c r="C109" s="181" t="str">
        <f>F_Inputs!C111</f>
        <v>EA/NRW environmental programme wastewater (WINEP/NEP) - MCERTs monitoring at emergency sewage pumping station overflows (WINEP/NEP) wastewater capex - Total</v>
      </c>
      <c r="D109" s="181" t="str">
        <f>F_Inputs!D112</f>
        <v>£m</v>
      </c>
      <c r="E109" s="182">
        <f ca="1">SUMIFS('F_Inputs adjusted'!R:R,'F_Inputs adjusted'!$A:$A,$A109,'F_Inputs adjusted'!$B:$B,$B109)</f>
        <v>0</v>
      </c>
      <c r="F109" s="182">
        <f ca="1">SUMIFS('F_Inputs adjusted'!S:S,'F_Inputs adjusted'!$A:$A,$A109,'F_Inputs adjusted'!$B:$B,$B109)</f>
        <v>0</v>
      </c>
      <c r="G109" s="182">
        <f ca="1">SUMIFS('F_Inputs adjusted'!T:T,'F_Inputs adjusted'!$A:$A,$A109,'F_Inputs adjusted'!$B:$B,$B109)</f>
        <v>0</v>
      </c>
      <c r="H109" s="182">
        <f ca="1">SUMIFS('F_Inputs adjusted'!U:U,'F_Inputs adjusted'!$A:$A,$A109,'F_Inputs adjusted'!$B:$B,$B109)</f>
        <v>0</v>
      </c>
      <c r="I109" s="182">
        <f ca="1">SUMIFS('F_Inputs adjusted'!V:V,'F_Inputs adjusted'!$A:$A,$A109,'F_Inputs adjusted'!$B:$B,$B109)</f>
        <v>0</v>
      </c>
      <c r="J109" s="182">
        <f ca="1">SUMIFS('F_Inputs adjusted'!W:W,'F_Inputs adjusted'!$A:$A,$A109,'F_Inputs adjusted'!$B:$B,$B109)</f>
        <v>0</v>
      </c>
      <c r="K109" s="182">
        <f ca="1">SUMIFS('F_Inputs adjusted'!X:X,'F_Inputs adjusted'!$A:$A,$A109,'F_Inputs adjusted'!$B:$B,$B109)</f>
        <v>0</v>
      </c>
    </row>
    <row r="110" spans="1:11" ht="13.15">
      <c r="A110" s="181" t="str">
        <f>F_Inputs!A112</f>
        <v>TMS</v>
      </c>
      <c r="B110" s="181" t="str">
        <f>F_Inputs!B112</f>
        <v>CWW17_011TOT_PR24</v>
      </c>
      <c r="C110" s="181" t="str">
        <f>F_Inputs!C112</f>
        <v>EA/NRW environmental programme wastewater (WINEP/NEP) - MCERTs monitoring at emergency sewage pumping station overflows (WINEP/NEP) wastewater opex - Total</v>
      </c>
      <c r="D110" s="181" t="str">
        <f>F_Inputs!D113</f>
        <v>£m</v>
      </c>
      <c r="E110" s="182">
        <f ca="1">SUMIFS('F_Inputs adjusted'!R:R,'F_Inputs adjusted'!$A:$A,$A110,'F_Inputs adjusted'!$B:$B,$B110)</f>
        <v>0</v>
      </c>
      <c r="F110" s="182">
        <f ca="1">SUMIFS('F_Inputs adjusted'!S:S,'F_Inputs adjusted'!$A:$A,$A110,'F_Inputs adjusted'!$B:$B,$B110)</f>
        <v>0</v>
      </c>
      <c r="G110" s="182">
        <f ca="1">SUMIFS('F_Inputs adjusted'!T:T,'F_Inputs adjusted'!$A:$A,$A110,'F_Inputs adjusted'!$B:$B,$B110)</f>
        <v>0</v>
      </c>
      <c r="H110" s="182">
        <f ca="1">SUMIFS('F_Inputs adjusted'!U:U,'F_Inputs adjusted'!$A:$A,$A110,'F_Inputs adjusted'!$B:$B,$B110)</f>
        <v>0</v>
      </c>
      <c r="I110" s="182">
        <f ca="1">SUMIFS('F_Inputs adjusted'!V:V,'F_Inputs adjusted'!$A:$A,$A110,'F_Inputs adjusted'!$B:$B,$B110)</f>
        <v>0</v>
      </c>
      <c r="J110" s="182">
        <f ca="1">SUMIFS('F_Inputs adjusted'!W:W,'F_Inputs adjusted'!$A:$A,$A110,'F_Inputs adjusted'!$B:$B,$B110)</f>
        <v>0</v>
      </c>
      <c r="K110" s="182">
        <f ca="1">SUMIFS('F_Inputs adjusted'!X:X,'F_Inputs adjusted'!$A:$A,$A110,'F_Inputs adjusted'!$B:$B,$B110)</f>
        <v>0</v>
      </c>
    </row>
    <row r="111" spans="1:11" ht="13.15">
      <c r="A111" s="181" t="str">
        <f>F_Inputs!A113</f>
        <v>TMS</v>
      </c>
      <c r="B111" s="181" t="str">
        <f>F_Inputs!B113</f>
        <v>CWW17_012TOT_PR24</v>
      </c>
      <c r="C111" s="181" t="str">
        <f>F_Inputs!C113</f>
        <v>EA/NRW environmental programme wastewater (WINEP/NEP) - MCERTs monitoring at emergency sewage pumping station overflows (WINEP/NEP) wastewater totex - Total</v>
      </c>
      <c r="D111" s="181" t="str">
        <f>F_Inputs!D114</f>
        <v>nr</v>
      </c>
      <c r="E111" s="182">
        <f ca="1">SUMIFS('F_Inputs adjusted'!R:R,'F_Inputs adjusted'!$A:$A,$A111,'F_Inputs adjusted'!$B:$B,$B111)</f>
        <v>0</v>
      </c>
      <c r="F111" s="182">
        <f ca="1">SUMIFS('F_Inputs adjusted'!S:S,'F_Inputs adjusted'!$A:$A,$A111,'F_Inputs adjusted'!$B:$B,$B111)</f>
        <v>0</v>
      </c>
      <c r="G111" s="182">
        <f ca="1">SUMIFS('F_Inputs adjusted'!T:T,'F_Inputs adjusted'!$A:$A,$A111,'F_Inputs adjusted'!$B:$B,$B111)</f>
        <v>0</v>
      </c>
      <c r="H111" s="182">
        <f ca="1">SUMIFS('F_Inputs adjusted'!U:U,'F_Inputs adjusted'!$A:$A,$A111,'F_Inputs adjusted'!$B:$B,$B111)</f>
        <v>0</v>
      </c>
      <c r="I111" s="182">
        <f ca="1">SUMIFS('F_Inputs adjusted'!V:V,'F_Inputs adjusted'!$A:$A,$A111,'F_Inputs adjusted'!$B:$B,$B111)</f>
        <v>0</v>
      </c>
      <c r="J111" s="182">
        <f ca="1">SUMIFS('F_Inputs adjusted'!W:W,'F_Inputs adjusted'!$A:$A,$A111,'F_Inputs adjusted'!$B:$B,$B111)</f>
        <v>0</v>
      </c>
      <c r="K111" s="182">
        <f ca="1">SUMIFS('F_Inputs adjusted'!X:X,'F_Inputs adjusted'!$A:$A,$A111,'F_Inputs adjusted'!$B:$B,$B111)</f>
        <v>0</v>
      </c>
    </row>
    <row r="112" spans="1:11" ht="13.15">
      <c r="A112" s="181" t="str">
        <f>F_Inputs!A114</f>
        <v>TMS</v>
      </c>
      <c r="B112" s="181" t="str">
        <f>F_Inputs!B114</f>
        <v>CWW20_050_PR24</v>
      </c>
      <c r="C112" s="181" t="str">
        <f>F_Inputs!C114</f>
        <v>Network / Storm overflow data - Number of new MCERTs event duration monitors installed at SPS emergency overflows</v>
      </c>
      <c r="D112" s="181" t="str">
        <f>F_Inputs!D115</f>
        <v>nr</v>
      </c>
      <c r="E112" s="182">
        <f ca="1">SUMIFS('F_Inputs adjusted'!R:R,'F_Inputs adjusted'!$A:$A,$A112,'F_Inputs adjusted'!$B:$B,$B112)</f>
        <v>0</v>
      </c>
      <c r="F112" s="182">
        <f ca="1">SUMIFS('F_Inputs adjusted'!S:S,'F_Inputs adjusted'!$A:$A,$A112,'F_Inputs adjusted'!$B:$B,$B112)</f>
        <v>0</v>
      </c>
      <c r="G112" s="182">
        <f ca="1">SUMIFS('F_Inputs adjusted'!T:T,'F_Inputs adjusted'!$A:$A,$A112,'F_Inputs adjusted'!$B:$B,$B112)</f>
        <v>0</v>
      </c>
      <c r="H112" s="182">
        <f ca="1">SUMIFS('F_Inputs adjusted'!U:U,'F_Inputs adjusted'!$A:$A,$A112,'F_Inputs adjusted'!$B:$B,$B112)</f>
        <v>0</v>
      </c>
      <c r="I112" s="182">
        <f ca="1">SUMIFS('F_Inputs adjusted'!V:V,'F_Inputs adjusted'!$A:$A,$A112,'F_Inputs adjusted'!$B:$B,$B112)</f>
        <v>0</v>
      </c>
      <c r="J112" s="182">
        <f ca="1">SUMIFS('F_Inputs adjusted'!W:W,'F_Inputs adjusted'!$A:$A,$A112,'F_Inputs adjusted'!$B:$B,$B112)</f>
        <v>0</v>
      </c>
      <c r="K112" s="182">
        <f ca="1">SUMIFS('F_Inputs adjusted'!X:X,'F_Inputs adjusted'!$A:$A,$A112,'F_Inputs adjusted'!$B:$B,$B112)</f>
        <v>74</v>
      </c>
    </row>
    <row r="113" spans="1:11" ht="13.15">
      <c r="A113" s="181" t="str">
        <f>F_Inputs!A115</f>
        <v>TMS</v>
      </c>
      <c r="B113" s="181" t="str">
        <f>F_Inputs!B115</f>
        <v>CWW20_051_PR24</v>
      </c>
      <c r="C113" s="181" t="str">
        <f>F_Inputs!C115</f>
        <v>Network / Storm overflow data - Number of new MCERTs flow monitors (PFF) installed at SPSs with combined emergency and storm overflows.</v>
      </c>
      <c r="D113" s="181" t="str">
        <f>F_Inputs!D116</f>
        <v>nr</v>
      </c>
      <c r="E113" s="182">
        <f ca="1">SUMIFS('F_Inputs adjusted'!R:R,'F_Inputs adjusted'!$A:$A,$A113,'F_Inputs adjusted'!$B:$B,$B113)</f>
        <v>0</v>
      </c>
      <c r="F113" s="182">
        <f ca="1">SUMIFS('F_Inputs adjusted'!S:S,'F_Inputs adjusted'!$A:$A,$A113,'F_Inputs adjusted'!$B:$B,$B113)</f>
        <v>0</v>
      </c>
      <c r="G113" s="182">
        <f ca="1">SUMIFS('F_Inputs adjusted'!T:T,'F_Inputs adjusted'!$A:$A,$A113,'F_Inputs adjusted'!$B:$B,$B113)</f>
        <v>0</v>
      </c>
      <c r="H113" s="182">
        <f ca="1">SUMIFS('F_Inputs adjusted'!U:U,'F_Inputs adjusted'!$A:$A,$A113,'F_Inputs adjusted'!$B:$B,$B113)</f>
        <v>232</v>
      </c>
      <c r="I113" s="182">
        <f ca="1">SUMIFS('F_Inputs adjusted'!V:V,'F_Inputs adjusted'!$A:$A,$A113,'F_Inputs adjusted'!$B:$B,$B113)</f>
        <v>0</v>
      </c>
      <c r="J113" s="182">
        <f ca="1">SUMIFS('F_Inputs adjusted'!W:W,'F_Inputs adjusted'!$A:$A,$A113,'F_Inputs adjusted'!$B:$B,$B113)</f>
        <v>0</v>
      </c>
      <c r="K113" s="182">
        <f ca="1">SUMIFS('F_Inputs adjusted'!X:X,'F_Inputs adjusted'!$A:$A,$A113,'F_Inputs adjusted'!$B:$B,$B113)</f>
        <v>65</v>
      </c>
    </row>
    <row r="114" spans="1:11" ht="13.15">
      <c r="A114" s="181" t="str">
        <f>F_Inputs!A116</f>
        <v>TMS</v>
      </c>
      <c r="B114" s="181" t="str">
        <f>F_Inputs!B116</f>
        <v>CWW20A_050_PR24</v>
      </c>
      <c r="C114" s="181" t="str">
        <f>F_Inputs!C116</f>
        <v>Network / Storm overflow data - Number of new MCERTs event duration monitors installed at SPS emergency overflows</v>
      </c>
      <c r="D114" s="181" t="str">
        <f>F_Inputs!D117</f>
        <v>nr</v>
      </c>
      <c r="E114" s="182">
        <f ca="1">SUMIFS('F_Inputs adjusted'!R:R,'F_Inputs adjusted'!$A:$A,$A114,'F_Inputs adjusted'!$B:$B,$B114)</f>
        <v>0</v>
      </c>
      <c r="F114" s="182">
        <f ca="1">SUMIFS('F_Inputs adjusted'!S:S,'F_Inputs adjusted'!$A:$A,$A114,'F_Inputs adjusted'!$B:$B,$B114)</f>
        <v>0</v>
      </c>
      <c r="G114" s="182">
        <f ca="1">SUMIFS('F_Inputs adjusted'!T:T,'F_Inputs adjusted'!$A:$A,$A114,'F_Inputs adjusted'!$B:$B,$B114)</f>
        <v>0</v>
      </c>
      <c r="H114" s="182">
        <f ca="1">SUMIFS('F_Inputs adjusted'!U:U,'F_Inputs adjusted'!$A:$A,$A114,'F_Inputs adjusted'!$B:$B,$B114)</f>
        <v>0</v>
      </c>
      <c r="I114" s="182">
        <f ca="1">SUMIFS('F_Inputs adjusted'!V:V,'F_Inputs adjusted'!$A:$A,$A114,'F_Inputs adjusted'!$B:$B,$B114)</f>
        <v>0</v>
      </c>
      <c r="J114" s="182">
        <f ca="1">SUMIFS('F_Inputs adjusted'!W:W,'F_Inputs adjusted'!$A:$A,$A114,'F_Inputs adjusted'!$B:$B,$B114)</f>
        <v>0</v>
      </c>
      <c r="K114" s="182">
        <f ca="1">SUMIFS('F_Inputs adjusted'!X:X,'F_Inputs adjusted'!$A:$A,$A114,'F_Inputs adjusted'!$B:$B,$B114)</f>
        <v>0</v>
      </c>
    </row>
    <row r="115" spans="1:11" ht="13.15">
      <c r="A115" s="181" t="str">
        <f>F_Inputs!A117</f>
        <v>TMS</v>
      </c>
      <c r="B115" s="181" t="str">
        <f>F_Inputs!B117</f>
        <v>CWW20A_051_PR24</v>
      </c>
      <c r="C115" s="181" t="str">
        <f>F_Inputs!C117</f>
        <v>Network / Storm overflow data - Number of new MCERTs flow monitors (PFF) installed at SPSs with combined emergency and storm overflows.</v>
      </c>
      <c r="D115" s="181" t="str">
        <f>F_Inputs!D118</f>
        <v>£m</v>
      </c>
      <c r="E115" s="182">
        <f ca="1">SUMIFS('F_Inputs adjusted'!R:R,'F_Inputs adjusted'!$A:$A,$A115,'F_Inputs adjusted'!$B:$B,$B115)</f>
        <v>0</v>
      </c>
      <c r="F115" s="182">
        <f ca="1">SUMIFS('F_Inputs adjusted'!S:S,'F_Inputs adjusted'!$A:$A,$A115,'F_Inputs adjusted'!$B:$B,$B115)</f>
        <v>0</v>
      </c>
      <c r="G115" s="182">
        <f ca="1">SUMIFS('F_Inputs adjusted'!T:T,'F_Inputs adjusted'!$A:$A,$A115,'F_Inputs adjusted'!$B:$B,$B115)</f>
        <v>0</v>
      </c>
      <c r="H115" s="182">
        <f ca="1">SUMIFS('F_Inputs adjusted'!U:U,'F_Inputs adjusted'!$A:$A,$A115,'F_Inputs adjusted'!$B:$B,$B115)</f>
        <v>0</v>
      </c>
      <c r="I115" s="182">
        <f ca="1">SUMIFS('F_Inputs adjusted'!V:V,'F_Inputs adjusted'!$A:$A,$A115,'F_Inputs adjusted'!$B:$B,$B115)</f>
        <v>0</v>
      </c>
      <c r="J115" s="182">
        <f ca="1">SUMIFS('F_Inputs adjusted'!W:W,'F_Inputs adjusted'!$A:$A,$A115,'F_Inputs adjusted'!$B:$B,$B115)</f>
        <v>0</v>
      </c>
      <c r="K115" s="182">
        <f ca="1">SUMIFS('F_Inputs adjusted'!X:X,'F_Inputs adjusted'!$A:$A,$A115,'F_Inputs adjusted'!$B:$B,$B115)</f>
        <v>0</v>
      </c>
    </row>
    <row r="116" spans="1:11" ht="13.15">
      <c r="A116" s="181" t="str">
        <f>F_Inputs!A118</f>
        <v>TMS</v>
      </c>
      <c r="B116" s="181" t="str">
        <f>F_Inputs!B118</f>
        <v>CWW1A_015TOT_PR24</v>
      </c>
      <c r="C116" s="181" t="str">
        <f>F_Inputs!C118</f>
        <v>Net totex - Total</v>
      </c>
      <c r="D116" s="181" t="str">
        <f>F_Inputs!D119</f>
        <v>£m</v>
      </c>
      <c r="E116" s="182">
        <f ca="1">SUMIFS('F_Inputs adjusted'!R:R,'F_Inputs adjusted'!$A:$A,$A116,'F_Inputs adjusted'!$B:$B,$B116)</f>
        <v>0</v>
      </c>
      <c r="F116" s="182">
        <f ca="1">SUMIFS('F_Inputs adjusted'!S:S,'F_Inputs adjusted'!$A:$A,$A116,'F_Inputs adjusted'!$B:$B,$B116)</f>
        <v>0</v>
      </c>
      <c r="G116" s="182">
        <f ca="1">SUMIFS('F_Inputs adjusted'!T:T,'F_Inputs adjusted'!$A:$A,$A116,'F_Inputs adjusted'!$B:$B,$B116)</f>
        <v>2156.088348550431</v>
      </c>
      <c r="H116" s="182">
        <f ca="1">SUMIFS('F_Inputs adjusted'!U:U,'F_Inputs adjusted'!$A:$A,$A116,'F_Inputs adjusted'!$B:$B,$B116)</f>
        <v>2269.5018217217062</v>
      </c>
      <c r="I116" s="182">
        <f ca="1">SUMIFS('F_Inputs adjusted'!V:V,'F_Inputs adjusted'!$A:$A,$A116,'F_Inputs adjusted'!$B:$B,$B116)</f>
        <v>2162.2729400750991</v>
      </c>
      <c r="J116" s="182">
        <f ca="1">SUMIFS('F_Inputs adjusted'!W:W,'F_Inputs adjusted'!$A:$A,$A116,'F_Inputs adjusted'!$B:$B,$B116)</f>
        <v>2632.1222877084529</v>
      </c>
      <c r="K116" s="182">
        <f ca="1">SUMIFS('F_Inputs adjusted'!X:X,'F_Inputs adjusted'!$A:$A,$A116,'F_Inputs adjusted'!$B:$B,$B116)</f>
        <v>3555.488399766793</v>
      </c>
    </row>
    <row r="117" spans="1:11" ht="13.15">
      <c r="A117" s="181" t="str">
        <f>F_Inputs!A119</f>
        <v>NWT</v>
      </c>
      <c r="B117" s="181" t="str">
        <f>F_Inputs!B119</f>
        <v>CWW3_010TOT_PR24</v>
      </c>
      <c r="C117" s="181" t="str">
        <f>F_Inputs!C119</f>
        <v>EA/NRW environmental programme wastewater (WINEP/NEP) - MCERTs monitoring at emergency sewage pumping station overflows (WINEP/NEP) wastewater capex - Total</v>
      </c>
      <c r="D117" s="181" t="str">
        <f>F_Inputs!D120</f>
        <v>£m</v>
      </c>
      <c r="E117" s="182">
        <f ca="1">SUMIFS('F_Inputs adjusted'!R:R,'F_Inputs adjusted'!$A:$A,$A117,'F_Inputs adjusted'!$B:$B,$B117)</f>
        <v>0</v>
      </c>
      <c r="F117" s="182">
        <f ca="1">SUMIFS('F_Inputs adjusted'!S:S,'F_Inputs adjusted'!$A:$A,$A117,'F_Inputs adjusted'!$B:$B,$B117)</f>
        <v>0</v>
      </c>
      <c r="G117" s="182">
        <f ca="1">SUMIFS('F_Inputs adjusted'!T:T,'F_Inputs adjusted'!$A:$A,$A117,'F_Inputs adjusted'!$B:$B,$B117)</f>
        <v>1.6461148382606829</v>
      </c>
      <c r="H117" s="182">
        <f ca="1">SUMIFS('F_Inputs adjusted'!U:U,'F_Inputs adjusted'!$A:$A,$A117,'F_Inputs adjusted'!$B:$B,$B117)</f>
        <v>1.675691521730561</v>
      </c>
      <c r="I117" s="182">
        <f ca="1">SUMIFS('F_Inputs adjusted'!V:V,'F_Inputs adjusted'!$A:$A,$A117,'F_Inputs adjusted'!$B:$B,$B117)</f>
        <v>1.6539984130945491</v>
      </c>
      <c r="J117" s="182">
        <f ca="1">SUMIFS('F_Inputs adjusted'!W:W,'F_Inputs adjusted'!$A:$A,$A117,'F_Inputs adjusted'!$B:$B,$B117)</f>
        <v>8.6805518033848337</v>
      </c>
      <c r="K117" s="182">
        <f ca="1">SUMIFS('F_Inputs adjusted'!X:X,'F_Inputs adjusted'!$A:$A,$A117,'F_Inputs adjusted'!$B:$B,$B117)</f>
        <v>13.637641680326199</v>
      </c>
    </row>
    <row r="118" spans="1:11" ht="13.15">
      <c r="A118" s="181" t="str">
        <f>F_Inputs!A120</f>
        <v>NWT</v>
      </c>
      <c r="B118" s="181" t="str">
        <f>F_Inputs!B120</f>
        <v>CWW3_011TOT_PR24</v>
      </c>
      <c r="C118" s="181" t="str">
        <f>F_Inputs!C120</f>
        <v>EA/NRW environmental programme wastewater (WINEP/NEP) - MCERTs monitoring at emergency sewage pumping station overflows (WINEP/NEP) wastewater opex - Total</v>
      </c>
      <c r="D118" s="181" t="str">
        <f>F_Inputs!D121</f>
        <v>£m</v>
      </c>
      <c r="E118" s="182">
        <f ca="1">SUMIFS('F_Inputs adjusted'!R:R,'F_Inputs adjusted'!$A:$A,$A118,'F_Inputs adjusted'!$B:$B,$B118)</f>
        <v>0</v>
      </c>
      <c r="F118" s="182">
        <f ca="1">SUMIFS('F_Inputs adjusted'!S:S,'F_Inputs adjusted'!$A:$A,$A118,'F_Inputs adjusted'!$B:$B,$B118)</f>
        <v>0</v>
      </c>
      <c r="G118" s="182">
        <f ca="1">SUMIFS('F_Inputs adjusted'!T:T,'F_Inputs adjusted'!$A:$A,$A118,'F_Inputs adjusted'!$B:$B,$B118)</f>
        <v>0</v>
      </c>
      <c r="H118" s="182">
        <f ca="1">SUMIFS('F_Inputs adjusted'!U:U,'F_Inputs adjusted'!$A:$A,$A118,'F_Inputs adjusted'!$B:$B,$B118)</f>
        <v>0</v>
      </c>
      <c r="I118" s="182">
        <f ca="1">SUMIFS('F_Inputs adjusted'!V:V,'F_Inputs adjusted'!$A:$A,$A118,'F_Inputs adjusted'!$B:$B,$B118)</f>
        <v>0</v>
      </c>
      <c r="J118" s="182">
        <f ca="1">SUMIFS('F_Inputs adjusted'!W:W,'F_Inputs adjusted'!$A:$A,$A118,'F_Inputs adjusted'!$B:$B,$B118)</f>
        <v>0</v>
      </c>
      <c r="K118" s="182">
        <f ca="1">SUMIFS('F_Inputs adjusted'!X:X,'F_Inputs adjusted'!$A:$A,$A118,'F_Inputs adjusted'!$B:$B,$B118)</f>
        <v>0</v>
      </c>
    </row>
    <row r="119" spans="1:11" ht="13.15">
      <c r="A119" s="181" t="str">
        <f>F_Inputs!A121</f>
        <v>NWT</v>
      </c>
      <c r="B119" s="181" t="str">
        <f>F_Inputs!B121</f>
        <v>CWW3_012TOT_PR24</v>
      </c>
      <c r="C119" s="181" t="str">
        <f>F_Inputs!C121</f>
        <v>EA/NRW environmental programme wastewater (WINEP/NEP) - MCERTs monitoring at emergency sewage pumping station overflows (WINEP/NEP) wastewater totex - Total</v>
      </c>
      <c r="D119" s="181" t="str">
        <f>F_Inputs!D122</f>
        <v>£m</v>
      </c>
      <c r="E119" s="182">
        <f ca="1">SUMIFS('F_Inputs adjusted'!R:R,'F_Inputs adjusted'!$A:$A,$A119,'F_Inputs adjusted'!$B:$B,$B119)</f>
        <v>0</v>
      </c>
      <c r="F119" s="182">
        <f ca="1">SUMIFS('F_Inputs adjusted'!S:S,'F_Inputs adjusted'!$A:$A,$A119,'F_Inputs adjusted'!$B:$B,$B119)</f>
        <v>0</v>
      </c>
      <c r="G119" s="182">
        <f ca="1">SUMIFS('F_Inputs adjusted'!T:T,'F_Inputs adjusted'!$A:$A,$A119,'F_Inputs adjusted'!$B:$B,$B119)</f>
        <v>1.6461148382606829</v>
      </c>
      <c r="H119" s="182">
        <f ca="1">SUMIFS('F_Inputs adjusted'!U:U,'F_Inputs adjusted'!$A:$A,$A119,'F_Inputs adjusted'!$B:$B,$B119)</f>
        <v>1.675691521730561</v>
      </c>
      <c r="I119" s="182">
        <f ca="1">SUMIFS('F_Inputs adjusted'!V:V,'F_Inputs adjusted'!$A:$A,$A119,'F_Inputs adjusted'!$B:$B,$B119)</f>
        <v>1.6539984130945491</v>
      </c>
      <c r="J119" s="182">
        <f ca="1">SUMIFS('F_Inputs adjusted'!W:W,'F_Inputs adjusted'!$A:$A,$A119,'F_Inputs adjusted'!$B:$B,$B119)</f>
        <v>8.6805518033848337</v>
      </c>
      <c r="K119" s="182">
        <f ca="1">SUMIFS('F_Inputs adjusted'!X:X,'F_Inputs adjusted'!$A:$A,$A119,'F_Inputs adjusted'!$B:$B,$B119)</f>
        <v>13.637641680326199</v>
      </c>
    </row>
    <row r="120" spans="1:11" ht="13.15">
      <c r="A120" s="181" t="str">
        <f>F_Inputs!A122</f>
        <v>NWT</v>
      </c>
      <c r="B120" s="181" t="str">
        <f>F_Inputs!B122</f>
        <v>CWW12_010TOT_PR24</v>
      </c>
      <c r="C120" s="181" t="str">
        <f>F_Inputs!C122</f>
        <v>EA/NRW environmental programme wastewater (WINEP/NEP) - MCERTs monitoring at emergency sewage pumping station overflows (WINEP/NEP) wastewater capex - Total</v>
      </c>
      <c r="D120" s="181" t="str">
        <f>F_Inputs!D123</f>
        <v>£m</v>
      </c>
      <c r="E120" s="182">
        <f ca="1">SUMIFS('F_Inputs adjusted'!R:R,'F_Inputs adjusted'!$A:$A,$A120,'F_Inputs adjusted'!$B:$B,$B120)</f>
        <v>0</v>
      </c>
      <c r="F120" s="182">
        <f ca="1">SUMIFS('F_Inputs adjusted'!S:S,'F_Inputs adjusted'!$A:$A,$A120,'F_Inputs adjusted'!$B:$B,$B120)</f>
        <v>0</v>
      </c>
      <c r="G120" s="182">
        <f ca="1">SUMIFS('F_Inputs adjusted'!T:T,'F_Inputs adjusted'!$A:$A,$A120,'F_Inputs adjusted'!$B:$B,$B120)</f>
        <v>0</v>
      </c>
      <c r="H120" s="182">
        <f ca="1">SUMIFS('F_Inputs adjusted'!U:U,'F_Inputs adjusted'!$A:$A,$A120,'F_Inputs adjusted'!$B:$B,$B120)</f>
        <v>0</v>
      </c>
      <c r="I120" s="182">
        <f ca="1">SUMIFS('F_Inputs adjusted'!V:V,'F_Inputs adjusted'!$A:$A,$A120,'F_Inputs adjusted'!$B:$B,$B120)</f>
        <v>0</v>
      </c>
      <c r="J120" s="182">
        <f ca="1">SUMIFS('F_Inputs adjusted'!W:W,'F_Inputs adjusted'!$A:$A,$A120,'F_Inputs adjusted'!$B:$B,$B120)</f>
        <v>0</v>
      </c>
      <c r="K120" s="182">
        <f ca="1">SUMIFS('F_Inputs adjusted'!X:X,'F_Inputs adjusted'!$A:$A,$A120,'F_Inputs adjusted'!$B:$B,$B120)</f>
        <v>0</v>
      </c>
    </row>
    <row r="121" spans="1:11" ht="13.15">
      <c r="A121" s="181" t="str">
        <f>F_Inputs!A123</f>
        <v>NWT</v>
      </c>
      <c r="B121" s="181" t="str">
        <f>F_Inputs!B123</f>
        <v>CWW12_011TOT_PR24</v>
      </c>
      <c r="C121" s="181" t="str">
        <f>F_Inputs!C123</f>
        <v>EA/NRW environmental programme wastewater (WINEP/NEP) - MCERTs monitoring at emergency sewage pumping station overflows (WINEP/NEP) wastewater opex - Total</v>
      </c>
      <c r="D121" s="181" t="str">
        <f>F_Inputs!D124</f>
        <v>£m</v>
      </c>
      <c r="E121" s="182">
        <f ca="1">SUMIFS('F_Inputs adjusted'!R:R,'F_Inputs adjusted'!$A:$A,$A121,'F_Inputs adjusted'!$B:$B,$B121)</f>
        <v>0</v>
      </c>
      <c r="F121" s="182">
        <f ca="1">SUMIFS('F_Inputs adjusted'!S:S,'F_Inputs adjusted'!$A:$A,$A121,'F_Inputs adjusted'!$B:$B,$B121)</f>
        <v>0</v>
      </c>
      <c r="G121" s="182">
        <f ca="1">SUMIFS('F_Inputs adjusted'!T:T,'F_Inputs adjusted'!$A:$A,$A121,'F_Inputs adjusted'!$B:$B,$B121)</f>
        <v>0</v>
      </c>
      <c r="H121" s="182">
        <f ca="1">SUMIFS('F_Inputs adjusted'!U:U,'F_Inputs adjusted'!$A:$A,$A121,'F_Inputs adjusted'!$B:$B,$B121)</f>
        <v>0</v>
      </c>
      <c r="I121" s="182">
        <f ca="1">SUMIFS('F_Inputs adjusted'!V:V,'F_Inputs adjusted'!$A:$A,$A121,'F_Inputs adjusted'!$B:$B,$B121)</f>
        <v>0</v>
      </c>
      <c r="J121" s="182">
        <f ca="1">SUMIFS('F_Inputs adjusted'!W:W,'F_Inputs adjusted'!$A:$A,$A121,'F_Inputs adjusted'!$B:$B,$B121)</f>
        <v>0</v>
      </c>
      <c r="K121" s="182">
        <f ca="1">SUMIFS('F_Inputs adjusted'!X:X,'F_Inputs adjusted'!$A:$A,$A121,'F_Inputs adjusted'!$B:$B,$B121)</f>
        <v>0</v>
      </c>
    </row>
    <row r="122" spans="1:11" ht="13.15">
      <c r="A122" s="181" t="str">
        <f>F_Inputs!A124</f>
        <v>NWT</v>
      </c>
      <c r="B122" s="181" t="str">
        <f>F_Inputs!B124</f>
        <v>CWW12_012TOT_PR24</v>
      </c>
      <c r="C122" s="181" t="str">
        <f>F_Inputs!C124</f>
        <v>EA/NRW environmental programme wastewater (WINEP/NEP) - MCERTs monitoring at emergency sewage pumping station overflows (WINEP/NEP) wastewater totex - Total</v>
      </c>
      <c r="D122" s="181" t="str">
        <f>F_Inputs!D125</f>
        <v>£m</v>
      </c>
      <c r="E122" s="182">
        <f ca="1">SUMIFS('F_Inputs adjusted'!R:R,'F_Inputs adjusted'!$A:$A,$A122,'F_Inputs adjusted'!$B:$B,$B122)</f>
        <v>0</v>
      </c>
      <c r="F122" s="182">
        <f ca="1">SUMIFS('F_Inputs adjusted'!S:S,'F_Inputs adjusted'!$A:$A,$A122,'F_Inputs adjusted'!$B:$B,$B122)</f>
        <v>0</v>
      </c>
      <c r="G122" s="182">
        <f ca="1">SUMIFS('F_Inputs adjusted'!T:T,'F_Inputs adjusted'!$A:$A,$A122,'F_Inputs adjusted'!$B:$B,$B122)</f>
        <v>0</v>
      </c>
      <c r="H122" s="182">
        <f ca="1">SUMIFS('F_Inputs adjusted'!U:U,'F_Inputs adjusted'!$A:$A,$A122,'F_Inputs adjusted'!$B:$B,$B122)</f>
        <v>0</v>
      </c>
      <c r="I122" s="182">
        <f ca="1">SUMIFS('F_Inputs adjusted'!V:V,'F_Inputs adjusted'!$A:$A,$A122,'F_Inputs adjusted'!$B:$B,$B122)</f>
        <v>0</v>
      </c>
      <c r="J122" s="182">
        <f ca="1">SUMIFS('F_Inputs adjusted'!W:W,'F_Inputs adjusted'!$A:$A,$A122,'F_Inputs adjusted'!$B:$B,$B122)</f>
        <v>0</v>
      </c>
      <c r="K122" s="182">
        <f ca="1">SUMIFS('F_Inputs adjusted'!X:X,'F_Inputs adjusted'!$A:$A,$A122,'F_Inputs adjusted'!$B:$B,$B122)</f>
        <v>0</v>
      </c>
    </row>
    <row r="123" spans="1:11" ht="13.15">
      <c r="A123" s="181" t="str">
        <f>F_Inputs!A125</f>
        <v>NWT</v>
      </c>
      <c r="B123" s="181" t="str">
        <f>F_Inputs!B125</f>
        <v>CWW17_010TOT_PR24</v>
      </c>
      <c r="C123" s="181" t="str">
        <f>F_Inputs!C125</f>
        <v>EA/NRW environmental programme wastewater (WINEP/NEP) - MCERTs monitoring at emergency sewage pumping station overflows (WINEP/NEP) wastewater capex - Total</v>
      </c>
      <c r="D123" s="181" t="str">
        <f>F_Inputs!D126</f>
        <v>£m</v>
      </c>
      <c r="E123" s="182">
        <f ca="1">SUMIFS('F_Inputs adjusted'!R:R,'F_Inputs adjusted'!$A:$A,$A123,'F_Inputs adjusted'!$B:$B,$B123)</f>
        <v>0</v>
      </c>
      <c r="F123" s="182">
        <f ca="1">SUMIFS('F_Inputs adjusted'!S:S,'F_Inputs adjusted'!$A:$A,$A123,'F_Inputs adjusted'!$B:$B,$B123)</f>
        <v>0</v>
      </c>
      <c r="G123" s="182">
        <f ca="1">SUMIFS('F_Inputs adjusted'!T:T,'F_Inputs adjusted'!$A:$A,$A123,'F_Inputs adjusted'!$B:$B,$B123)</f>
        <v>0</v>
      </c>
      <c r="H123" s="182">
        <f ca="1">SUMIFS('F_Inputs adjusted'!U:U,'F_Inputs adjusted'!$A:$A,$A123,'F_Inputs adjusted'!$B:$B,$B123)</f>
        <v>0</v>
      </c>
      <c r="I123" s="182">
        <f ca="1">SUMIFS('F_Inputs adjusted'!V:V,'F_Inputs adjusted'!$A:$A,$A123,'F_Inputs adjusted'!$B:$B,$B123)</f>
        <v>0</v>
      </c>
      <c r="J123" s="182">
        <f ca="1">SUMIFS('F_Inputs adjusted'!W:W,'F_Inputs adjusted'!$A:$A,$A123,'F_Inputs adjusted'!$B:$B,$B123)</f>
        <v>0</v>
      </c>
      <c r="K123" s="182">
        <f ca="1">SUMIFS('F_Inputs adjusted'!X:X,'F_Inputs adjusted'!$A:$A,$A123,'F_Inputs adjusted'!$B:$B,$B123)</f>
        <v>0</v>
      </c>
    </row>
    <row r="124" spans="1:11" ht="13.15">
      <c r="A124" s="181" t="str">
        <f>F_Inputs!A126</f>
        <v>NWT</v>
      </c>
      <c r="B124" s="181" t="str">
        <f>F_Inputs!B126</f>
        <v>CWW17_011TOT_PR24</v>
      </c>
      <c r="C124" s="181" t="str">
        <f>F_Inputs!C126</f>
        <v>EA/NRW environmental programme wastewater (WINEP/NEP) - MCERTs monitoring at emergency sewage pumping station overflows (WINEP/NEP) wastewater opex - Total</v>
      </c>
      <c r="D124" s="181" t="str">
        <f>F_Inputs!D127</f>
        <v>£m</v>
      </c>
      <c r="E124" s="182">
        <f ca="1">SUMIFS('F_Inputs adjusted'!R:R,'F_Inputs adjusted'!$A:$A,$A124,'F_Inputs adjusted'!$B:$B,$B124)</f>
        <v>0</v>
      </c>
      <c r="F124" s="182">
        <f ca="1">SUMIFS('F_Inputs adjusted'!S:S,'F_Inputs adjusted'!$A:$A,$A124,'F_Inputs adjusted'!$B:$B,$B124)</f>
        <v>0</v>
      </c>
      <c r="G124" s="182">
        <f ca="1">SUMIFS('F_Inputs adjusted'!T:T,'F_Inputs adjusted'!$A:$A,$A124,'F_Inputs adjusted'!$B:$B,$B124)</f>
        <v>0</v>
      </c>
      <c r="H124" s="182">
        <f ca="1">SUMIFS('F_Inputs adjusted'!U:U,'F_Inputs adjusted'!$A:$A,$A124,'F_Inputs adjusted'!$B:$B,$B124)</f>
        <v>0</v>
      </c>
      <c r="I124" s="182">
        <f ca="1">SUMIFS('F_Inputs adjusted'!V:V,'F_Inputs adjusted'!$A:$A,$A124,'F_Inputs adjusted'!$B:$B,$B124)</f>
        <v>0</v>
      </c>
      <c r="J124" s="182">
        <f ca="1">SUMIFS('F_Inputs adjusted'!W:W,'F_Inputs adjusted'!$A:$A,$A124,'F_Inputs adjusted'!$B:$B,$B124)</f>
        <v>0</v>
      </c>
      <c r="K124" s="182">
        <f ca="1">SUMIFS('F_Inputs adjusted'!X:X,'F_Inputs adjusted'!$A:$A,$A124,'F_Inputs adjusted'!$B:$B,$B124)</f>
        <v>0</v>
      </c>
    </row>
    <row r="125" spans="1:11" ht="13.15">
      <c r="A125" s="181" t="str">
        <f>F_Inputs!A127</f>
        <v>NWT</v>
      </c>
      <c r="B125" s="181" t="str">
        <f>F_Inputs!B127</f>
        <v>CWW17_012TOT_PR24</v>
      </c>
      <c r="C125" s="181" t="str">
        <f>F_Inputs!C127</f>
        <v>EA/NRW environmental programme wastewater (WINEP/NEP) - MCERTs monitoring at emergency sewage pumping station overflows (WINEP/NEP) wastewater totex - Total</v>
      </c>
      <c r="D125" s="181" t="str">
        <f>F_Inputs!D128</f>
        <v>nr</v>
      </c>
      <c r="E125" s="182">
        <f ca="1">SUMIFS('F_Inputs adjusted'!R:R,'F_Inputs adjusted'!$A:$A,$A125,'F_Inputs adjusted'!$B:$B,$B125)</f>
        <v>0</v>
      </c>
      <c r="F125" s="182">
        <f ca="1">SUMIFS('F_Inputs adjusted'!S:S,'F_Inputs adjusted'!$A:$A,$A125,'F_Inputs adjusted'!$B:$B,$B125)</f>
        <v>0</v>
      </c>
      <c r="G125" s="182">
        <f ca="1">SUMIFS('F_Inputs adjusted'!T:T,'F_Inputs adjusted'!$A:$A,$A125,'F_Inputs adjusted'!$B:$B,$B125)</f>
        <v>0</v>
      </c>
      <c r="H125" s="182">
        <f ca="1">SUMIFS('F_Inputs adjusted'!U:U,'F_Inputs adjusted'!$A:$A,$A125,'F_Inputs adjusted'!$B:$B,$B125)</f>
        <v>0</v>
      </c>
      <c r="I125" s="182">
        <f ca="1">SUMIFS('F_Inputs adjusted'!V:V,'F_Inputs adjusted'!$A:$A,$A125,'F_Inputs adjusted'!$B:$B,$B125)</f>
        <v>0</v>
      </c>
      <c r="J125" s="182">
        <f ca="1">SUMIFS('F_Inputs adjusted'!W:W,'F_Inputs adjusted'!$A:$A,$A125,'F_Inputs adjusted'!$B:$B,$B125)</f>
        <v>0</v>
      </c>
      <c r="K125" s="182">
        <f ca="1">SUMIFS('F_Inputs adjusted'!X:X,'F_Inputs adjusted'!$A:$A,$A125,'F_Inputs adjusted'!$B:$B,$B125)</f>
        <v>0</v>
      </c>
    </row>
    <row r="126" spans="1:11" ht="13.15">
      <c r="A126" s="181" t="str">
        <f>F_Inputs!A128</f>
        <v>NWT</v>
      </c>
      <c r="B126" s="181" t="str">
        <f>F_Inputs!B128</f>
        <v>CWW20_050_PR24</v>
      </c>
      <c r="C126" s="181" t="str">
        <f>F_Inputs!C128</f>
        <v>Network / Storm overflow data - Number of new MCERTs event duration monitors installed at SPS emergency overflows</v>
      </c>
      <c r="D126" s="181" t="str">
        <f>F_Inputs!D129</f>
        <v>nr</v>
      </c>
      <c r="E126" s="182">
        <f ca="1">SUMIFS('F_Inputs adjusted'!R:R,'F_Inputs adjusted'!$A:$A,$A126,'F_Inputs adjusted'!$B:$B,$B126)</f>
        <v>0</v>
      </c>
      <c r="F126" s="182">
        <f ca="1">SUMIFS('F_Inputs adjusted'!S:S,'F_Inputs adjusted'!$A:$A,$A126,'F_Inputs adjusted'!$B:$B,$B126)</f>
        <v>0</v>
      </c>
      <c r="G126" s="182">
        <f ca="1">SUMIFS('F_Inputs adjusted'!T:T,'F_Inputs adjusted'!$A:$A,$A126,'F_Inputs adjusted'!$B:$B,$B126)</f>
        <v>0</v>
      </c>
      <c r="H126" s="182">
        <f ca="1">SUMIFS('F_Inputs adjusted'!U:U,'F_Inputs adjusted'!$A:$A,$A126,'F_Inputs adjusted'!$B:$B,$B126)</f>
        <v>0</v>
      </c>
      <c r="I126" s="182">
        <f ca="1">SUMIFS('F_Inputs adjusted'!V:V,'F_Inputs adjusted'!$A:$A,$A126,'F_Inputs adjusted'!$B:$B,$B126)</f>
        <v>0</v>
      </c>
      <c r="J126" s="182">
        <f ca="1">SUMIFS('F_Inputs adjusted'!W:W,'F_Inputs adjusted'!$A:$A,$A126,'F_Inputs adjusted'!$B:$B,$B126)</f>
        <v>0</v>
      </c>
      <c r="K126" s="182">
        <f ca="1">SUMIFS('F_Inputs adjusted'!X:X,'F_Inputs adjusted'!$A:$A,$A126,'F_Inputs adjusted'!$B:$B,$B126)</f>
        <v>237</v>
      </c>
    </row>
    <row r="127" spans="1:11" ht="13.15">
      <c r="A127" s="181" t="str">
        <f>F_Inputs!A129</f>
        <v>NWT</v>
      </c>
      <c r="B127" s="181" t="str">
        <f>F_Inputs!B129</f>
        <v>CWW20_051_PR24</v>
      </c>
      <c r="C127" s="181" t="str">
        <f>F_Inputs!C129</f>
        <v>Network / Storm overflow data - Number of new MCERTs flow monitors (PFF) installed at SPSs with combined emergency and storm overflows.</v>
      </c>
      <c r="D127" s="181" t="str">
        <f>F_Inputs!D130</f>
        <v>nr</v>
      </c>
      <c r="E127" s="182">
        <f ca="1">SUMIFS('F_Inputs adjusted'!R:R,'F_Inputs adjusted'!$A:$A,$A127,'F_Inputs adjusted'!$B:$B,$B127)</f>
        <v>0</v>
      </c>
      <c r="F127" s="182">
        <f ca="1">SUMIFS('F_Inputs adjusted'!S:S,'F_Inputs adjusted'!$A:$A,$A127,'F_Inputs adjusted'!$B:$B,$B127)</f>
        <v>0</v>
      </c>
      <c r="G127" s="182">
        <f ca="1">SUMIFS('F_Inputs adjusted'!T:T,'F_Inputs adjusted'!$A:$A,$A127,'F_Inputs adjusted'!$B:$B,$B127)</f>
        <v>0</v>
      </c>
      <c r="H127" s="182">
        <f ca="1">SUMIFS('F_Inputs adjusted'!U:U,'F_Inputs adjusted'!$A:$A,$A127,'F_Inputs adjusted'!$B:$B,$B127)</f>
        <v>0</v>
      </c>
      <c r="I127" s="182">
        <f ca="1">SUMIFS('F_Inputs adjusted'!V:V,'F_Inputs adjusted'!$A:$A,$A127,'F_Inputs adjusted'!$B:$B,$B127)</f>
        <v>0</v>
      </c>
      <c r="J127" s="182">
        <f ca="1">SUMIFS('F_Inputs adjusted'!W:W,'F_Inputs adjusted'!$A:$A,$A127,'F_Inputs adjusted'!$B:$B,$B127)</f>
        <v>0</v>
      </c>
      <c r="K127" s="182">
        <f ca="1">SUMIFS('F_Inputs adjusted'!X:X,'F_Inputs adjusted'!$A:$A,$A127,'F_Inputs adjusted'!$B:$B,$B127)</f>
        <v>90</v>
      </c>
    </row>
    <row r="128" spans="1:11" ht="13.15">
      <c r="A128" s="181" t="str">
        <f>F_Inputs!A130</f>
        <v>NWT</v>
      </c>
      <c r="B128" s="181" t="str">
        <f>F_Inputs!B130</f>
        <v>CWW20A_050_PR24</v>
      </c>
      <c r="C128" s="181" t="str">
        <f>F_Inputs!C130</f>
        <v>Network / Storm overflow data - Number of new MCERTs event duration monitors installed at SPS emergency overflows</v>
      </c>
      <c r="D128" s="181" t="str">
        <f>F_Inputs!D131</f>
        <v>nr</v>
      </c>
      <c r="E128" s="182">
        <f ca="1">SUMIFS('F_Inputs adjusted'!R:R,'F_Inputs adjusted'!$A:$A,$A128,'F_Inputs adjusted'!$B:$B,$B128)</f>
        <v>0</v>
      </c>
      <c r="F128" s="182">
        <f ca="1">SUMIFS('F_Inputs adjusted'!S:S,'F_Inputs adjusted'!$A:$A,$A128,'F_Inputs adjusted'!$B:$B,$B128)</f>
        <v>0</v>
      </c>
      <c r="G128" s="182">
        <f ca="1">SUMIFS('F_Inputs adjusted'!T:T,'F_Inputs adjusted'!$A:$A,$A128,'F_Inputs adjusted'!$B:$B,$B128)</f>
        <v>0</v>
      </c>
      <c r="H128" s="182">
        <f ca="1">SUMIFS('F_Inputs adjusted'!U:U,'F_Inputs adjusted'!$A:$A,$A128,'F_Inputs adjusted'!$B:$B,$B128)</f>
        <v>0</v>
      </c>
      <c r="I128" s="182">
        <f ca="1">SUMIFS('F_Inputs adjusted'!V:V,'F_Inputs adjusted'!$A:$A,$A128,'F_Inputs adjusted'!$B:$B,$B128)</f>
        <v>0</v>
      </c>
      <c r="J128" s="182">
        <f ca="1">SUMIFS('F_Inputs adjusted'!W:W,'F_Inputs adjusted'!$A:$A,$A128,'F_Inputs adjusted'!$B:$B,$B128)</f>
        <v>0</v>
      </c>
      <c r="K128" s="182">
        <f ca="1">SUMIFS('F_Inputs adjusted'!X:X,'F_Inputs adjusted'!$A:$A,$A128,'F_Inputs adjusted'!$B:$B,$B128)</f>
        <v>0</v>
      </c>
    </row>
    <row r="129" spans="1:11" ht="13.15">
      <c r="A129" s="181" t="str">
        <f>F_Inputs!A131</f>
        <v>NWT</v>
      </c>
      <c r="B129" s="181" t="str">
        <f>F_Inputs!B131</f>
        <v>CWW20A_051_PR24</v>
      </c>
      <c r="C129" s="181" t="str">
        <f>F_Inputs!C131</f>
        <v>Network / Storm overflow data - Number of new MCERTs flow monitors (PFF) installed at SPSs with combined emergency and storm overflows.</v>
      </c>
      <c r="D129" s="181" t="str">
        <f>F_Inputs!D132</f>
        <v>£m</v>
      </c>
      <c r="E129" s="182">
        <f ca="1">SUMIFS('F_Inputs adjusted'!R:R,'F_Inputs adjusted'!$A:$A,$A129,'F_Inputs adjusted'!$B:$B,$B129)</f>
        <v>0</v>
      </c>
      <c r="F129" s="182">
        <f ca="1">SUMIFS('F_Inputs adjusted'!S:S,'F_Inputs adjusted'!$A:$A,$A129,'F_Inputs adjusted'!$B:$B,$B129)</f>
        <v>0</v>
      </c>
      <c r="G129" s="182">
        <f ca="1">SUMIFS('F_Inputs adjusted'!T:T,'F_Inputs adjusted'!$A:$A,$A129,'F_Inputs adjusted'!$B:$B,$B129)</f>
        <v>0</v>
      </c>
      <c r="H129" s="182">
        <f ca="1">SUMIFS('F_Inputs adjusted'!U:U,'F_Inputs adjusted'!$A:$A,$A129,'F_Inputs adjusted'!$B:$B,$B129)</f>
        <v>0</v>
      </c>
      <c r="I129" s="182">
        <f ca="1">SUMIFS('F_Inputs adjusted'!V:V,'F_Inputs adjusted'!$A:$A,$A129,'F_Inputs adjusted'!$B:$B,$B129)</f>
        <v>0</v>
      </c>
      <c r="J129" s="182">
        <f ca="1">SUMIFS('F_Inputs adjusted'!W:W,'F_Inputs adjusted'!$A:$A,$A129,'F_Inputs adjusted'!$B:$B,$B129)</f>
        <v>0</v>
      </c>
      <c r="K129" s="182">
        <f ca="1">SUMIFS('F_Inputs adjusted'!X:X,'F_Inputs adjusted'!$A:$A,$A129,'F_Inputs adjusted'!$B:$B,$B129)</f>
        <v>0</v>
      </c>
    </row>
    <row r="130" spans="1:11" ht="13.15">
      <c r="A130" s="181" t="str">
        <f>F_Inputs!A132</f>
        <v>NWT</v>
      </c>
      <c r="B130" s="181" t="str">
        <f>F_Inputs!B132</f>
        <v>CWW1A_015TOT_PR24</v>
      </c>
      <c r="C130" s="181" t="str">
        <f>F_Inputs!C132</f>
        <v>Net totex - Total</v>
      </c>
      <c r="D130" s="181" t="str">
        <f>F_Inputs!D133</f>
        <v>£m</v>
      </c>
      <c r="E130" s="182">
        <f ca="1">SUMIFS('F_Inputs adjusted'!R:R,'F_Inputs adjusted'!$A:$A,$A130,'F_Inputs adjusted'!$B:$B,$B130)</f>
        <v>0</v>
      </c>
      <c r="F130" s="182">
        <f ca="1">SUMIFS('F_Inputs adjusted'!S:S,'F_Inputs adjusted'!$A:$A,$A130,'F_Inputs adjusted'!$B:$B,$B130)</f>
        <v>0</v>
      </c>
      <c r="G130" s="182">
        <f ca="1">SUMIFS('F_Inputs adjusted'!T:T,'F_Inputs adjusted'!$A:$A,$A130,'F_Inputs adjusted'!$B:$B,$B130)</f>
        <v>1569.795902040561</v>
      </c>
      <c r="H130" s="182">
        <f ca="1">SUMIFS('F_Inputs adjusted'!U:U,'F_Inputs adjusted'!$A:$A,$A130,'F_Inputs adjusted'!$B:$B,$B130)</f>
        <v>1881.302270640045</v>
      </c>
      <c r="I130" s="182">
        <f ca="1">SUMIFS('F_Inputs adjusted'!V:V,'F_Inputs adjusted'!$A:$A,$A130,'F_Inputs adjusted'!$B:$B,$B130)</f>
        <v>2189.086577264356</v>
      </c>
      <c r="J130" s="182">
        <f ca="1">SUMIFS('F_Inputs adjusted'!W:W,'F_Inputs adjusted'!$A:$A,$A130,'F_Inputs adjusted'!$B:$B,$B130)</f>
        <v>1888.0217791000509</v>
      </c>
      <c r="K130" s="182">
        <f ca="1">SUMIFS('F_Inputs adjusted'!X:X,'F_Inputs adjusted'!$A:$A,$A130,'F_Inputs adjusted'!$B:$B,$B130)</f>
        <v>1139.8668159399281</v>
      </c>
    </row>
    <row r="131" spans="1:11" ht="13.15">
      <c r="A131" s="181" t="str">
        <f>F_Inputs!A133</f>
        <v>WSX</v>
      </c>
      <c r="B131" s="181" t="str">
        <f>F_Inputs!B133</f>
        <v>CWW3_010TOT_PR24</v>
      </c>
      <c r="C131" s="181" t="str">
        <f>F_Inputs!C133</f>
        <v>EA/NRW environmental programme wastewater (WINEP/NEP) - MCERTs monitoring at emergency sewage pumping station overflows (WINEP/NEP) wastewater capex - Total</v>
      </c>
      <c r="D131" s="181" t="str">
        <f>F_Inputs!D134</f>
        <v>£m</v>
      </c>
      <c r="E131" s="182">
        <f ca="1">SUMIFS('F_Inputs adjusted'!R:R,'F_Inputs adjusted'!$A:$A,$A131,'F_Inputs adjusted'!$B:$B,$B131)</f>
        <v>0</v>
      </c>
      <c r="F131" s="182">
        <f ca="1">SUMIFS('F_Inputs adjusted'!S:S,'F_Inputs adjusted'!$A:$A,$A131,'F_Inputs adjusted'!$B:$B,$B131)</f>
        <v>0</v>
      </c>
      <c r="G131" s="182">
        <f ca="1">SUMIFS('F_Inputs adjusted'!T:T,'F_Inputs adjusted'!$A:$A,$A131,'F_Inputs adjusted'!$B:$B,$B131)</f>
        <v>1.788362</v>
      </c>
      <c r="H131" s="182">
        <f ca="1">SUMIFS('F_Inputs adjusted'!U:U,'F_Inputs adjusted'!$A:$A,$A131,'F_Inputs adjusted'!$B:$B,$B131)</f>
        <v>1.7973030000000001</v>
      </c>
      <c r="I131" s="182">
        <f ca="1">SUMIFS('F_Inputs adjusted'!V:V,'F_Inputs adjusted'!$A:$A,$A131,'F_Inputs adjusted'!$B:$B,$B131)</f>
        <v>2.2578619999999998</v>
      </c>
      <c r="J131" s="182">
        <f ca="1">SUMIFS('F_Inputs adjusted'!W:W,'F_Inputs adjusted'!$A:$A,$A131,'F_Inputs adjusted'!$B:$B,$B131)</f>
        <v>2.2691520000000001</v>
      </c>
      <c r="K131" s="182">
        <f ca="1">SUMIFS('F_Inputs adjusted'!X:X,'F_Inputs adjusted'!$A:$A,$A131,'F_Inputs adjusted'!$B:$B,$B131)</f>
        <v>2.335229</v>
      </c>
    </row>
    <row r="132" spans="1:11" ht="13.15">
      <c r="A132" s="181" t="str">
        <f>F_Inputs!A134</f>
        <v>WSX</v>
      </c>
      <c r="B132" s="181" t="str">
        <f>F_Inputs!B134</f>
        <v>CWW3_011TOT_PR24</v>
      </c>
      <c r="C132" s="181" t="str">
        <f>F_Inputs!C134</f>
        <v>EA/NRW environmental programme wastewater (WINEP/NEP) - MCERTs monitoring at emergency sewage pumping station overflows (WINEP/NEP) wastewater opex - Total</v>
      </c>
      <c r="D132" s="181" t="str">
        <f>F_Inputs!D135</f>
        <v>£m</v>
      </c>
      <c r="E132" s="182">
        <f ca="1">SUMIFS('F_Inputs adjusted'!R:R,'F_Inputs adjusted'!$A:$A,$A132,'F_Inputs adjusted'!$B:$B,$B132)</f>
        <v>0</v>
      </c>
      <c r="F132" s="182">
        <f ca="1">SUMIFS('F_Inputs adjusted'!S:S,'F_Inputs adjusted'!$A:$A,$A132,'F_Inputs adjusted'!$B:$B,$B132)</f>
        <v>0</v>
      </c>
      <c r="G132" s="182">
        <f ca="1">SUMIFS('F_Inputs adjusted'!T:T,'F_Inputs adjusted'!$A:$A,$A132,'F_Inputs adjusted'!$B:$B,$B132)</f>
        <v>0</v>
      </c>
      <c r="H132" s="182">
        <f ca="1">SUMIFS('F_Inputs adjusted'!U:U,'F_Inputs adjusted'!$A:$A,$A132,'F_Inputs adjusted'!$B:$B,$B132)</f>
        <v>6.1209000000000013E-2</v>
      </c>
      <c r="I132" s="182">
        <f ca="1">SUMIFS('F_Inputs adjusted'!V:V,'F_Inputs adjusted'!$A:$A,$A132,'F_Inputs adjusted'!$B:$B,$B132)</f>
        <v>8.4915000000000004E-2</v>
      </c>
      <c r="J132" s="182">
        <f ca="1">SUMIFS('F_Inputs adjusted'!W:W,'F_Inputs adjusted'!$A:$A,$A132,'F_Inputs adjusted'!$B:$B,$B132)</f>
        <v>8.5338999999999998E-2</v>
      </c>
      <c r="K132" s="182">
        <f ca="1">SUMIFS('F_Inputs adjusted'!X:X,'F_Inputs adjusted'!$A:$A,$A132,'F_Inputs adjusted'!$B:$B,$B132)</f>
        <v>6.661700000000001E-2</v>
      </c>
    </row>
    <row r="133" spans="1:11" ht="13.15">
      <c r="A133" s="181" t="str">
        <f>F_Inputs!A135</f>
        <v>WSX</v>
      </c>
      <c r="B133" s="181" t="str">
        <f>F_Inputs!B135</f>
        <v>CWW3_012TOT_PR24</v>
      </c>
      <c r="C133" s="181" t="str">
        <f>F_Inputs!C135</f>
        <v>EA/NRW environmental programme wastewater (WINEP/NEP) - MCERTs monitoring at emergency sewage pumping station overflows (WINEP/NEP) wastewater totex - Total</v>
      </c>
      <c r="D133" s="181" t="str">
        <f>F_Inputs!D136</f>
        <v>£m</v>
      </c>
      <c r="E133" s="182">
        <f ca="1">SUMIFS('F_Inputs adjusted'!R:R,'F_Inputs adjusted'!$A:$A,$A133,'F_Inputs adjusted'!$B:$B,$B133)</f>
        <v>0</v>
      </c>
      <c r="F133" s="182">
        <f ca="1">SUMIFS('F_Inputs adjusted'!S:S,'F_Inputs adjusted'!$A:$A,$A133,'F_Inputs adjusted'!$B:$B,$B133)</f>
        <v>0</v>
      </c>
      <c r="G133" s="182">
        <f ca="1">SUMIFS('F_Inputs adjusted'!T:T,'F_Inputs adjusted'!$A:$A,$A133,'F_Inputs adjusted'!$B:$B,$B133)</f>
        <v>1.788362</v>
      </c>
      <c r="H133" s="182">
        <f ca="1">SUMIFS('F_Inputs adjusted'!U:U,'F_Inputs adjusted'!$A:$A,$A133,'F_Inputs adjusted'!$B:$B,$B133)</f>
        <v>1.8585119999999999</v>
      </c>
      <c r="I133" s="182">
        <f ca="1">SUMIFS('F_Inputs adjusted'!V:V,'F_Inputs adjusted'!$A:$A,$A133,'F_Inputs adjusted'!$B:$B,$B133)</f>
        <v>2.3427769999999999</v>
      </c>
      <c r="J133" s="182">
        <f ca="1">SUMIFS('F_Inputs adjusted'!W:W,'F_Inputs adjusted'!$A:$A,$A133,'F_Inputs adjusted'!$B:$B,$B133)</f>
        <v>2.3544909999999999</v>
      </c>
      <c r="K133" s="182">
        <f ca="1">SUMIFS('F_Inputs adjusted'!X:X,'F_Inputs adjusted'!$A:$A,$A133,'F_Inputs adjusted'!$B:$B,$B133)</f>
        <v>2.4018459999999999</v>
      </c>
    </row>
    <row r="134" spans="1:11" ht="13.15">
      <c r="A134" s="181" t="str">
        <f>F_Inputs!A136</f>
        <v>WSX</v>
      </c>
      <c r="B134" s="181" t="str">
        <f>F_Inputs!B136</f>
        <v>CWW12_010TOT_PR24</v>
      </c>
      <c r="C134" s="181" t="str">
        <f>F_Inputs!C136</f>
        <v>EA/NRW environmental programme wastewater (WINEP/NEP) - MCERTs monitoring at emergency sewage pumping station overflows (WINEP/NEP) wastewater capex - Total</v>
      </c>
      <c r="D134" s="181" t="str">
        <f>F_Inputs!D137</f>
        <v>£m</v>
      </c>
      <c r="E134" s="182">
        <f ca="1">SUMIFS('F_Inputs adjusted'!R:R,'F_Inputs adjusted'!$A:$A,$A134,'F_Inputs adjusted'!$B:$B,$B134)</f>
        <v>0</v>
      </c>
      <c r="F134" s="182">
        <f ca="1">SUMIFS('F_Inputs adjusted'!S:S,'F_Inputs adjusted'!$A:$A,$A134,'F_Inputs adjusted'!$B:$B,$B134)</f>
        <v>0</v>
      </c>
      <c r="G134" s="182">
        <f ca="1">SUMIFS('F_Inputs adjusted'!T:T,'F_Inputs adjusted'!$A:$A,$A134,'F_Inputs adjusted'!$B:$B,$B134)</f>
        <v>0</v>
      </c>
      <c r="H134" s="182">
        <f ca="1">SUMIFS('F_Inputs adjusted'!U:U,'F_Inputs adjusted'!$A:$A,$A134,'F_Inputs adjusted'!$B:$B,$B134)</f>
        <v>0</v>
      </c>
      <c r="I134" s="182">
        <f ca="1">SUMIFS('F_Inputs adjusted'!V:V,'F_Inputs adjusted'!$A:$A,$A134,'F_Inputs adjusted'!$B:$B,$B134)</f>
        <v>0</v>
      </c>
      <c r="J134" s="182">
        <f ca="1">SUMIFS('F_Inputs adjusted'!W:W,'F_Inputs adjusted'!$A:$A,$A134,'F_Inputs adjusted'!$B:$B,$B134)</f>
        <v>0</v>
      </c>
      <c r="K134" s="182">
        <f ca="1">SUMIFS('F_Inputs adjusted'!X:X,'F_Inputs adjusted'!$A:$A,$A134,'F_Inputs adjusted'!$B:$B,$B134)</f>
        <v>0</v>
      </c>
    </row>
    <row r="135" spans="1:11" ht="13.15">
      <c r="A135" s="181" t="str">
        <f>F_Inputs!A137</f>
        <v>WSX</v>
      </c>
      <c r="B135" s="181" t="str">
        <f>F_Inputs!B137</f>
        <v>CWW12_011TOT_PR24</v>
      </c>
      <c r="C135" s="181" t="str">
        <f>F_Inputs!C137</f>
        <v>EA/NRW environmental programme wastewater (WINEP/NEP) - MCERTs monitoring at emergency sewage pumping station overflows (WINEP/NEP) wastewater opex - Total</v>
      </c>
      <c r="D135" s="181" t="str">
        <f>F_Inputs!D138</f>
        <v>£m</v>
      </c>
      <c r="E135" s="182">
        <f ca="1">SUMIFS('F_Inputs adjusted'!R:R,'F_Inputs adjusted'!$A:$A,$A135,'F_Inputs adjusted'!$B:$B,$B135)</f>
        <v>0</v>
      </c>
      <c r="F135" s="182">
        <f ca="1">SUMIFS('F_Inputs adjusted'!S:S,'F_Inputs adjusted'!$A:$A,$A135,'F_Inputs adjusted'!$B:$B,$B135)</f>
        <v>0</v>
      </c>
      <c r="G135" s="182">
        <f ca="1">SUMIFS('F_Inputs adjusted'!T:T,'F_Inputs adjusted'!$A:$A,$A135,'F_Inputs adjusted'!$B:$B,$B135)</f>
        <v>0</v>
      </c>
      <c r="H135" s="182">
        <f ca="1">SUMIFS('F_Inputs adjusted'!U:U,'F_Inputs adjusted'!$A:$A,$A135,'F_Inputs adjusted'!$B:$B,$B135)</f>
        <v>0</v>
      </c>
      <c r="I135" s="182">
        <f ca="1">SUMIFS('F_Inputs adjusted'!V:V,'F_Inputs adjusted'!$A:$A,$A135,'F_Inputs adjusted'!$B:$B,$B135)</f>
        <v>0</v>
      </c>
      <c r="J135" s="182">
        <f ca="1">SUMIFS('F_Inputs adjusted'!W:W,'F_Inputs adjusted'!$A:$A,$A135,'F_Inputs adjusted'!$B:$B,$B135)</f>
        <v>0</v>
      </c>
      <c r="K135" s="182">
        <f ca="1">SUMIFS('F_Inputs adjusted'!X:X,'F_Inputs adjusted'!$A:$A,$A135,'F_Inputs adjusted'!$B:$B,$B135)</f>
        <v>0</v>
      </c>
    </row>
    <row r="136" spans="1:11" ht="13.15">
      <c r="A136" s="181" t="str">
        <f>F_Inputs!A138</f>
        <v>WSX</v>
      </c>
      <c r="B136" s="181" t="str">
        <f>F_Inputs!B138</f>
        <v>CWW12_012TOT_PR24</v>
      </c>
      <c r="C136" s="181" t="str">
        <f>F_Inputs!C138</f>
        <v>EA/NRW environmental programme wastewater (WINEP/NEP) - MCERTs monitoring at emergency sewage pumping station overflows (WINEP/NEP) wastewater totex - Total</v>
      </c>
      <c r="D136" s="181" t="str">
        <f>F_Inputs!D139</f>
        <v>£m</v>
      </c>
      <c r="E136" s="182">
        <f ca="1">SUMIFS('F_Inputs adjusted'!R:R,'F_Inputs adjusted'!$A:$A,$A136,'F_Inputs adjusted'!$B:$B,$B136)</f>
        <v>0</v>
      </c>
      <c r="F136" s="182">
        <f ca="1">SUMIFS('F_Inputs adjusted'!S:S,'F_Inputs adjusted'!$A:$A,$A136,'F_Inputs adjusted'!$B:$B,$B136)</f>
        <v>0</v>
      </c>
      <c r="G136" s="182">
        <f ca="1">SUMIFS('F_Inputs adjusted'!T:T,'F_Inputs adjusted'!$A:$A,$A136,'F_Inputs adjusted'!$B:$B,$B136)</f>
        <v>0</v>
      </c>
      <c r="H136" s="182">
        <f ca="1">SUMIFS('F_Inputs adjusted'!U:U,'F_Inputs adjusted'!$A:$A,$A136,'F_Inputs adjusted'!$B:$B,$B136)</f>
        <v>0</v>
      </c>
      <c r="I136" s="182">
        <f ca="1">SUMIFS('F_Inputs adjusted'!V:V,'F_Inputs adjusted'!$A:$A,$A136,'F_Inputs adjusted'!$B:$B,$B136)</f>
        <v>0</v>
      </c>
      <c r="J136" s="182">
        <f ca="1">SUMIFS('F_Inputs adjusted'!W:W,'F_Inputs adjusted'!$A:$A,$A136,'F_Inputs adjusted'!$B:$B,$B136)</f>
        <v>0</v>
      </c>
      <c r="K136" s="182">
        <f ca="1">SUMIFS('F_Inputs adjusted'!X:X,'F_Inputs adjusted'!$A:$A,$A136,'F_Inputs adjusted'!$B:$B,$B136)</f>
        <v>0</v>
      </c>
    </row>
    <row r="137" spans="1:11" ht="13.15">
      <c r="A137" s="181" t="str">
        <f>F_Inputs!A139</f>
        <v>WSX</v>
      </c>
      <c r="B137" s="181" t="str">
        <f>F_Inputs!B139</f>
        <v>CWW17_010TOT_PR24</v>
      </c>
      <c r="C137" s="181" t="str">
        <f>F_Inputs!C139</f>
        <v>EA/NRW environmental programme wastewater (WINEP/NEP) - MCERTs monitoring at emergency sewage pumping station overflows (WINEP/NEP) wastewater capex - Total</v>
      </c>
      <c r="D137" s="181" t="str">
        <f>F_Inputs!D140</f>
        <v>£m</v>
      </c>
      <c r="E137" s="182">
        <f ca="1">SUMIFS('F_Inputs adjusted'!R:R,'F_Inputs adjusted'!$A:$A,$A137,'F_Inputs adjusted'!$B:$B,$B137)</f>
        <v>0</v>
      </c>
      <c r="F137" s="182">
        <f ca="1">SUMIFS('F_Inputs adjusted'!S:S,'F_Inputs adjusted'!$A:$A,$A137,'F_Inputs adjusted'!$B:$B,$B137)</f>
        <v>0</v>
      </c>
      <c r="G137" s="182">
        <f ca="1">SUMIFS('F_Inputs adjusted'!T:T,'F_Inputs adjusted'!$A:$A,$A137,'F_Inputs adjusted'!$B:$B,$B137)</f>
        <v>0</v>
      </c>
      <c r="H137" s="182">
        <f ca="1">SUMIFS('F_Inputs adjusted'!U:U,'F_Inputs adjusted'!$A:$A,$A137,'F_Inputs adjusted'!$B:$B,$B137)</f>
        <v>0</v>
      </c>
      <c r="I137" s="182">
        <f ca="1">SUMIFS('F_Inputs adjusted'!V:V,'F_Inputs adjusted'!$A:$A,$A137,'F_Inputs adjusted'!$B:$B,$B137)</f>
        <v>0</v>
      </c>
      <c r="J137" s="182">
        <f ca="1">SUMIFS('F_Inputs adjusted'!W:W,'F_Inputs adjusted'!$A:$A,$A137,'F_Inputs adjusted'!$B:$B,$B137)</f>
        <v>0</v>
      </c>
      <c r="K137" s="182">
        <f ca="1">SUMIFS('F_Inputs adjusted'!X:X,'F_Inputs adjusted'!$A:$A,$A137,'F_Inputs adjusted'!$B:$B,$B137)</f>
        <v>0</v>
      </c>
    </row>
    <row r="138" spans="1:11" ht="13.15">
      <c r="A138" s="181" t="str">
        <f>F_Inputs!A140</f>
        <v>WSX</v>
      </c>
      <c r="B138" s="181" t="str">
        <f>F_Inputs!B140</f>
        <v>CWW17_011TOT_PR24</v>
      </c>
      <c r="C138" s="181" t="str">
        <f>F_Inputs!C140</f>
        <v>EA/NRW environmental programme wastewater (WINEP/NEP) - MCERTs monitoring at emergency sewage pumping station overflows (WINEP/NEP) wastewater opex - Total</v>
      </c>
      <c r="D138" s="181" t="str">
        <f>F_Inputs!D141</f>
        <v>£m</v>
      </c>
      <c r="E138" s="182">
        <f ca="1">SUMIFS('F_Inputs adjusted'!R:R,'F_Inputs adjusted'!$A:$A,$A138,'F_Inputs adjusted'!$B:$B,$B138)</f>
        <v>0</v>
      </c>
      <c r="F138" s="182">
        <f ca="1">SUMIFS('F_Inputs adjusted'!S:S,'F_Inputs adjusted'!$A:$A,$A138,'F_Inputs adjusted'!$B:$B,$B138)</f>
        <v>0</v>
      </c>
      <c r="G138" s="182">
        <f ca="1">SUMIFS('F_Inputs adjusted'!T:T,'F_Inputs adjusted'!$A:$A,$A138,'F_Inputs adjusted'!$B:$B,$B138)</f>
        <v>0</v>
      </c>
      <c r="H138" s="182">
        <f ca="1">SUMIFS('F_Inputs adjusted'!U:U,'F_Inputs adjusted'!$A:$A,$A138,'F_Inputs adjusted'!$B:$B,$B138)</f>
        <v>0</v>
      </c>
      <c r="I138" s="182">
        <f ca="1">SUMIFS('F_Inputs adjusted'!V:V,'F_Inputs adjusted'!$A:$A,$A138,'F_Inputs adjusted'!$B:$B,$B138)</f>
        <v>0</v>
      </c>
      <c r="J138" s="182">
        <f ca="1">SUMIFS('F_Inputs adjusted'!W:W,'F_Inputs adjusted'!$A:$A,$A138,'F_Inputs adjusted'!$B:$B,$B138)</f>
        <v>0</v>
      </c>
      <c r="K138" s="182">
        <f ca="1">SUMIFS('F_Inputs adjusted'!X:X,'F_Inputs adjusted'!$A:$A,$A138,'F_Inputs adjusted'!$B:$B,$B138)</f>
        <v>0</v>
      </c>
    </row>
    <row r="139" spans="1:11" ht="13.15">
      <c r="A139" s="181" t="str">
        <f>F_Inputs!A141</f>
        <v>WSX</v>
      </c>
      <c r="B139" s="181" t="str">
        <f>F_Inputs!B141</f>
        <v>CWW17_012TOT_PR24</v>
      </c>
      <c r="C139" s="181" t="str">
        <f>F_Inputs!C141</f>
        <v>EA/NRW environmental programme wastewater (WINEP/NEP) - MCERTs monitoring at emergency sewage pumping station overflows (WINEP/NEP) wastewater totex - Total</v>
      </c>
      <c r="D139" s="181" t="str">
        <f>F_Inputs!D142</f>
        <v>nr</v>
      </c>
      <c r="E139" s="182">
        <f ca="1">SUMIFS('F_Inputs adjusted'!R:R,'F_Inputs adjusted'!$A:$A,$A139,'F_Inputs adjusted'!$B:$B,$B139)</f>
        <v>0</v>
      </c>
      <c r="F139" s="182">
        <f ca="1">SUMIFS('F_Inputs adjusted'!S:S,'F_Inputs adjusted'!$A:$A,$A139,'F_Inputs adjusted'!$B:$B,$B139)</f>
        <v>0</v>
      </c>
      <c r="G139" s="182">
        <f ca="1">SUMIFS('F_Inputs adjusted'!T:T,'F_Inputs adjusted'!$A:$A,$A139,'F_Inputs adjusted'!$B:$B,$B139)</f>
        <v>0</v>
      </c>
      <c r="H139" s="182">
        <f ca="1">SUMIFS('F_Inputs adjusted'!U:U,'F_Inputs adjusted'!$A:$A,$A139,'F_Inputs adjusted'!$B:$B,$B139)</f>
        <v>0</v>
      </c>
      <c r="I139" s="182">
        <f ca="1">SUMIFS('F_Inputs adjusted'!V:V,'F_Inputs adjusted'!$A:$A,$A139,'F_Inputs adjusted'!$B:$B,$B139)</f>
        <v>0</v>
      </c>
      <c r="J139" s="182">
        <f ca="1">SUMIFS('F_Inputs adjusted'!W:W,'F_Inputs adjusted'!$A:$A,$A139,'F_Inputs adjusted'!$B:$B,$B139)</f>
        <v>0</v>
      </c>
      <c r="K139" s="182">
        <f ca="1">SUMIFS('F_Inputs adjusted'!X:X,'F_Inputs adjusted'!$A:$A,$A139,'F_Inputs adjusted'!$B:$B,$B139)</f>
        <v>0</v>
      </c>
    </row>
    <row r="140" spans="1:11" ht="13.15">
      <c r="A140" s="181" t="str">
        <f>F_Inputs!A142</f>
        <v>WSX</v>
      </c>
      <c r="B140" s="181" t="str">
        <f>F_Inputs!B142</f>
        <v>CWW20_050_PR24</v>
      </c>
      <c r="C140" s="181" t="str">
        <f>F_Inputs!C142</f>
        <v>Network / Storm overflow data - Number of new MCERTs event duration monitors installed at SPS emergency overflows</v>
      </c>
      <c r="D140" s="181" t="str">
        <f>F_Inputs!D143</f>
        <v>nr</v>
      </c>
      <c r="E140" s="182">
        <f ca="1">SUMIFS('F_Inputs adjusted'!R:R,'F_Inputs adjusted'!$A:$A,$A140,'F_Inputs adjusted'!$B:$B,$B140)</f>
        <v>0</v>
      </c>
      <c r="F140" s="182">
        <f ca="1">SUMIFS('F_Inputs adjusted'!S:S,'F_Inputs adjusted'!$A:$A,$A140,'F_Inputs adjusted'!$B:$B,$B140)</f>
        <v>0</v>
      </c>
      <c r="G140" s="182">
        <f ca="1">SUMIFS('F_Inputs adjusted'!T:T,'F_Inputs adjusted'!$A:$A,$A140,'F_Inputs adjusted'!$B:$B,$B140)</f>
        <v>0</v>
      </c>
      <c r="H140" s="182">
        <f ca="1">SUMIFS('F_Inputs adjusted'!U:U,'F_Inputs adjusted'!$A:$A,$A140,'F_Inputs adjusted'!$B:$B,$B140)</f>
        <v>5</v>
      </c>
      <c r="I140" s="182">
        <f ca="1">SUMIFS('F_Inputs adjusted'!V:V,'F_Inputs adjusted'!$A:$A,$A140,'F_Inputs adjusted'!$B:$B,$B140)</f>
        <v>15</v>
      </c>
      <c r="J140" s="182">
        <f ca="1">SUMIFS('F_Inputs adjusted'!W:W,'F_Inputs adjusted'!$A:$A,$A140,'F_Inputs adjusted'!$B:$B,$B140)</f>
        <v>15</v>
      </c>
      <c r="K140" s="182">
        <f ca="1">SUMIFS('F_Inputs adjusted'!X:X,'F_Inputs adjusted'!$A:$A,$A140,'F_Inputs adjusted'!$B:$B,$B140)</f>
        <v>14</v>
      </c>
    </row>
    <row r="141" spans="1:11" ht="13.15">
      <c r="A141" s="181" t="str">
        <f>F_Inputs!A143</f>
        <v>WSX</v>
      </c>
      <c r="B141" s="181" t="str">
        <f>F_Inputs!B143</f>
        <v>CWW20_051_PR24</v>
      </c>
      <c r="C141" s="181" t="str">
        <f>F_Inputs!C143</f>
        <v>Network / Storm overflow data - Number of new MCERTs flow monitors (PFF) installed at SPSs with combined emergency and storm overflows.</v>
      </c>
      <c r="D141" s="181" t="str">
        <f>F_Inputs!D144</f>
        <v>nr</v>
      </c>
      <c r="E141" s="182">
        <f ca="1">SUMIFS('F_Inputs adjusted'!R:R,'F_Inputs adjusted'!$A:$A,$A141,'F_Inputs adjusted'!$B:$B,$B141)</f>
        <v>0</v>
      </c>
      <c r="F141" s="182">
        <f ca="1">SUMIFS('F_Inputs adjusted'!S:S,'F_Inputs adjusted'!$A:$A,$A141,'F_Inputs adjusted'!$B:$B,$B141)</f>
        <v>0</v>
      </c>
      <c r="G141" s="182">
        <f ca="1">SUMIFS('F_Inputs adjusted'!T:T,'F_Inputs adjusted'!$A:$A,$A141,'F_Inputs adjusted'!$B:$B,$B141)</f>
        <v>0</v>
      </c>
      <c r="H141" s="182">
        <f ca="1">SUMIFS('F_Inputs adjusted'!U:U,'F_Inputs adjusted'!$A:$A,$A141,'F_Inputs adjusted'!$B:$B,$B141)</f>
        <v>10</v>
      </c>
      <c r="I141" s="182">
        <f ca="1">SUMIFS('F_Inputs adjusted'!V:V,'F_Inputs adjusted'!$A:$A,$A141,'F_Inputs adjusted'!$B:$B,$B141)</f>
        <v>31</v>
      </c>
      <c r="J141" s="182">
        <f ca="1">SUMIFS('F_Inputs adjusted'!W:W,'F_Inputs adjusted'!$A:$A,$A141,'F_Inputs adjusted'!$B:$B,$B141)</f>
        <v>31</v>
      </c>
      <c r="K141" s="182">
        <f ca="1">SUMIFS('F_Inputs adjusted'!X:X,'F_Inputs adjusted'!$A:$A,$A141,'F_Inputs adjusted'!$B:$B,$B141)</f>
        <v>30</v>
      </c>
    </row>
    <row r="142" spans="1:11" ht="13.15">
      <c r="A142" s="181" t="str">
        <f>F_Inputs!A144</f>
        <v>WSX</v>
      </c>
      <c r="B142" s="181" t="str">
        <f>F_Inputs!B144</f>
        <v>CWW20A_050_PR24</v>
      </c>
      <c r="C142" s="181" t="str">
        <f>F_Inputs!C144</f>
        <v>Network / Storm overflow data - Number of new MCERTs event duration monitors installed at SPS emergency overflows</v>
      </c>
      <c r="D142" s="181" t="str">
        <f>F_Inputs!D145</f>
        <v>nr</v>
      </c>
      <c r="E142" s="182">
        <f ca="1">SUMIFS('F_Inputs adjusted'!R:R,'F_Inputs adjusted'!$A:$A,$A142,'F_Inputs adjusted'!$B:$B,$B142)</f>
        <v>0</v>
      </c>
      <c r="F142" s="182">
        <f ca="1">SUMIFS('F_Inputs adjusted'!S:S,'F_Inputs adjusted'!$A:$A,$A142,'F_Inputs adjusted'!$B:$B,$B142)</f>
        <v>0</v>
      </c>
      <c r="G142" s="182">
        <f ca="1">SUMIFS('F_Inputs adjusted'!T:T,'F_Inputs adjusted'!$A:$A,$A142,'F_Inputs adjusted'!$B:$B,$B142)</f>
        <v>0</v>
      </c>
      <c r="H142" s="182">
        <f ca="1">SUMIFS('F_Inputs adjusted'!U:U,'F_Inputs adjusted'!$A:$A,$A142,'F_Inputs adjusted'!$B:$B,$B142)</f>
        <v>0</v>
      </c>
      <c r="I142" s="182">
        <f ca="1">SUMIFS('F_Inputs adjusted'!V:V,'F_Inputs adjusted'!$A:$A,$A142,'F_Inputs adjusted'!$B:$B,$B142)</f>
        <v>0</v>
      </c>
      <c r="J142" s="182">
        <f ca="1">SUMIFS('F_Inputs adjusted'!W:W,'F_Inputs adjusted'!$A:$A,$A142,'F_Inputs adjusted'!$B:$B,$B142)</f>
        <v>0</v>
      </c>
      <c r="K142" s="182">
        <f ca="1">SUMIFS('F_Inputs adjusted'!X:X,'F_Inputs adjusted'!$A:$A,$A142,'F_Inputs adjusted'!$B:$B,$B142)</f>
        <v>0</v>
      </c>
    </row>
    <row r="143" spans="1:11" ht="13.15">
      <c r="A143" s="181" t="str">
        <f>F_Inputs!A145</f>
        <v>WSX</v>
      </c>
      <c r="B143" s="181" t="str">
        <f>F_Inputs!B145</f>
        <v>CWW20A_051_PR24</v>
      </c>
      <c r="C143" s="181" t="str">
        <f>F_Inputs!C145</f>
        <v>Network / Storm overflow data - Number of new MCERTs flow monitors (PFF) installed at SPSs with combined emergency and storm overflows.</v>
      </c>
      <c r="D143" s="181" t="str">
        <f>F_Inputs!D146</f>
        <v>£m</v>
      </c>
      <c r="E143" s="182">
        <f ca="1">SUMIFS('F_Inputs adjusted'!R:R,'F_Inputs adjusted'!$A:$A,$A143,'F_Inputs adjusted'!$B:$B,$B143)</f>
        <v>0</v>
      </c>
      <c r="F143" s="182">
        <f ca="1">SUMIFS('F_Inputs adjusted'!S:S,'F_Inputs adjusted'!$A:$A,$A143,'F_Inputs adjusted'!$B:$B,$B143)</f>
        <v>0</v>
      </c>
      <c r="G143" s="182">
        <f ca="1">SUMIFS('F_Inputs adjusted'!T:T,'F_Inputs adjusted'!$A:$A,$A143,'F_Inputs adjusted'!$B:$B,$B143)</f>
        <v>0</v>
      </c>
      <c r="H143" s="182">
        <f ca="1">SUMIFS('F_Inputs adjusted'!U:U,'F_Inputs adjusted'!$A:$A,$A143,'F_Inputs adjusted'!$B:$B,$B143)</f>
        <v>0</v>
      </c>
      <c r="I143" s="182">
        <f ca="1">SUMIFS('F_Inputs adjusted'!V:V,'F_Inputs adjusted'!$A:$A,$A143,'F_Inputs adjusted'!$B:$B,$B143)</f>
        <v>0</v>
      </c>
      <c r="J143" s="182">
        <f ca="1">SUMIFS('F_Inputs adjusted'!W:W,'F_Inputs adjusted'!$A:$A,$A143,'F_Inputs adjusted'!$B:$B,$B143)</f>
        <v>0</v>
      </c>
      <c r="K143" s="182">
        <f ca="1">SUMIFS('F_Inputs adjusted'!X:X,'F_Inputs adjusted'!$A:$A,$A143,'F_Inputs adjusted'!$B:$B,$B143)</f>
        <v>0</v>
      </c>
    </row>
    <row r="144" spans="1:11" ht="13.15">
      <c r="A144" s="181" t="str">
        <f>F_Inputs!A146</f>
        <v>WSX</v>
      </c>
      <c r="B144" s="181" t="str">
        <f>F_Inputs!B146</f>
        <v>CWW1A_015TOT_PR24</v>
      </c>
      <c r="C144" s="181" t="str">
        <f>F_Inputs!C146</f>
        <v>Net totex - Total</v>
      </c>
      <c r="D144" s="181" t="str">
        <f>F_Inputs!D147</f>
        <v>£m</v>
      </c>
      <c r="E144" s="182">
        <f ca="1">SUMIFS('F_Inputs adjusted'!R:R,'F_Inputs adjusted'!$A:$A,$A144,'F_Inputs adjusted'!$B:$B,$B144)</f>
        <v>0</v>
      </c>
      <c r="F144" s="182">
        <f ca="1">SUMIFS('F_Inputs adjusted'!S:S,'F_Inputs adjusted'!$A:$A,$A144,'F_Inputs adjusted'!$B:$B,$B144)</f>
        <v>0</v>
      </c>
      <c r="G144" s="182">
        <f ca="1">SUMIFS('F_Inputs adjusted'!T:T,'F_Inputs adjusted'!$A:$A,$A144,'F_Inputs adjusted'!$B:$B,$B144)</f>
        <v>526.33093822919</v>
      </c>
      <c r="H144" s="182">
        <f ca="1">SUMIFS('F_Inputs adjusted'!U:U,'F_Inputs adjusted'!$A:$A,$A144,'F_Inputs adjusted'!$B:$B,$B144)</f>
        <v>558.80413455846633</v>
      </c>
      <c r="I144" s="182">
        <f ca="1">SUMIFS('F_Inputs adjusted'!V:V,'F_Inputs adjusted'!$A:$A,$A144,'F_Inputs adjusted'!$B:$B,$B144)</f>
        <v>575.36301598312627</v>
      </c>
      <c r="J144" s="182">
        <f ca="1">SUMIFS('F_Inputs adjusted'!W:W,'F_Inputs adjusted'!$A:$A,$A144,'F_Inputs adjusted'!$B:$B,$B144)</f>
        <v>837.08372922394676</v>
      </c>
      <c r="K144" s="182">
        <f ca="1">SUMIFS('F_Inputs adjusted'!X:X,'F_Inputs adjusted'!$A:$A,$A144,'F_Inputs adjusted'!$B:$B,$B144)</f>
        <v>1152.392571151533</v>
      </c>
    </row>
    <row r="145" spans="1:11" ht="15.6" customHeight="1">
      <c r="A145" s="181" t="str">
        <f>F_Inputs!A147</f>
        <v>YKY</v>
      </c>
      <c r="B145" s="181" t="str">
        <f>F_Inputs!B147</f>
        <v>CWW3_010TOT_PR24</v>
      </c>
      <c r="C145" s="181" t="str">
        <f>F_Inputs!C147</f>
        <v>EA/NRW environmental programme wastewater (WINEP/NEP) - MCERTs monitoring at emergency sewage pumping station overflows (WINEP/NEP) wastewater capex - Total</v>
      </c>
      <c r="D145" s="181" t="str">
        <f>F_Inputs!D148</f>
        <v>£m</v>
      </c>
      <c r="E145" s="182">
        <f ca="1">SUMIFS('F_Inputs adjusted'!R:R,'F_Inputs adjusted'!$A:$A,$A145,'F_Inputs adjusted'!$B:$B,$B145)</f>
        <v>0</v>
      </c>
      <c r="F145" s="182">
        <f ca="1">SUMIFS('F_Inputs adjusted'!S:S,'F_Inputs adjusted'!$A:$A,$A145,'F_Inputs adjusted'!$B:$B,$B145)</f>
        <v>0</v>
      </c>
      <c r="G145" s="182">
        <f ca="1">SUMIFS('F_Inputs adjusted'!T:T,'F_Inputs adjusted'!$A:$A,$A145,'F_Inputs adjusted'!$B:$B,$B145)</f>
        <v>3.3398272000000002</v>
      </c>
      <c r="H145" s="182">
        <f ca="1">SUMIFS('F_Inputs adjusted'!U:U,'F_Inputs adjusted'!$A:$A,$A145,'F_Inputs adjusted'!$B:$B,$B145)</f>
        <v>4.5006848000000002</v>
      </c>
      <c r="I145" s="182">
        <f ca="1">SUMIFS('F_Inputs adjusted'!V:V,'F_Inputs adjusted'!$A:$A,$A145,'F_Inputs adjusted'!$B:$B,$B145)</f>
        <v>4.6917119999999999</v>
      </c>
      <c r="J145" s="182">
        <f ca="1">SUMIFS('F_Inputs adjusted'!W:W,'F_Inputs adjusted'!$A:$A,$A145,'F_Inputs adjusted'!$B:$B,$B145)</f>
        <v>3.9286528000000001</v>
      </c>
      <c r="K145" s="182">
        <f ca="1">SUMIFS('F_Inputs adjusted'!X:X,'F_Inputs adjusted'!$A:$A,$A145,'F_Inputs adjusted'!$B:$B,$B145)</f>
        <v>2.4865024</v>
      </c>
    </row>
    <row r="146" spans="1:11" ht="13.15">
      <c r="A146" s="181" t="str">
        <f>F_Inputs!A148</f>
        <v>YKY</v>
      </c>
      <c r="B146" s="181" t="str">
        <f>F_Inputs!B148</f>
        <v>CWW3_011TOT_PR24</v>
      </c>
      <c r="C146" s="181" t="str">
        <f>F_Inputs!C148</f>
        <v>EA/NRW environmental programme wastewater (WINEP/NEP) - MCERTs monitoring at emergency sewage pumping station overflows (WINEP/NEP) wastewater opex - Total</v>
      </c>
      <c r="D146" s="181" t="str">
        <f>F_Inputs!D149</f>
        <v>£m</v>
      </c>
      <c r="E146" s="182">
        <f ca="1">SUMIFS('F_Inputs adjusted'!R:R,'F_Inputs adjusted'!$A:$A,$A146,'F_Inputs adjusted'!$B:$B,$B146)</f>
        <v>0</v>
      </c>
      <c r="F146" s="182">
        <f ca="1">SUMIFS('F_Inputs adjusted'!S:S,'F_Inputs adjusted'!$A:$A,$A146,'F_Inputs adjusted'!$B:$B,$B146)</f>
        <v>0</v>
      </c>
      <c r="G146" s="182">
        <f ca="1">SUMIFS('F_Inputs adjusted'!T:T,'F_Inputs adjusted'!$A:$A,$A146,'F_Inputs adjusted'!$B:$B,$B146)</f>
        <v>0</v>
      </c>
      <c r="H146" s="182">
        <f ca="1">SUMIFS('F_Inputs adjusted'!U:U,'F_Inputs adjusted'!$A:$A,$A146,'F_Inputs adjusted'!$B:$B,$B146)</f>
        <v>0</v>
      </c>
      <c r="I146" s="182">
        <f ca="1">SUMIFS('F_Inputs adjusted'!V:V,'F_Inputs adjusted'!$A:$A,$A146,'F_Inputs adjusted'!$B:$B,$B146)</f>
        <v>0</v>
      </c>
      <c r="J146" s="182">
        <f ca="1">SUMIFS('F_Inputs adjusted'!W:W,'F_Inputs adjusted'!$A:$A,$A146,'F_Inputs adjusted'!$B:$B,$B146)</f>
        <v>0</v>
      </c>
      <c r="K146" s="182">
        <f ca="1">SUMIFS('F_Inputs adjusted'!X:X,'F_Inputs adjusted'!$A:$A,$A146,'F_Inputs adjusted'!$B:$B,$B146)</f>
        <v>0.18158079999999999</v>
      </c>
    </row>
    <row r="147" spans="1:11" ht="13.15">
      <c r="A147" s="181" t="str">
        <f>F_Inputs!A149</f>
        <v>YKY</v>
      </c>
      <c r="B147" s="181" t="str">
        <f>F_Inputs!B149</f>
        <v>CWW3_012TOT_PR24</v>
      </c>
      <c r="C147" s="181" t="str">
        <f>F_Inputs!C149</f>
        <v>EA/NRW environmental programme wastewater (WINEP/NEP) - MCERTs monitoring at emergency sewage pumping station overflows (WINEP/NEP) wastewater totex - Total</v>
      </c>
      <c r="D147" s="181" t="str">
        <f>F_Inputs!D150</f>
        <v>£m</v>
      </c>
      <c r="E147" s="182">
        <f ca="1">SUMIFS('F_Inputs adjusted'!R:R,'F_Inputs adjusted'!$A:$A,$A147,'F_Inputs adjusted'!$B:$B,$B147)</f>
        <v>0</v>
      </c>
      <c r="F147" s="182">
        <f ca="1">SUMIFS('F_Inputs adjusted'!S:S,'F_Inputs adjusted'!$A:$A,$A147,'F_Inputs adjusted'!$B:$B,$B147)</f>
        <v>0</v>
      </c>
      <c r="G147" s="182">
        <f ca="1">SUMIFS('F_Inputs adjusted'!T:T,'F_Inputs adjusted'!$A:$A,$A147,'F_Inputs adjusted'!$B:$B,$B147)</f>
        <v>3.3398272000000002</v>
      </c>
      <c r="H147" s="182">
        <f ca="1">SUMIFS('F_Inputs adjusted'!U:U,'F_Inputs adjusted'!$A:$A,$A147,'F_Inputs adjusted'!$B:$B,$B147)</f>
        <v>4.5006848000000002</v>
      </c>
      <c r="I147" s="182">
        <f ca="1">SUMIFS('F_Inputs adjusted'!V:V,'F_Inputs adjusted'!$A:$A,$A147,'F_Inputs adjusted'!$B:$B,$B147)</f>
        <v>4.6917119999999999</v>
      </c>
      <c r="J147" s="182">
        <f ca="1">SUMIFS('F_Inputs adjusted'!W:W,'F_Inputs adjusted'!$A:$A,$A147,'F_Inputs adjusted'!$B:$B,$B147)</f>
        <v>3.9286528000000001</v>
      </c>
      <c r="K147" s="182">
        <f ca="1">SUMIFS('F_Inputs adjusted'!X:X,'F_Inputs adjusted'!$A:$A,$A147,'F_Inputs adjusted'!$B:$B,$B147)</f>
        <v>2.6680831999999999</v>
      </c>
    </row>
    <row r="148" spans="1:11" ht="13.15">
      <c r="A148" s="181" t="str">
        <f>F_Inputs!A150</f>
        <v>YKY</v>
      </c>
      <c r="B148" s="181" t="str">
        <f>F_Inputs!B150</f>
        <v>CWW12_010TOT_PR24</v>
      </c>
      <c r="C148" s="181" t="str">
        <f>F_Inputs!C150</f>
        <v>EA/NRW environmental programme wastewater (WINEP/NEP) - MCERTs monitoring at emergency sewage pumping station overflows (WINEP/NEP) wastewater capex - Total</v>
      </c>
      <c r="D148" s="181" t="str">
        <f>F_Inputs!D151</f>
        <v>£m</v>
      </c>
      <c r="E148" s="182">
        <f ca="1">SUMIFS('F_Inputs adjusted'!R:R,'F_Inputs adjusted'!$A:$A,$A148,'F_Inputs adjusted'!$B:$B,$B148)</f>
        <v>0</v>
      </c>
      <c r="F148" s="182">
        <f ca="1">SUMIFS('F_Inputs adjusted'!S:S,'F_Inputs adjusted'!$A:$A,$A148,'F_Inputs adjusted'!$B:$B,$B148)</f>
        <v>0</v>
      </c>
      <c r="G148" s="182">
        <f ca="1">SUMIFS('F_Inputs adjusted'!T:T,'F_Inputs adjusted'!$A:$A,$A148,'F_Inputs adjusted'!$B:$B,$B148)</f>
        <v>0</v>
      </c>
      <c r="H148" s="182">
        <f ca="1">SUMIFS('F_Inputs adjusted'!U:U,'F_Inputs adjusted'!$A:$A,$A148,'F_Inputs adjusted'!$B:$B,$B148)</f>
        <v>0</v>
      </c>
      <c r="I148" s="182">
        <f ca="1">SUMIFS('F_Inputs adjusted'!V:V,'F_Inputs adjusted'!$A:$A,$A148,'F_Inputs adjusted'!$B:$B,$B148)</f>
        <v>0</v>
      </c>
      <c r="J148" s="182">
        <f ca="1">SUMIFS('F_Inputs adjusted'!W:W,'F_Inputs adjusted'!$A:$A,$A148,'F_Inputs adjusted'!$B:$B,$B148)</f>
        <v>0</v>
      </c>
      <c r="K148" s="182">
        <f ca="1">SUMIFS('F_Inputs adjusted'!X:X,'F_Inputs adjusted'!$A:$A,$A148,'F_Inputs adjusted'!$B:$B,$B148)</f>
        <v>0</v>
      </c>
    </row>
    <row r="149" spans="1:11" ht="13.15">
      <c r="A149" s="181" t="str">
        <f>F_Inputs!A151</f>
        <v>YKY</v>
      </c>
      <c r="B149" s="181" t="str">
        <f>F_Inputs!B151</f>
        <v>CWW12_011TOT_PR24</v>
      </c>
      <c r="C149" s="181" t="str">
        <f>F_Inputs!C151</f>
        <v>EA/NRW environmental programme wastewater (WINEP/NEP) - MCERTs monitoring at emergency sewage pumping station overflows (WINEP/NEP) wastewater opex - Total</v>
      </c>
      <c r="D149" s="181" t="str">
        <f>F_Inputs!D152</f>
        <v>£m</v>
      </c>
      <c r="E149" s="182">
        <f ca="1">SUMIFS('F_Inputs adjusted'!R:R,'F_Inputs adjusted'!$A:$A,$A149,'F_Inputs adjusted'!$B:$B,$B149)</f>
        <v>0</v>
      </c>
      <c r="F149" s="182">
        <f ca="1">SUMIFS('F_Inputs adjusted'!S:S,'F_Inputs adjusted'!$A:$A,$A149,'F_Inputs adjusted'!$B:$B,$B149)</f>
        <v>0</v>
      </c>
      <c r="G149" s="182">
        <f ca="1">SUMIFS('F_Inputs adjusted'!T:T,'F_Inputs adjusted'!$A:$A,$A149,'F_Inputs adjusted'!$B:$B,$B149)</f>
        <v>0</v>
      </c>
      <c r="H149" s="182">
        <f ca="1">SUMIFS('F_Inputs adjusted'!U:U,'F_Inputs adjusted'!$A:$A,$A149,'F_Inputs adjusted'!$B:$B,$B149)</f>
        <v>0</v>
      </c>
      <c r="I149" s="182">
        <f ca="1">SUMIFS('F_Inputs adjusted'!V:V,'F_Inputs adjusted'!$A:$A,$A149,'F_Inputs adjusted'!$B:$B,$B149)</f>
        <v>0</v>
      </c>
      <c r="J149" s="182">
        <f ca="1">SUMIFS('F_Inputs adjusted'!W:W,'F_Inputs adjusted'!$A:$A,$A149,'F_Inputs adjusted'!$B:$B,$B149)</f>
        <v>0</v>
      </c>
      <c r="K149" s="182">
        <f ca="1">SUMIFS('F_Inputs adjusted'!X:X,'F_Inputs adjusted'!$A:$A,$A149,'F_Inputs adjusted'!$B:$B,$B149)</f>
        <v>0</v>
      </c>
    </row>
    <row r="150" spans="1:11" ht="13.15">
      <c r="A150" s="181" t="str">
        <f>F_Inputs!A152</f>
        <v>YKY</v>
      </c>
      <c r="B150" s="181" t="str">
        <f>F_Inputs!B152</f>
        <v>CWW12_012TOT_PR24</v>
      </c>
      <c r="C150" s="181" t="str">
        <f>F_Inputs!C152</f>
        <v>EA/NRW environmental programme wastewater (WINEP/NEP) - MCERTs monitoring at emergency sewage pumping station overflows (WINEP/NEP) wastewater totex - Total</v>
      </c>
      <c r="D150" s="181" t="str">
        <f>F_Inputs!D153</f>
        <v>£m</v>
      </c>
      <c r="E150" s="182">
        <f ca="1">SUMIFS('F_Inputs adjusted'!R:R,'F_Inputs adjusted'!$A:$A,$A150,'F_Inputs adjusted'!$B:$B,$B150)</f>
        <v>0</v>
      </c>
      <c r="F150" s="182">
        <f ca="1">SUMIFS('F_Inputs adjusted'!S:S,'F_Inputs adjusted'!$A:$A,$A150,'F_Inputs adjusted'!$B:$B,$B150)</f>
        <v>0</v>
      </c>
      <c r="G150" s="182">
        <f ca="1">SUMIFS('F_Inputs adjusted'!T:T,'F_Inputs adjusted'!$A:$A,$A150,'F_Inputs adjusted'!$B:$B,$B150)</f>
        <v>0</v>
      </c>
      <c r="H150" s="182">
        <f ca="1">SUMIFS('F_Inputs adjusted'!U:U,'F_Inputs adjusted'!$A:$A,$A150,'F_Inputs adjusted'!$B:$B,$B150)</f>
        <v>0</v>
      </c>
      <c r="I150" s="182">
        <f ca="1">SUMIFS('F_Inputs adjusted'!V:V,'F_Inputs adjusted'!$A:$A,$A150,'F_Inputs adjusted'!$B:$B,$B150)</f>
        <v>0</v>
      </c>
      <c r="J150" s="182">
        <f ca="1">SUMIFS('F_Inputs adjusted'!W:W,'F_Inputs adjusted'!$A:$A,$A150,'F_Inputs adjusted'!$B:$B,$B150)</f>
        <v>0</v>
      </c>
      <c r="K150" s="182">
        <f ca="1">SUMIFS('F_Inputs adjusted'!X:X,'F_Inputs adjusted'!$A:$A,$A150,'F_Inputs adjusted'!$B:$B,$B150)</f>
        <v>0</v>
      </c>
    </row>
    <row r="151" spans="1:11" ht="13.15">
      <c r="A151" s="181" t="str">
        <f>F_Inputs!A153</f>
        <v>YKY</v>
      </c>
      <c r="B151" s="181" t="str">
        <f>F_Inputs!B153</f>
        <v>CWW17_010TOT_PR24</v>
      </c>
      <c r="C151" s="181" t="str">
        <f>F_Inputs!C153</f>
        <v>EA/NRW environmental programme wastewater (WINEP/NEP) - MCERTs monitoring at emergency sewage pumping station overflows (WINEP/NEP) wastewater capex - Total</v>
      </c>
      <c r="D151" s="181" t="str">
        <f>F_Inputs!D154</f>
        <v>£m</v>
      </c>
      <c r="E151" s="182">
        <f ca="1">SUMIFS('F_Inputs adjusted'!R:R,'F_Inputs adjusted'!$A:$A,$A151,'F_Inputs adjusted'!$B:$B,$B151)</f>
        <v>0</v>
      </c>
      <c r="F151" s="182">
        <f ca="1">SUMIFS('F_Inputs adjusted'!S:S,'F_Inputs adjusted'!$A:$A,$A151,'F_Inputs adjusted'!$B:$B,$B151)</f>
        <v>0</v>
      </c>
      <c r="G151" s="182">
        <f ca="1">SUMIFS('F_Inputs adjusted'!T:T,'F_Inputs adjusted'!$A:$A,$A151,'F_Inputs adjusted'!$B:$B,$B151)</f>
        <v>0</v>
      </c>
      <c r="H151" s="182">
        <f ca="1">SUMIFS('F_Inputs adjusted'!U:U,'F_Inputs adjusted'!$A:$A,$A151,'F_Inputs adjusted'!$B:$B,$B151)</f>
        <v>0</v>
      </c>
      <c r="I151" s="182">
        <f ca="1">SUMIFS('F_Inputs adjusted'!V:V,'F_Inputs adjusted'!$A:$A,$A151,'F_Inputs adjusted'!$B:$B,$B151)</f>
        <v>0</v>
      </c>
      <c r="J151" s="182">
        <f ca="1">SUMIFS('F_Inputs adjusted'!W:W,'F_Inputs adjusted'!$A:$A,$A151,'F_Inputs adjusted'!$B:$B,$B151)</f>
        <v>0</v>
      </c>
      <c r="K151" s="182">
        <f ca="1">SUMIFS('F_Inputs adjusted'!X:X,'F_Inputs adjusted'!$A:$A,$A151,'F_Inputs adjusted'!$B:$B,$B151)</f>
        <v>0</v>
      </c>
    </row>
    <row r="152" spans="1:11" ht="13.15">
      <c r="A152" s="181" t="str">
        <f>F_Inputs!A154</f>
        <v>YKY</v>
      </c>
      <c r="B152" s="181" t="str">
        <f>F_Inputs!B154</f>
        <v>CWW17_011TOT_PR24</v>
      </c>
      <c r="C152" s="181" t="str">
        <f>F_Inputs!C154</f>
        <v>EA/NRW environmental programme wastewater (WINEP/NEP) - MCERTs monitoring at emergency sewage pumping station overflows (WINEP/NEP) wastewater opex - Total</v>
      </c>
      <c r="D152" s="181" t="str">
        <f>F_Inputs!D155</f>
        <v>£m</v>
      </c>
      <c r="E152" s="182">
        <f ca="1">SUMIFS('F_Inputs adjusted'!R:R,'F_Inputs adjusted'!$A:$A,$A152,'F_Inputs adjusted'!$B:$B,$B152)</f>
        <v>0</v>
      </c>
      <c r="F152" s="182">
        <f ca="1">SUMIFS('F_Inputs adjusted'!S:S,'F_Inputs adjusted'!$A:$A,$A152,'F_Inputs adjusted'!$B:$B,$B152)</f>
        <v>0</v>
      </c>
      <c r="G152" s="182">
        <f ca="1">SUMIFS('F_Inputs adjusted'!T:T,'F_Inputs adjusted'!$A:$A,$A152,'F_Inputs adjusted'!$B:$B,$B152)</f>
        <v>0</v>
      </c>
      <c r="H152" s="182">
        <f ca="1">SUMIFS('F_Inputs adjusted'!U:U,'F_Inputs adjusted'!$A:$A,$A152,'F_Inputs adjusted'!$B:$B,$B152)</f>
        <v>0</v>
      </c>
      <c r="I152" s="182">
        <f ca="1">SUMIFS('F_Inputs adjusted'!V:V,'F_Inputs adjusted'!$A:$A,$A152,'F_Inputs adjusted'!$B:$B,$B152)</f>
        <v>0</v>
      </c>
      <c r="J152" s="182">
        <f ca="1">SUMIFS('F_Inputs adjusted'!W:W,'F_Inputs adjusted'!$A:$A,$A152,'F_Inputs adjusted'!$B:$B,$B152)</f>
        <v>0</v>
      </c>
      <c r="K152" s="182">
        <f ca="1">SUMIFS('F_Inputs adjusted'!X:X,'F_Inputs adjusted'!$A:$A,$A152,'F_Inputs adjusted'!$B:$B,$B152)</f>
        <v>0</v>
      </c>
    </row>
    <row r="153" spans="1:11" ht="13.15">
      <c r="A153" s="181" t="str">
        <f>F_Inputs!A155</f>
        <v>YKY</v>
      </c>
      <c r="B153" s="181" t="str">
        <f>F_Inputs!B155</f>
        <v>CWW17_012TOT_PR24</v>
      </c>
      <c r="C153" s="181" t="str">
        <f>F_Inputs!C155</f>
        <v>EA/NRW environmental programme wastewater (WINEP/NEP) - MCERTs monitoring at emergency sewage pumping station overflows (WINEP/NEP) wastewater totex - Total</v>
      </c>
      <c r="D153" s="181" t="str">
        <f>F_Inputs!D156</f>
        <v>nr</v>
      </c>
      <c r="E153" s="182">
        <f ca="1">SUMIFS('F_Inputs adjusted'!R:R,'F_Inputs adjusted'!$A:$A,$A153,'F_Inputs adjusted'!$B:$B,$B153)</f>
        <v>0</v>
      </c>
      <c r="F153" s="182">
        <f ca="1">SUMIFS('F_Inputs adjusted'!S:S,'F_Inputs adjusted'!$A:$A,$A153,'F_Inputs adjusted'!$B:$B,$B153)</f>
        <v>0</v>
      </c>
      <c r="G153" s="182">
        <f ca="1">SUMIFS('F_Inputs adjusted'!T:T,'F_Inputs adjusted'!$A:$A,$A153,'F_Inputs adjusted'!$B:$B,$B153)</f>
        <v>0</v>
      </c>
      <c r="H153" s="182">
        <f ca="1">SUMIFS('F_Inputs adjusted'!U:U,'F_Inputs adjusted'!$A:$A,$A153,'F_Inputs adjusted'!$B:$B,$B153)</f>
        <v>0</v>
      </c>
      <c r="I153" s="182">
        <f ca="1">SUMIFS('F_Inputs adjusted'!V:V,'F_Inputs adjusted'!$A:$A,$A153,'F_Inputs adjusted'!$B:$B,$B153)</f>
        <v>0</v>
      </c>
      <c r="J153" s="182">
        <f ca="1">SUMIFS('F_Inputs adjusted'!W:W,'F_Inputs adjusted'!$A:$A,$A153,'F_Inputs adjusted'!$B:$B,$B153)</f>
        <v>0</v>
      </c>
      <c r="K153" s="182">
        <f ca="1">SUMIFS('F_Inputs adjusted'!X:X,'F_Inputs adjusted'!$A:$A,$A153,'F_Inputs adjusted'!$B:$B,$B153)</f>
        <v>0</v>
      </c>
    </row>
    <row r="154" spans="1:11" ht="13.15">
      <c r="A154" s="181" t="str">
        <f>F_Inputs!A156</f>
        <v>YKY</v>
      </c>
      <c r="B154" s="181" t="str">
        <f>F_Inputs!B156</f>
        <v>CWW20_050_PR24</v>
      </c>
      <c r="C154" s="181" t="str">
        <f>F_Inputs!C156</f>
        <v>Network / Storm overflow data - Number of new MCERTs event duration monitors installed at SPS emergency overflows</v>
      </c>
      <c r="D154" s="181" t="str">
        <f>F_Inputs!D157</f>
        <v>nr</v>
      </c>
      <c r="E154" s="182">
        <f ca="1">SUMIFS('F_Inputs adjusted'!R:R,'F_Inputs adjusted'!$A:$A,$A154,'F_Inputs adjusted'!$B:$B,$B154)</f>
        <v>0</v>
      </c>
      <c r="F154" s="182">
        <f ca="1">SUMIFS('F_Inputs adjusted'!S:S,'F_Inputs adjusted'!$A:$A,$A154,'F_Inputs adjusted'!$B:$B,$B154)</f>
        <v>0</v>
      </c>
      <c r="G154" s="182">
        <f ca="1">SUMIFS('F_Inputs adjusted'!T:T,'F_Inputs adjusted'!$A:$A,$A154,'F_Inputs adjusted'!$B:$B,$B154)</f>
        <v>379</v>
      </c>
      <c r="H154" s="182">
        <f ca="1">SUMIFS('F_Inputs adjusted'!U:U,'F_Inputs adjusted'!$A:$A,$A154,'F_Inputs adjusted'!$B:$B,$B154)</f>
        <v>0</v>
      </c>
      <c r="I154" s="182">
        <f ca="1">SUMIFS('F_Inputs adjusted'!V:V,'F_Inputs adjusted'!$A:$A,$A154,'F_Inputs adjusted'!$B:$B,$B154)</f>
        <v>0</v>
      </c>
      <c r="J154" s="182">
        <f ca="1">SUMIFS('F_Inputs adjusted'!W:W,'F_Inputs adjusted'!$A:$A,$A154,'F_Inputs adjusted'!$B:$B,$B154)</f>
        <v>0</v>
      </c>
      <c r="K154" s="182">
        <f ca="1">SUMIFS('F_Inputs adjusted'!X:X,'F_Inputs adjusted'!$A:$A,$A154,'F_Inputs adjusted'!$B:$B,$B154)</f>
        <v>0</v>
      </c>
    </row>
    <row r="155" spans="1:11" ht="13.15">
      <c r="A155" s="181" t="str">
        <f>F_Inputs!A157</f>
        <v>YKY</v>
      </c>
      <c r="B155" s="181" t="str">
        <f>F_Inputs!B157</f>
        <v>CWW20_051_PR24</v>
      </c>
      <c r="C155" s="181" t="str">
        <f>F_Inputs!C157</f>
        <v>Network / Storm overflow data - Number of new MCERTs flow monitors (PFF) installed at SPSs with combined emergency and storm overflows.</v>
      </c>
      <c r="D155" s="181" t="str">
        <f>F_Inputs!D158</f>
        <v>nr</v>
      </c>
      <c r="E155" s="182">
        <f ca="1">SUMIFS('F_Inputs adjusted'!R:R,'F_Inputs adjusted'!$A:$A,$A155,'F_Inputs adjusted'!$B:$B,$B155)</f>
        <v>0</v>
      </c>
      <c r="F155" s="182">
        <f ca="1">SUMIFS('F_Inputs adjusted'!S:S,'F_Inputs adjusted'!$A:$A,$A155,'F_Inputs adjusted'!$B:$B,$B155)</f>
        <v>0</v>
      </c>
      <c r="G155" s="182">
        <f ca="1">SUMIFS('F_Inputs adjusted'!T:T,'F_Inputs adjusted'!$A:$A,$A155,'F_Inputs adjusted'!$B:$B,$B155)</f>
        <v>361</v>
      </c>
      <c r="H155" s="182">
        <f ca="1">SUMIFS('F_Inputs adjusted'!U:U,'F_Inputs adjusted'!$A:$A,$A155,'F_Inputs adjusted'!$B:$B,$B155)</f>
        <v>0</v>
      </c>
      <c r="I155" s="182">
        <f ca="1">SUMIFS('F_Inputs adjusted'!V:V,'F_Inputs adjusted'!$A:$A,$A155,'F_Inputs adjusted'!$B:$B,$B155)</f>
        <v>0</v>
      </c>
      <c r="J155" s="182">
        <f ca="1">SUMIFS('F_Inputs adjusted'!W:W,'F_Inputs adjusted'!$A:$A,$A155,'F_Inputs adjusted'!$B:$B,$B155)</f>
        <v>0</v>
      </c>
      <c r="K155" s="182">
        <f ca="1">SUMIFS('F_Inputs adjusted'!X:X,'F_Inputs adjusted'!$A:$A,$A155,'F_Inputs adjusted'!$B:$B,$B155)</f>
        <v>0</v>
      </c>
    </row>
    <row r="156" spans="1:11" ht="13.15">
      <c r="A156" s="181" t="str">
        <f>F_Inputs!A158</f>
        <v>YKY</v>
      </c>
      <c r="B156" s="181" t="str">
        <f>F_Inputs!B158</f>
        <v>CWW20A_050_PR24</v>
      </c>
      <c r="C156" s="181" t="str">
        <f>F_Inputs!C158</f>
        <v>Network / Storm overflow data - Number of new MCERTs event duration monitors installed at SPS emergency overflows</v>
      </c>
      <c r="D156" s="181" t="str">
        <f>F_Inputs!D159</f>
        <v>nr</v>
      </c>
      <c r="E156" s="182">
        <f ca="1">SUMIFS('F_Inputs adjusted'!R:R,'F_Inputs adjusted'!$A:$A,$A156,'F_Inputs adjusted'!$B:$B,$B156)</f>
        <v>0</v>
      </c>
      <c r="F156" s="182">
        <f ca="1">SUMIFS('F_Inputs adjusted'!S:S,'F_Inputs adjusted'!$A:$A,$A156,'F_Inputs adjusted'!$B:$B,$B156)</f>
        <v>0</v>
      </c>
      <c r="G156" s="182">
        <f ca="1">SUMIFS('F_Inputs adjusted'!T:T,'F_Inputs adjusted'!$A:$A,$A156,'F_Inputs adjusted'!$B:$B,$B156)</f>
        <v>0</v>
      </c>
      <c r="H156" s="182">
        <f ca="1">SUMIFS('F_Inputs adjusted'!U:U,'F_Inputs adjusted'!$A:$A,$A156,'F_Inputs adjusted'!$B:$B,$B156)</f>
        <v>0</v>
      </c>
      <c r="I156" s="182">
        <f ca="1">SUMIFS('F_Inputs adjusted'!V:V,'F_Inputs adjusted'!$A:$A,$A156,'F_Inputs adjusted'!$B:$B,$B156)</f>
        <v>0</v>
      </c>
      <c r="J156" s="182">
        <f ca="1">SUMIFS('F_Inputs adjusted'!W:W,'F_Inputs adjusted'!$A:$A,$A156,'F_Inputs adjusted'!$B:$B,$B156)</f>
        <v>0</v>
      </c>
      <c r="K156" s="182">
        <f ca="1">SUMIFS('F_Inputs adjusted'!X:X,'F_Inputs adjusted'!$A:$A,$A156,'F_Inputs adjusted'!$B:$B,$B156)</f>
        <v>0</v>
      </c>
    </row>
    <row r="157" spans="1:11" ht="13.15">
      <c r="A157" s="181" t="str">
        <f>F_Inputs!A159</f>
        <v>YKY</v>
      </c>
      <c r="B157" s="181" t="str">
        <f>F_Inputs!B159</f>
        <v>CWW20A_051_PR24</v>
      </c>
      <c r="C157" s="181" t="str">
        <f>F_Inputs!C159</f>
        <v>Network / Storm overflow data - Number of new MCERTs flow monitors (PFF) installed at SPSs with combined emergency and storm overflows.</v>
      </c>
      <c r="D157" s="181" t="str">
        <f>F_Inputs!D160</f>
        <v>£m</v>
      </c>
      <c r="E157" s="182">
        <f ca="1">SUMIFS('F_Inputs adjusted'!R:R,'F_Inputs adjusted'!$A:$A,$A157,'F_Inputs adjusted'!$B:$B,$B157)</f>
        <v>0</v>
      </c>
      <c r="F157" s="182">
        <f ca="1">SUMIFS('F_Inputs adjusted'!S:S,'F_Inputs adjusted'!$A:$A,$A157,'F_Inputs adjusted'!$B:$B,$B157)</f>
        <v>0</v>
      </c>
      <c r="G157" s="182">
        <f ca="1">SUMIFS('F_Inputs adjusted'!T:T,'F_Inputs adjusted'!$A:$A,$A157,'F_Inputs adjusted'!$B:$B,$B157)</f>
        <v>0</v>
      </c>
      <c r="H157" s="182">
        <f ca="1">SUMIFS('F_Inputs adjusted'!U:U,'F_Inputs adjusted'!$A:$A,$A157,'F_Inputs adjusted'!$B:$B,$B157)</f>
        <v>0</v>
      </c>
      <c r="I157" s="182">
        <f ca="1">SUMIFS('F_Inputs adjusted'!V:V,'F_Inputs adjusted'!$A:$A,$A157,'F_Inputs adjusted'!$B:$B,$B157)</f>
        <v>0</v>
      </c>
      <c r="J157" s="182">
        <f ca="1">SUMIFS('F_Inputs adjusted'!W:W,'F_Inputs adjusted'!$A:$A,$A157,'F_Inputs adjusted'!$B:$B,$B157)</f>
        <v>0</v>
      </c>
      <c r="K157" s="182">
        <f ca="1">SUMIFS('F_Inputs adjusted'!X:X,'F_Inputs adjusted'!$A:$A,$A157,'F_Inputs adjusted'!$B:$B,$B157)</f>
        <v>0</v>
      </c>
    </row>
    <row r="158" spans="1:11" ht="13.15">
      <c r="A158" s="181" t="str">
        <f>F_Inputs!A160</f>
        <v>YKY</v>
      </c>
      <c r="B158" s="181" t="str">
        <f>F_Inputs!B160</f>
        <v>CWW1A_015TOT_PR24</v>
      </c>
      <c r="C158" s="181" t="str">
        <f>F_Inputs!C160</f>
        <v>Net totex - Total</v>
      </c>
      <c r="D158" s="181" t="e">
        <f>F_Inputs!#REF!</f>
        <v>#REF!</v>
      </c>
      <c r="E158" s="182">
        <f ca="1">SUMIFS('F_Inputs adjusted'!R:R,'F_Inputs adjusted'!$A:$A,$A158,'F_Inputs adjusted'!$B:$B,$B158)</f>
        <v>0</v>
      </c>
      <c r="F158" s="182">
        <f ca="1">SUMIFS('F_Inputs adjusted'!S:S,'F_Inputs adjusted'!$A:$A,$A158,'F_Inputs adjusted'!$B:$B,$B158)</f>
        <v>0</v>
      </c>
      <c r="G158" s="182">
        <f ca="1">SUMIFS('F_Inputs adjusted'!T:T,'F_Inputs adjusted'!$A:$A,$A158,'F_Inputs adjusted'!$B:$B,$B158)</f>
        <v>862.90684243736268</v>
      </c>
      <c r="H158" s="182">
        <f ca="1">SUMIFS('F_Inputs adjusted'!U:U,'F_Inputs adjusted'!$A:$A,$A158,'F_Inputs adjusted'!$B:$B,$B158)</f>
        <v>1023.836972489322</v>
      </c>
      <c r="I158" s="182">
        <f ca="1">SUMIFS('F_Inputs adjusted'!V:V,'F_Inputs adjusted'!$A:$A,$A158,'F_Inputs adjusted'!$B:$B,$B158)</f>
        <v>974.11492033814147</v>
      </c>
      <c r="J158" s="182">
        <f ca="1">SUMIFS('F_Inputs adjusted'!W:W,'F_Inputs adjusted'!$A:$A,$A158,'F_Inputs adjusted'!$B:$B,$B158)</f>
        <v>886.57950053133004</v>
      </c>
      <c r="K158" s="182">
        <f ca="1">SUMIFS('F_Inputs adjusted'!X:X,'F_Inputs adjusted'!$A:$A,$A158,'F_Inputs adjusted'!$B:$B,$B158)</f>
        <v>783.01520971339971</v>
      </c>
    </row>
    <row r="159" spans="1:11" ht="13.15">
      <c r="A159" s="181"/>
      <c r="B159" s="181"/>
      <c r="C159" s="181"/>
      <c r="D159" s="181"/>
      <c r="E159" s="182"/>
      <c r="F159" s="182"/>
      <c r="G159" s="182"/>
      <c r="H159" s="182"/>
      <c r="I159" s="182"/>
      <c r="J159" s="182"/>
      <c r="K159" s="182"/>
    </row>
    <row r="160" spans="1:11" ht="13.15">
      <c r="A160" s="181"/>
      <c r="B160" s="181"/>
      <c r="C160" s="181"/>
      <c r="D160" s="181"/>
      <c r="E160" s="182"/>
      <c r="F160" s="182"/>
      <c r="G160" s="182"/>
      <c r="H160" s="182"/>
      <c r="I160" s="182"/>
      <c r="J160" s="182"/>
      <c r="K160" s="182"/>
    </row>
  </sheetData>
  <mergeCells count="2">
    <mergeCell ref="E3:F3"/>
    <mergeCell ref="G3:K3"/>
  </mergeCells>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C5698-C5D8-4161-9C61-3A470D39562C}">
  <sheetPr>
    <tabColor rgb="FFFFDB8E"/>
  </sheetPr>
  <dimension ref="A1:L160"/>
  <sheetViews>
    <sheetView showGridLines="0" zoomScale="80" zoomScaleNormal="80" workbookViewId="0"/>
  </sheetViews>
  <sheetFormatPr defaultColWidth="8.85546875" defaultRowHeight="13.15"/>
  <cols>
    <col min="1" max="1" width="18.85546875" style="2" customWidth="1"/>
    <col min="2" max="2" width="21.85546875" style="2" customWidth="1"/>
    <col min="3" max="3" width="135" style="2" customWidth="1"/>
    <col min="4" max="4" width="10.42578125" style="2" customWidth="1"/>
    <col min="5" max="11" width="8.85546875" style="2"/>
    <col min="12" max="12" width="20" style="2" customWidth="1"/>
    <col min="13" max="16384" width="8.85546875" style="2"/>
  </cols>
  <sheetData>
    <row r="1" spans="1:11" ht="30.75">
      <c r="A1" s="1" t="e">
        <f ca="1" xml:space="preserve"> RIGHT(CELL("filename", $A$1), LEN(CELL("filename", $A$1)) - SEARCH("]", CELL("filename", $A$1)))</f>
        <v>#VALUE!</v>
      </c>
      <c r="B1" s="1"/>
      <c r="C1" s="1"/>
      <c r="D1" s="1"/>
      <c r="E1" s="1"/>
      <c r="F1" s="1"/>
      <c r="G1" s="1"/>
      <c r="H1" s="1"/>
      <c r="I1" s="1"/>
      <c r="J1" s="1"/>
      <c r="K1" s="1"/>
    </row>
    <row r="4" spans="1:11" ht="12.95" customHeight="1">
      <c r="A4" s="183" t="s">
        <v>120</v>
      </c>
      <c r="B4" s="183" t="s">
        <v>121</v>
      </c>
      <c r="C4" s="184" t="s">
        <v>118</v>
      </c>
      <c r="D4" s="184" t="s">
        <v>119</v>
      </c>
      <c r="E4" s="179" t="s">
        <v>72</v>
      </c>
      <c r="F4" s="179" t="s">
        <v>73</v>
      </c>
      <c r="G4" s="179" t="s">
        <v>74</v>
      </c>
      <c r="H4" s="179" t="s">
        <v>75</v>
      </c>
      <c r="I4" s="179" t="s">
        <v>76</v>
      </c>
      <c r="J4" s="179" t="s">
        <v>77</v>
      </c>
      <c r="K4" s="179" t="s">
        <v>78</v>
      </c>
    </row>
    <row r="5" spans="1:11">
      <c r="A5" s="181" t="str">
        <f>Table1[[#This Row],[Acronym]]</f>
        <v>ANH</v>
      </c>
      <c r="B5" s="181" t="str">
        <f>Table1[[#This Row],[BON code]]</f>
        <v>CWW3_010TOT_PR24</v>
      </c>
      <c r="C5" s="181" t="str">
        <f>Table1[[#This Row],[Item Description]]</f>
        <v>EA/NRW environmental programme wastewater (WINEP/NEP) - MCERTs monitoring at emergency sewage pumping station overflows (WINEP/NEP) wastewater capex - Total</v>
      </c>
      <c r="D5" s="159" t="s">
        <v>85</v>
      </c>
      <c r="E5" s="186"/>
      <c r="F5" s="186"/>
      <c r="G5" s="186"/>
      <c r="H5" s="186"/>
      <c r="I5" s="186"/>
      <c r="J5" s="186"/>
      <c r="K5" s="186"/>
    </row>
    <row r="6" spans="1:11">
      <c r="A6" s="181" t="str">
        <f>Table1[[#This Row],[Acronym]]</f>
        <v>ANH</v>
      </c>
      <c r="B6" s="181" t="str">
        <f>Table1[[#This Row],[BON code]]</f>
        <v>CWW3_011TOT_PR24</v>
      </c>
      <c r="C6" s="181" t="str">
        <f>Table1[[#This Row],[Item Description]]</f>
        <v>EA/NRW environmental programme wastewater (WINEP/NEP) - MCERTs monitoring at emergency sewage pumping station overflows (WINEP/NEP) wastewater opex - Total</v>
      </c>
      <c r="D6" s="159" t="s">
        <v>85</v>
      </c>
      <c r="E6" s="186"/>
      <c r="F6" s="186"/>
      <c r="G6" s="186"/>
      <c r="H6" s="186"/>
      <c r="I6" s="186"/>
      <c r="J6" s="186"/>
      <c r="K6" s="186"/>
    </row>
    <row r="7" spans="1:11">
      <c r="A7" s="181" t="str">
        <f>Table1[[#This Row],[Acronym]]</f>
        <v>ANH</v>
      </c>
      <c r="B7" s="181" t="str">
        <f>Table1[[#This Row],[BON code]]</f>
        <v>CWW3_012TOT_PR24</v>
      </c>
      <c r="C7" s="181" t="str">
        <f>Table1[[#This Row],[Item Description]]</f>
        <v>EA/NRW environmental programme wastewater (WINEP/NEP) - MCERTs monitoring at emergency sewage pumping station overflows (WINEP/NEP) wastewater totex - Total</v>
      </c>
      <c r="D7" s="159" t="s">
        <v>85</v>
      </c>
      <c r="E7" s="186"/>
      <c r="F7" s="186"/>
      <c r="G7" s="186"/>
      <c r="H7" s="186"/>
      <c r="I7" s="186"/>
      <c r="J7" s="186"/>
      <c r="K7" s="186"/>
    </row>
    <row r="8" spans="1:11">
      <c r="A8" s="181" t="str">
        <f>Table1[[#This Row],[Acronym]]</f>
        <v>ANH</v>
      </c>
      <c r="B8" s="181" t="str">
        <f>Table1[[#This Row],[BON code]]</f>
        <v>CWW12_010TOT_PR24</v>
      </c>
      <c r="C8" s="181" t="str">
        <f>Table1[[#This Row],[Item Description]]</f>
        <v>EA/NRW environmental programme wastewater (WINEP/NEP) - MCERTs monitoring at emergency sewage pumping station overflows (WINEP/NEP) wastewater capex - Total</v>
      </c>
      <c r="D8" s="159" t="s">
        <v>85</v>
      </c>
      <c r="E8" s="186"/>
      <c r="F8" s="186"/>
      <c r="G8" s="186"/>
      <c r="H8" s="186"/>
      <c r="I8" s="186"/>
      <c r="J8" s="186"/>
      <c r="K8" s="186"/>
    </row>
    <row r="9" spans="1:11">
      <c r="A9" s="181" t="str">
        <f>Table1[[#This Row],[Acronym]]</f>
        <v>ANH</v>
      </c>
      <c r="B9" s="181" t="str">
        <f>Table1[[#This Row],[BON code]]</f>
        <v>CWW12_011TOT_PR24</v>
      </c>
      <c r="C9" s="181" t="str">
        <f>Table1[[#This Row],[Item Description]]</f>
        <v>EA/NRW environmental programme wastewater (WINEP/NEP) - MCERTs monitoring at emergency sewage pumping station overflows (WINEP/NEP) wastewater opex - Total</v>
      </c>
      <c r="D9" s="159" t="s">
        <v>85</v>
      </c>
      <c r="E9" s="186"/>
      <c r="F9" s="186"/>
      <c r="G9" s="186"/>
      <c r="H9" s="186"/>
      <c r="I9" s="186"/>
      <c r="J9" s="186"/>
      <c r="K9" s="186"/>
    </row>
    <row r="10" spans="1:11">
      <c r="A10" s="181" t="str">
        <f>Table1[[#This Row],[Acronym]]</f>
        <v>ANH</v>
      </c>
      <c r="B10" s="181" t="str">
        <f>Table1[[#This Row],[BON code]]</f>
        <v>CWW12_012TOT_PR24</v>
      </c>
      <c r="C10" s="181" t="str">
        <f>Table1[[#This Row],[Item Description]]</f>
        <v>EA/NRW environmental programme wastewater (WINEP/NEP) - MCERTs monitoring at emergency sewage pumping station overflows (WINEP/NEP) wastewater totex - Total</v>
      </c>
      <c r="D10" s="159" t="s">
        <v>85</v>
      </c>
      <c r="E10" s="186"/>
      <c r="F10" s="186"/>
      <c r="G10" s="186"/>
      <c r="H10" s="186"/>
      <c r="I10" s="186"/>
      <c r="J10" s="186"/>
      <c r="K10" s="186"/>
    </row>
    <row r="11" spans="1:11">
      <c r="A11" s="181" t="str">
        <f>Table1[[#This Row],[Acronym]]</f>
        <v>ANH</v>
      </c>
      <c r="B11" s="181" t="str">
        <f>Table1[[#This Row],[BON code]]</f>
        <v>CWW17_010TOT_PR24</v>
      </c>
      <c r="C11" s="181" t="str">
        <f>Table1[[#This Row],[Item Description]]</f>
        <v>EA/NRW environmental programme wastewater (WINEP/NEP) - MCERTs monitoring at emergency sewage pumping station overflows (WINEP/NEP) wastewater capex - Total</v>
      </c>
      <c r="D11" s="159" t="s">
        <v>85</v>
      </c>
      <c r="E11" s="186"/>
      <c r="F11" s="186"/>
      <c r="G11" s="186"/>
      <c r="H11" s="186"/>
      <c r="I11" s="186"/>
      <c r="J11" s="186"/>
      <c r="K11" s="186"/>
    </row>
    <row r="12" spans="1:11">
      <c r="A12" s="181" t="str">
        <f>Table1[[#This Row],[Acronym]]</f>
        <v>ANH</v>
      </c>
      <c r="B12" s="181" t="str">
        <f>Table1[[#This Row],[BON code]]</f>
        <v>CWW17_011TOT_PR24</v>
      </c>
      <c r="C12" s="181" t="str">
        <f>Table1[[#This Row],[Item Description]]</f>
        <v>EA/NRW environmental programme wastewater (WINEP/NEP) - MCERTs monitoring at emergency sewage pumping station overflows (WINEP/NEP) wastewater opex - Total</v>
      </c>
      <c r="D12" s="159" t="s">
        <v>85</v>
      </c>
      <c r="E12" s="186"/>
      <c r="F12" s="186"/>
      <c r="G12" s="186"/>
      <c r="H12" s="186"/>
      <c r="I12" s="186"/>
      <c r="J12" s="186"/>
      <c r="K12" s="186"/>
    </row>
    <row r="13" spans="1:11">
      <c r="A13" s="181" t="str">
        <f>Table1[[#This Row],[Acronym]]</f>
        <v>ANH</v>
      </c>
      <c r="B13" s="181" t="str">
        <f>Table1[[#This Row],[BON code]]</f>
        <v>CWW17_012TOT_PR24</v>
      </c>
      <c r="C13" s="181" t="str">
        <f>Table1[[#This Row],[Item Description]]</f>
        <v>EA/NRW environmental programme wastewater (WINEP/NEP) - MCERTs monitoring at emergency sewage pumping station overflows (WINEP/NEP) wastewater totex - Total</v>
      </c>
      <c r="D13" s="159" t="s">
        <v>85</v>
      </c>
      <c r="E13" s="186"/>
      <c r="F13" s="186"/>
      <c r="G13" s="186"/>
      <c r="H13" s="186"/>
      <c r="I13" s="186"/>
      <c r="J13" s="186"/>
      <c r="K13" s="186"/>
    </row>
    <row r="14" spans="1:11">
      <c r="A14" s="181" t="str">
        <f>Table1[[#This Row],[Acronym]]</f>
        <v>ANH</v>
      </c>
      <c r="B14" s="181" t="str">
        <f>Table1[[#This Row],[BON code]]</f>
        <v>CWW20_050_PR24</v>
      </c>
      <c r="C14" s="181" t="str">
        <f>Table1[[#This Row],[Item Description]]</f>
        <v>Network / Storm overflow data - Number of new MCERTs event duration monitors installed at SPS emergency overflows</v>
      </c>
      <c r="D14" s="159" t="s">
        <v>99</v>
      </c>
      <c r="E14" s="186"/>
      <c r="F14" s="186"/>
      <c r="G14" s="186"/>
      <c r="H14" s="186"/>
      <c r="I14" s="186"/>
      <c r="J14" s="186"/>
      <c r="K14" s="189"/>
    </row>
    <row r="15" spans="1:11">
      <c r="A15" s="181" t="str">
        <f>Table1[[#This Row],[Acronym]]</f>
        <v>ANH</v>
      </c>
      <c r="B15" s="181" t="str">
        <f>Table1[[#This Row],[BON code]]</f>
        <v>CWW20_051_PR24</v>
      </c>
      <c r="C15" s="181" t="str">
        <f>Table1[[#This Row],[Item Description]]</f>
        <v>Network / Storm overflow data - Number of new MCERTs flow monitors (PFF) installed at SPSs with combined emergency and storm overflows.</v>
      </c>
      <c r="D15" s="159" t="s">
        <v>99</v>
      </c>
      <c r="E15" s="186"/>
      <c r="F15" s="186"/>
      <c r="G15" s="186"/>
      <c r="H15" s="186"/>
      <c r="I15" s="186"/>
      <c r="J15" s="186"/>
      <c r="K15" s="187"/>
    </row>
    <row r="16" spans="1:11">
      <c r="A16" s="181" t="str">
        <f>Table1[[#This Row],[Acronym]]</f>
        <v>ANH</v>
      </c>
      <c r="B16" s="181" t="str">
        <f>Table1[[#This Row],[BON code]]</f>
        <v>CWW20A_050_PR24</v>
      </c>
      <c r="C16" s="181" t="str">
        <f>Table1[[#This Row],[Item Description]]</f>
        <v>Network / Storm overflow data - Number of new MCERTs event duration monitors installed at SPS emergency overflows</v>
      </c>
      <c r="D16" s="159" t="s">
        <v>99</v>
      </c>
      <c r="E16" s="186"/>
      <c r="F16" s="186"/>
      <c r="G16" s="186"/>
      <c r="H16" s="186"/>
      <c r="I16" s="186"/>
      <c r="J16" s="186"/>
      <c r="K16" s="187"/>
    </row>
    <row r="17" spans="1:11">
      <c r="A17" s="181" t="str">
        <f>Table1[[#This Row],[Acronym]]</f>
        <v>ANH</v>
      </c>
      <c r="B17" s="181" t="str">
        <f>Table1[[#This Row],[BON code]]</f>
        <v>CWW20A_051_PR24</v>
      </c>
      <c r="C17" s="181" t="str">
        <f>Table1[[#This Row],[Item Description]]</f>
        <v>Network / Storm overflow data - Number of new MCERTs flow monitors (PFF) installed at SPSs with combined emergency and storm overflows.</v>
      </c>
      <c r="D17" s="159" t="s">
        <v>99</v>
      </c>
      <c r="E17" s="190"/>
      <c r="F17" s="190"/>
      <c r="G17" s="190"/>
      <c r="H17" s="190"/>
      <c r="I17" s="190"/>
      <c r="J17" s="190"/>
      <c r="K17" s="187"/>
    </row>
    <row r="18" spans="1:11">
      <c r="A18" s="181" t="str">
        <f>Table1[[#This Row],[Acronym]]</f>
        <v>ANH</v>
      </c>
      <c r="B18" s="181" t="str">
        <f>Table1[[#This Row],[BON code]]</f>
        <v>CWW1A_015TOT_PR24</v>
      </c>
      <c r="C18" s="181" t="str">
        <f>Table1[[#This Row],[Item Description]]</f>
        <v>Net totex - Total</v>
      </c>
      <c r="D18" s="159" t="s">
        <v>85</v>
      </c>
      <c r="E18" s="190"/>
      <c r="F18" s="190"/>
      <c r="G18" s="190"/>
      <c r="H18" s="190"/>
      <c r="I18" s="190"/>
      <c r="J18" s="190"/>
      <c r="K18" s="187"/>
    </row>
    <row r="19" spans="1:11">
      <c r="A19" s="181" t="str">
        <f>Table1[[#This Row],[Acronym]]</f>
        <v>WSH</v>
      </c>
      <c r="B19" s="181" t="str">
        <f>Table1[[#This Row],[BON code]]</f>
        <v>CWW3_010TOT_PR24</v>
      </c>
      <c r="C19" s="181" t="str">
        <f>Table1[[#This Row],[Item Description]]</f>
        <v>EA/NRW environmental programme wastewater (WINEP/NEP) - MCERTs monitoring at emergency sewage pumping station overflows (WINEP/NEP) wastewater capex - Total</v>
      </c>
      <c r="D19" s="159" t="s">
        <v>85</v>
      </c>
      <c r="E19" s="186"/>
      <c r="F19" s="186"/>
      <c r="G19" s="186"/>
      <c r="H19" s="186"/>
      <c r="I19" s="186"/>
      <c r="J19" s="186"/>
      <c r="K19" s="187"/>
    </row>
    <row r="20" spans="1:11">
      <c r="A20" s="181" t="str">
        <f>Table1[[#This Row],[Acronym]]</f>
        <v>WSH</v>
      </c>
      <c r="B20" s="181" t="str">
        <f>Table1[[#This Row],[BON code]]</f>
        <v>CWW3_011TOT_PR24</v>
      </c>
      <c r="C20" s="181" t="str">
        <f>Table1[[#This Row],[Item Description]]</f>
        <v>EA/NRW environmental programme wastewater (WINEP/NEP) - MCERTs monitoring at emergency sewage pumping station overflows (WINEP/NEP) wastewater opex - Total</v>
      </c>
      <c r="D20" s="159" t="s">
        <v>85</v>
      </c>
      <c r="E20" s="186"/>
      <c r="F20" s="186"/>
      <c r="G20" s="186"/>
      <c r="H20" s="186"/>
      <c r="I20" s="186"/>
      <c r="J20" s="186"/>
      <c r="K20" s="187"/>
    </row>
    <row r="21" spans="1:11">
      <c r="A21" s="181" t="str">
        <f>Table1[[#This Row],[Acronym]]</f>
        <v>WSH</v>
      </c>
      <c r="B21" s="181" t="str">
        <f>Table1[[#This Row],[BON code]]</f>
        <v>CWW3_012TOT_PR24</v>
      </c>
      <c r="C21" s="181" t="str">
        <f>Table1[[#This Row],[Item Description]]</f>
        <v>EA/NRW environmental programme wastewater (WINEP/NEP) - MCERTs monitoring at emergency sewage pumping station overflows (WINEP/NEP) wastewater totex - Total</v>
      </c>
      <c r="D21" s="159" t="s">
        <v>85</v>
      </c>
      <c r="E21" s="186"/>
      <c r="F21" s="186"/>
      <c r="G21" s="186"/>
      <c r="H21" s="186"/>
      <c r="I21" s="186"/>
      <c r="J21" s="186"/>
      <c r="K21" s="187"/>
    </row>
    <row r="22" spans="1:11">
      <c r="A22" s="181" t="str">
        <f>Table1[[#This Row],[Acronym]]</f>
        <v>WSH</v>
      </c>
      <c r="B22" s="181" t="str">
        <f>Table1[[#This Row],[BON code]]</f>
        <v>CWW12_010TOT_PR24</v>
      </c>
      <c r="C22" s="181" t="str">
        <f>Table1[[#This Row],[Item Description]]</f>
        <v>EA/NRW environmental programme wastewater (WINEP/NEP) - MCERTs monitoring at emergency sewage pumping station overflows (WINEP/NEP) wastewater capex - Total</v>
      </c>
      <c r="D22" s="159" t="s">
        <v>85</v>
      </c>
      <c r="E22" s="186"/>
      <c r="F22" s="186"/>
      <c r="G22" s="186"/>
      <c r="H22" s="186"/>
      <c r="I22" s="186"/>
      <c r="J22" s="186"/>
      <c r="K22" s="189"/>
    </row>
    <row r="23" spans="1:11">
      <c r="A23" s="181" t="str">
        <f>Table1[[#This Row],[Acronym]]</f>
        <v>WSH</v>
      </c>
      <c r="B23" s="181" t="str">
        <f>Table1[[#This Row],[BON code]]</f>
        <v>CWW12_011TOT_PR24</v>
      </c>
      <c r="C23" s="181" t="str">
        <f>Table1[[#This Row],[Item Description]]</f>
        <v>EA/NRW environmental programme wastewater (WINEP/NEP) - MCERTs monitoring at emergency sewage pumping station overflows (WINEP/NEP) wastewater opex - Total</v>
      </c>
      <c r="D23" s="159" t="s">
        <v>85</v>
      </c>
      <c r="E23" s="186"/>
      <c r="F23" s="186"/>
      <c r="G23" s="186"/>
      <c r="H23" s="186"/>
      <c r="I23" s="186"/>
      <c r="J23" s="186"/>
      <c r="K23" s="187"/>
    </row>
    <row r="24" spans="1:11">
      <c r="A24" s="181" t="str">
        <f>Table1[[#This Row],[Acronym]]</f>
        <v>WSH</v>
      </c>
      <c r="B24" s="181" t="str">
        <f>Table1[[#This Row],[BON code]]</f>
        <v>CWW12_012TOT_PR24</v>
      </c>
      <c r="C24" s="181" t="str">
        <f>Table1[[#This Row],[Item Description]]</f>
        <v>EA/NRW environmental programme wastewater (WINEP/NEP) - MCERTs monitoring at emergency sewage pumping station overflows (WINEP/NEP) wastewater totex - Total</v>
      </c>
      <c r="D24" s="159" t="s">
        <v>85</v>
      </c>
      <c r="E24" s="186"/>
      <c r="F24" s="186"/>
      <c r="G24" s="186"/>
      <c r="H24" s="186"/>
      <c r="I24" s="186"/>
      <c r="J24" s="186"/>
      <c r="K24" s="187"/>
    </row>
    <row r="25" spans="1:11">
      <c r="A25" s="181" t="str">
        <f>Table1[[#This Row],[Acronym]]</f>
        <v>WSH</v>
      </c>
      <c r="B25" s="181" t="str">
        <f>Table1[[#This Row],[BON code]]</f>
        <v>CWW17_010TOT_PR24</v>
      </c>
      <c r="C25" s="181" t="str">
        <f>Table1[[#This Row],[Item Description]]</f>
        <v>EA/NRW environmental programme wastewater (WINEP/NEP) - MCERTs monitoring at emergency sewage pumping station overflows (WINEP/NEP) wastewater capex - Total</v>
      </c>
      <c r="D25" s="159" t="s">
        <v>85</v>
      </c>
      <c r="E25" s="190"/>
      <c r="F25" s="190"/>
      <c r="G25" s="190"/>
      <c r="H25" s="190"/>
      <c r="I25" s="190"/>
      <c r="J25" s="190"/>
      <c r="K25" s="187"/>
    </row>
    <row r="26" spans="1:11">
      <c r="A26" s="181" t="str">
        <f>Table1[[#This Row],[Acronym]]</f>
        <v>WSH</v>
      </c>
      <c r="B26" s="181" t="str">
        <f>Table1[[#This Row],[BON code]]</f>
        <v>CWW17_011TOT_PR24</v>
      </c>
      <c r="C26" s="181" t="str">
        <f>Table1[[#This Row],[Item Description]]</f>
        <v>EA/NRW environmental programme wastewater (WINEP/NEP) - MCERTs monitoring at emergency sewage pumping station overflows (WINEP/NEP) wastewater opex - Total</v>
      </c>
      <c r="D26" s="159" t="s">
        <v>85</v>
      </c>
      <c r="E26" s="190"/>
      <c r="F26" s="190"/>
      <c r="G26" s="190"/>
      <c r="H26" s="190"/>
      <c r="I26" s="190"/>
      <c r="J26" s="190"/>
      <c r="K26" s="187"/>
    </row>
    <row r="27" spans="1:11">
      <c r="A27" s="181" t="str">
        <f>Table1[[#This Row],[Acronym]]</f>
        <v>WSH</v>
      </c>
      <c r="B27" s="181" t="str">
        <f>Table1[[#This Row],[BON code]]</f>
        <v>CWW17_012TOT_PR24</v>
      </c>
      <c r="C27" s="181" t="str">
        <f>Table1[[#This Row],[Item Description]]</f>
        <v>EA/NRW environmental programme wastewater (WINEP/NEP) - MCERTs monitoring at emergency sewage pumping station overflows (WINEP/NEP) wastewater totex - Total</v>
      </c>
      <c r="D27" s="159" t="s">
        <v>99</v>
      </c>
      <c r="E27" s="186"/>
      <c r="F27" s="186"/>
      <c r="G27" s="186"/>
      <c r="H27" s="186"/>
      <c r="I27" s="186"/>
      <c r="J27" s="186"/>
      <c r="K27" s="187"/>
    </row>
    <row r="28" spans="1:11">
      <c r="A28" s="181" t="str">
        <f>Table1[[#This Row],[Acronym]]</f>
        <v>WSH</v>
      </c>
      <c r="B28" s="181" t="str">
        <f>Table1[[#This Row],[BON code]]</f>
        <v>CWW20_050_PR24</v>
      </c>
      <c r="C28" s="181" t="str">
        <f>Table1[[#This Row],[Item Description]]</f>
        <v>Network / Storm overflow data - Number of new MCERTs event duration monitors installed at SPS emergency overflows</v>
      </c>
      <c r="D28" s="159" t="s">
        <v>99</v>
      </c>
      <c r="E28" s="186"/>
      <c r="F28" s="186"/>
      <c r="G28" s="186"/>
      <c r="H28" s="186"/>
      <c r="I28" s="186"/>
      <c r="J28" s="186"/>
      <c r="K28" s="187"/>
    </row>
    <row r="29" spans="1:11">
      <c r="A29" s="181" t="str">
        <f>Table1[[#This Row],[Acronym]]</f>
        <v>WSH</v>
      </c>
      <c r="B29" s="181" t="str">
        <f>Table1[[#This Row],[BON code]]</f>
        <v>CWW20_051_PR24</v>
      </c>
      <c r="C29" s="181" t="str">
        <f>Table1[[#This Row],[Item Description]]</f>
        <v>Network / Storm overflow data - Number of new MCERTs flow monitors (PFF) installed at SPSs with combined emergency and storm overflows.</v>
      </c>
      <c r="D29" s="159" t="s">
        <v>99</v>
      </c>
      <c r="E29" s="186"/>
      <c r="F29" s="186"/>
      <c r="G29" s="186"/>
      <c r="H29" s="186"/>
      <c r="I29" s="186"/>
      <c r="J29" s="186"/>
      <c r="K29" s="187"/>
    </row>
    <row r="30" spans="1:11">
      <c r="A30" s="181" t="str">
        <f>Table1[[#This Row],[Acronym]]</f>
        <v>WSH</v>
      </c>
      <c r="B30" s="181" t="str">
        <f>Table1[[#This Row],[BON code]]</f>
        <v>CWW20A_050_PR24</v>
      </c>
      <c r="C30" s="181" t="str">
        <f>Table1[[#This Row],[Item Description]]</f>
        <v>Network / Storm overflow data - Number of new MCERTs event duration monitors installed at SPS emergency overflows</v>
      </c>
      <c r="D30" s="159" t="s">
        <v>99</v>
      </c>
      <c r="E30" s="186"/>
      <c r="F30" s="186"/>
      <c r="G30" s="186"/>
      <c r="H30" s="186"/>
      <c r="I30" s="186"/>
      <c r="J30" s="186"/>
      <c r="K30" s="189"/>
    </row>
    <row r="31" spans="1:11">
      <c r="A31" s="181" t="str">
        <f>Table1[[#This Row],[Acronym]]</f>
        <v>WSH</v>
      </c>
      <c r="B31" s="181" t="str">
        <f>Table1[[#This Row],[BON code]]</f>
        <v>CWW20A_051_PR24</v>
      </c>
      <c r="C31" s="181" t="str">
        <f>Table1[[#This Row],[Item Description]]</f>
        <v>Network / Storm overflow data - Number of new MCERTs flow monitors (PFF) installed at SPSs with combined emergency and storm overflows.</v>
      </c>
      <c r="D31" s="159" t="s">
        <v>85</v>
      </c>
      <c r="E31" s="186"/>
      <c r="F31" s="186"/>
      <c r="G31" s="186"/>
      <c r="H31" s="186"/>
      <c r="I31" s="186"/>
      <c r="J31" s="186"/>
      <c r="K31" s="187"/>
    </row>
    <row r="32" spans="1:11">
      <c r="A32" s="181" t="str">
        <f>Table1[[#This Row],[Acronym]]</f>
        <v>WSH</v>
      </c>
      <c r="B32" s="181" t="str">
        <f>Table1[[#This Row],[BON code]]</f>
        <v>CWW1A_015TOT_PR24</v>
      </c>
      <c r="C32" s="181" t="str">
        <f>Table1[[#This Row],[Item Description]]</f>
        <v>Net totex - Total</v>
      </c>
      <c r="D32" s="159" t="s">
        <v>85</v>
      </c>
      <c r="E32" s="186"/>
      <c r="F32" s="186"/>
      <c r="G32" s="186"/>
      <c r="H32" s="186"/>
      <c r="I32" s="186"/>
      <c r="J32" s="186"/>
      <c r="K32" s="187"/>
    </row>
    <row r="33" spans="1:12">
      <c r="A33" s="181" t="str">
        <f>Table1[[#This Row],[Acronym]]</f>
        <v>HDD</v>
      </c>
      <c r="B33" s="181" t="str">
        <f>Table1[[#This Row],[BON code]]</f>
        <v>CWW3_010TOT_PR24</v>
      </c>
      <c r="C33" s="181" t="str">
        <f>Table1[[#This Row],[Item Description]]</f>
        <v>EA/NRW environmental programme wastewater (WINEP/NEP) - MCERTs monitoring at emergency sewage pumping station overflows (WINEP/NEP) wastewater capex - Total</v>
      </c>
      <c r="D33" s="159" t="s">
        <v>85</v>
      </c>
      <c r="E33" s="190"/>
      <c r="F33" s="190"/>
      <c r="G33" s="190"/>
      <c r="H33" s="190"/>
      <c r="I33" s="190"/>
      <c r="J33" s="190"/>
      <c r="K33" s="187"/>
    </row>
    <row r="34" spans="1:12">
      <c r="A34" s="181" t="str">
        <f>Table1[[#This Row],[Acronym]]</f>
        <v>HDD</v>
      </c>
      <c r="B34" s="181" t="str">
        <f>Table1[[#This Row],[BON code]]</f>
        <v>CWW3_011TOT_PR24</v>
      </c>
      <c r="C34" s="181" t="str">
        <f>Table1[[#This Row],[Item Description]]</f>
        <v>EA/NRW environmental programme wastewater (WINEP/NEP) - MCERTs monitoring at emergency sewage pumping station overflows (WINEP/NEP) wastewater opex - Total</v>
      </c>
      <c r="D34" s="159" t="s">
        <v>85</v>
      </c>
      <c r="E34" s="190"/>
      <c r="F34" s="190"/>
      <c r="G34" s="190"/>
      <c r="H34" s="190"/>
      <c r="I34" s="190"/>
      <c r="J34" s="190"/>
      <c r="K34" s="187"/>
    </row>
    <row r="35" spans="1:12">
      <c r="A35" s="181" t="str">
        <f>Table1[[#This Row],[Acronym]]</f>
        <v>HDD</v>
      </c>
      <c r="B35" s="181" t="str">
        <f>Table1[[#This Row],[BON code]]</f>
        <v>CWW3_012TOT_PR24</v>
      </c>
      <c r="C35" s="181" t="str">
        <f>Table1[[#This Row],[Item Description]]</f>
        <v>EA/NRW environmental programme wastewater (WINEP/NEP) - MCERTs monitoring at emergency sewage pumping station overflows (WINEP/NEP) wastewater totex - Total</v>
      </c>
      <c r="D35" s="159" t="s">
        <v>85</v>
      </c>
      <c r="E35" s="186"/>
      <c r="F35" s="186"/>
      <c r="G35" s="186"/>
      <c r="H35" s="186"/>
      <c r="I35" s="186"/>
      <c r="J35" s="186"/>
      <c r="K35" s="187"/>
    </row>
    <row r="36" spans="1:12">
      <c r="A36" s="181" t="str">
        <f>Table1[[#This Row],[Acronym]]</f>
        <v>HDD</v>
      </c>
      <c r="B36" s="181" t="str">
        <f>Table1[[#This Row],[BON code]]</f>
        <v>CWW12_010TOT_PR24</v>
      </c>
      <c r="C36" s="181" t="str">
        <f>Table1[[#This Row],[Item Description]]</f>
        <v>EA/NRW environmental programme wastewater (WINEP/NEP) - MCERTs monitoring at emergency sewage pumping station overflows (WINEP/NEP) wastewater capex - Total</v>
      </c>
      <c r="D36" s="159" t="s">
        <v>85</v>
      </c>
      <c r="E36" s="186"/>
      <c r="F36" s="186"/>
      <c r="G36" s="186"/>
      <c r="H36" s="186"/>
      <c r="I36" s="186"/>
      <c r="J36" s="186"/>
      <c r="K36" s="187"/>
    </row>
    <row r="37" spans="1:12">
      <c r="A37" s="181" t="str">
        <f>Table1[[#This Row],[Acronym]]</f>
        <v>HDD</v>
      </c>
      <c r="B37" s="181" t="str">
        <f>Table1[[#This Row],[BON code]]</f>
        <v>CWW12_011TOT_PR24</v>
      </c>
      <c r="C37" s="181" t="str">
        <f>Table1[[#This Row],[Item Description]]</f>
        <v>EA/NRW environmental programme wastewater (WINEP/NEP) - MCERTs monitoring at emergency sewage pumping station overflows (WINEP/NEP) wastewater opex - Total</v>
      </c>
      <c r="D37" s="159" t="s">
        <v>85</v>
      </c>
      <c r="E37" s="186"/>
      <c r="F37" s="186"/>
      <c r="G37" s="186"/>
      <c r="H37" s="186"/>
      <c r="I37" s="186"/>
      <c r="J37" s="186"/>
      <c r="K37" s="187"/>
    </row>
    <row r="38" spans="1:12">
      <c r="A38" s="181" t="str">
        <f>Table1[[#This Row],[Acronym]]</f>
        <v>HDD</v>
      </c>
      <c r="B38" s="181" t="str">
        <f>Table1[[#This Row],[BON code]]</f>
        <v>CWW12_012TOT_PR24</v>
      </c>
      <c r="C38" s="181" t="str">
        <f>Table1[[#This Row],[Item Description]]</f>
        <v>EA/NRW environmental programme wastewater (WINEP/NEP) - MCERTs monitoring at emergency sewage pumping station overflows (WINEP/NEP) wastewater totex - Total</v>
      </c>
      <c r="D38" s="159" t="s">
        <v>85</v>
      </c>
      <c r="E38" s="186"/>
      <c r="F38" s="186"/>
      <c r="G38" s="186"/>
      <c r="H38" s="186"/>
      <c r="I38" s="186"/>
      <c r="J38" s="186"/>
      <c r="K38" s="189"/>
    </row>
    <row r="39" spans="1:12">
      <c r="A39" s="181" t="str">
        <f>Table1[[#This Row],[Acronym]]</f>
        <v>HDD</v>
      </c>
      <c r="B39" s="181" t="str">
        <f>Table1[[#This Row],[BON code]]</f>
        <v>CWW17_010TOT_PR24</v>
      </c>
      <c r="C39" s="181" t="str">
        <f>Table1[[#This Row],[Item Description]]</f>
        <v>EA/NRW environmental programme wastewater (WINEP/NEP) - MCERTs monitoring at emergency sewage pumping station overflows (WINEP/NEP) wastewater capex - Total</v>
      </c>
      <c r="D39" s="159" t="s">
        <v>85</v>
      </c>
      <c r="E39" s="186"/>
      <c r="F39" s="186"/>
      <c r="G39" s="186"/>
      <c r="H39" s="186"/>
      <c r="I39" s="186"/>
      <c r="J39" s="186"/>
      <c r="K39" s="187"/>
    </row>
    <row r="40" spans="1:12">
      <c r="A40" s="181" t="str">
        <f>Table1[[#This Row],[Acronym]]</f>
        <v>HDD</v>
      </c>
      <c r="B40" s="181" t="str">
        <f>Table1[[#This Row],[BON code]]</f>
        <v>CWW17_011TOT_PR24</v>
      </c>
      <c r="C40" s="181" t="str">
        <f>Table1[[#This Row],[Item Description]]</f>
        <v>EA/NRW environmental programme wastewater (WINEP/NEP) - MCERTs monitoring at emergency sewage pumping station overflows (WINEP/NEP) wastewater opex - Total</v>
      </c>
      <c r="D40" s="159" t="s">
        <v>99</v>
      </c>
      <c r="E40" s="186"/>
      <c r="F40" s="186"/>
      <c r="G40" s="186"/>
      <c r="H40" s="186"/>
      <c r="I40" s="186"/>
      <c r="J40" s="186"/>
      <c r="K40" s="187"/>
    </row>
    <row r="41" spans="1:12">
      <c r="A41" s="181" t="str">
        <f>Table1[[#This Row],[Acronym]]</f>
        <v>HDD</v>
      </c>
      <c r="B41" s="181" t="str">
        <f>Table1[[#This Row],[BON code]]</f>
        <v>CWW17_012TOT_PR24</v>
      </c>
      <c r="C41" s="181" t="str">
        <f>Table1[[#This Row],[Item Description]]</f>
        <v>EA/NRW environmental programme wastewater (WINEP/NEP) - MCERTs monitoring at emergency sewage pumping station overflows (WINEP/NEP) wastewater totex - Total</v>
      </c>
      <c r="D41" s="159" t="s">
        <v>99</v>
      </c>
      <c r="E41" s="190"/>
      <c r="F41" s="190"/>
      <c r="G41" s="190"/>
      <c r="H41" s="190"/>
      <c r="I41" s="190"/>
      <c r="J41" s="190"/>
      <c r="K41" s="187"/>
    </row>
    <row r="42" spans="1:12">
      <c r="A42" s="181" t="str">
        <f>Table1[[#This Row],[Acronym]]</f>
        <v>HDD</v>
      </c>
      <c r="B42" s="181" t="str">
        <f>Table1[[#This Row],[BON code]]</f>
        <v>CWW20_050_PR24</v>
      </c>
      <c r="C42" s="181" t="str">
        <f>Table1[[#This Row],[Item Description]]</f>
        <v>Network / Storm overflow data - Number of new MCERTs event duration monitors installed at SPS emergency overflows</v>
      </c>
      <c r="D42" s="159" t="s">
        <v>99</v>
      </c>
      <c r="E42" s="190"/>
      <c r="F42" s="190"/>
      <c r="G42" s="190"/>
      <c r="H42" s="190"/>
      <c r="I42" s="190"/>
      <c r="J42" s="190"/>
      <c r="K42" s="187"/>
    </row>
    <row r="43" spans="1:12">
      <c r="A43" s="181" t="str">
        <f>Table1[[#This Row],[Acronym]]</f>
        <v>HDD</v>
      </c>
      <c r="B43" s="181" t="str">
        <f>Table1[[#This Row],[BON code]]</f>
        <v>CWW20_051_PR24</v>
      </c>
      <c r="C43" s="181" t="str">
        <f>Table1[[#This Row],[Item Description]]</f>
        <v>Network / Storm overflow data - Number of new MCERTs flow monitors (PFF) installed at SPSs with combined emergency and storm overflows.</v>
      </c>
      <c r="D43" s="159" t="s">
        <v>99</v>
      </c>
      <c r="E43" s="186"/>
      <c r="F43" s="186"/>
      <c r="G43" s="186"/>
      <c r="H43" s="186"/>
      <c r="I43" s="186"/>
      <c r="J43" s="186"/>
      <c r="K43" s="187"/>
    </row>
    <row r="44" spans="1:12">
      <c r="A44" s="181" t="str">
        <f>Table1[[#This Row],[Acronym]]</f>
        <v>HDD</v>
      </c>
      <c r="B44" s="181" t="str">
        <f>Table1[[#This Row],[BON code]]</f>
        <v>CWW20A_050_PR24</v>
      </c>
      <c r="C44" s="181" t="str">
        <f>Table1[[#This Row],[Item Description]]</f>
        <v>Network / Storm overflow data - Number of new MCERTs event duration monitors installed at SPS emergency overflows</v>
      </c>
      <c r="D44" s="159" t="s">
        <v>85</v>
      </c>
      <c r="E44" s="186"/>
      <c r="F44" s="186"/>
      <c r="G44" s="186"/>
      <c r="H44" s="186"/>
      <c r="I44" s="186"/>
      <c r="J44" s="186"/>
      <c r="K44" s="187"/>
    </row>
    <row r="45" spans="1:12">
      <c r="A45" s="181" t="str">
        <f>Table1[[#This Row],[Acronym]]</f>
        <v>HDD</v>
      </c>
      <c r="B45" s="181" t="str">
        <f>Table1[[#This Row],[BON code]]</f>
        <v>CWW20A_051_PR24</v>
      </c>
      <c r="C45" s="181" t="str">
        <f>Table1[[#This Row],[Item Description]]</f>
        <v>Network / Storm overflow data - Number of new MCERTs flow monitors (PFF) installed at SPSs with combined emergency and storm overflows.</v>
      </c>
      <c r="D45" s="159" t="s">
        <v>85</v>
      </c>
      <c r="E45" s="186"/>
      <c r="F45" s="186"/>
      <c r="G45" s="186"/>
      <c r="H45" s="186"/>
      <c r="I45" s="186"/>
      <c r="J45" s="186"/>
      <c r="K45" s="187"/>
    </row>
    <row r="46" spans="1:12">
      <c r="A46" s="181" t="str">
        <f>Table1[[#This Row],[Acronym]]</f>
        <v>HDD</v>
      </c>
      <c r="B46" s="181" t="str">
        <f>Table1[[#This Row],[BON code]]</f>
        <v>CWW1A_015TOT_PR24</v>
      </c>
      <c r="C46" s="181" t="str">
        <f>Table1[[#This Row],[Item Description]]</f>
        <v>Net totex - Total</v>
      </c>
      <c r="D46" s="159" t="s">
        <v>85</v>
      </c>
      <c r="E46" s="186"/>
      <c r="F46" s="186"/>
      <c r="G46" s="186"/>
      <c r="H46" s="186"/>
      <c r="I46" s="186"/>
      <c r="J46" s="186"/>
      <c r="K46" s="189"/>
    </row>
    <row r="47" spans="1:12">
      <c r="A47" s="181" t="str">
        <f>Table1[[#This Row],[Acronym]]</f>
        <v>NES</v>
      </c>
      <c r="B47" s="181" t="str">
        <f>Table1[[#This Row],[BON code]]</f>
        <v>CWW3_010TOT_PR24</v>
      </c>
      <c r="C47" s="181" t="str">
        <f>Table1[[#This Row],[Item Description]]</f>
        <v>EA/NRW environmental programme wastewater (WINEP/NEP) - MCERTs monitoring at emergency sewage pumping station overflows (WINEP/NEP) wastewater capex - Total</v>
      </c>
      <c r="D47" s="159" t="s">
        <v>85</v>
      </c>
      <c r="E47" s="186"/>
      <c r="F47" s="186"/>
      <c r="G47" s="186">
        <v>6.7145999999999999</v>
      </c>
      <c r="H47" s="186">
        <v>6.7145999999999999</v>
      </c>
      <c r="I47" s="186">
        <v>6.7145999999999999</v>
      </c>
      <c r="J47" s="186">
        <v>6.7145999999999999</v>
      </c>
      <c r="K47" s="186">
        <v>6.7145999999999999</v>
      </c>
      <c r="L47" s="2" t="s">
        <v>122</v>
      </c>
    </row>
    <row r="48" spans="1:12">
      <c r="A48" s="181" t="str">
        <f>Table1[[#This Row],[Acronym]]</f>
        <v>NES</v>
      </c>
      <c r="B48" s="181" t="str">
        <f>Table1[[#This Row],[BON code]]</f>
        <v>CWW3_011TOT_PR24</v>
      </c>
      <c r="C48" s="181" t="str">
        <f>Table1[[#This Row],[Item Description]]</f>
        <v>EA/NRW environmental programme wastewater (WINEP/NEP) - MCERTs monitoring at emergency sewage pumping station overflows (WINEP/NEP) wastewater opex - Total</v>
      </c>
      <c r="D48" s="159" t="s">
        <v>85</v>
      </c>
      <c r="E48" s="186"/>
      <c r="F48" s="186"/>
      <c r="G48" s="186"/>
      <c r="H48" s="186">
        <v>1.3772500000000001</v>
      </c>
      <c r="I48" s="186">
        <v>1.3772500000000001</v>
      </c>
      <c r="J48" s="186">
        <v>1.3772500000000001</v>
      </c>
      <c r="K48" s="186">
        <v>1.3772500000000001</v>
      </c>
      <c r="L48" s="2" t="s">
        <v>123</v>
      </c>
    </row>
    <row r="49" spans="1:11">
      <c r="A49" s="181" t="str">
        <f>Table1[[#This Row],[Acronym]]</f>
        <v>NES</v>
      </c>
      <c r="B49" s="181" t="str">
        <f>Table1[[#This Row],[BON code]]</f>
        <v>CWW3_012TOT_PR24</v>
      </c>
      <c r="C49" s="181" t="str">
        <f>Table1[[#This Row],[Item Description]]</f>
        <v>EA/NRW environmental programme wastewater (WINEP/NEP) - MCERTs monitoring at emergency sewage pumping station overflows (WINEP/NEP) wastewater totex - Total</v>
      </c>
      <c r="D49" s="159" t="s">
        <v>85</v>
      </c>
      <c r="E49" s="190"/>
      <c r="F49" s="190"/>
      <c r="G49" s="190">
        <v>6.7145999999999999</v>
      </c>
      <c r="H49" s="190">
        <v>8.0918500000000009</v>
      </c>
      <c r="I49" s="190">
        <v>8.0918500000000009</v>
      </c>
      <c r="J49" s="190">
        <v>8.0918500000000009</v>
      </c>
      <c r="K49" s="190">
        <v>8.0918500000000009</v>
      </c>
    </row>
    <row r="50" spans="1:11">
      <c r="A50" s="181" t="str">
        <f>Table1[[#This Row],[Acronym]]</f>
        <v>NES</v>
      </c>
      <c r="B50" s="181" t="str">
        <f>Table1[[#This Row],[BON code]]</f>
        <v>CWW12_010TOT_PR24</v>
      </c>
      <c r="C50" s="181" t="str">
        <f>Table1[[#This Row],[Item Description]]</f>
        <v>EA/NRW environmental programme wastewater (WINEP/NEP) - MCERTs monitoring at emergency sewage pumping station overflows (WINEP/NEP) wastewater capex - Total</v>
      </c>
      <c r="D50" s="159" t="s">
        <v>85</v>
      </c>
      <c r="E50" s="190"/>
      <c r="F50" s="190"/>
      <c r="G50" s="190"/>
      <c r="H50" s="190"/>
      <c r="I50" s="190"/>
      <c r="J50" s="190"/>
      <c r="K50" s="187"/>
    </row>
    <row r="51" spans="1:11">
      <c r="A51" s="181" t="str">
        <f>Table1[[#This Row],[Acronym]]</f>
        <v>NES</v>
      </c>
      <c r="B51" s="181" t="str">
        <f>Table1[[#This Row],[BON code]]</f>
        <v>CWW12_011TOT_PR24</v>
      </c>
      <c r="C51" s="181" t="str">
        <f>Table1[[#This Row],[Item Description]]</f>
        <v>EA/NRW environmental programme wastewater (WINEP/NEP) - MCERTs monitoring at emergency sewage pumping station overflows (WINEP/NEP) wastewater opex - Total</v>
      </c>
      <c r="D51" s="159" t="s">
        <v>85</v>
      </c>
      <c r="E51" s="186"/>
      <c r="F51" s="186"/>
      <c r="G51" s="186"/>
      <c r="H51" s="186"/>
      <c r="I51" s="186"/>
      <c r="J51" s="186"/>
      <c r="K51" s="187"/>
    </row>
    <row r="52" spans="1:11">
      <c r="A52" s="181" t="str">
        <f>Table1[[#This Row],[Acronym]]</f>
        <v>NES</v>
      </c>
      <c r="B52" s="181" t="str">
        <f>Table1[[#This Row],[BON code]]</f>
        <v>CWW12_012TOT_PR24</v>
      </c>
      <c r="C52" s="181" t="str">
        <f>Table1[[#This Row],[Item Description]]</f>
        <v>EA/NRW environmental programme wastewater (WINEP/NEP) - MCERTs monitoring at emergency sewage pumping station overflows (WINEP/NEP) wastewater totex - Total</v>
      </c>
      <c r="D52" s="159" t="s">
        <v>85</v>
      </c>
      <c r="E52" s="186"/>
      <c r="F52" s="186"/>
      <c r="G52" s="186"/>
      <c r="H52" s="186"/>
      <c r="I52" s="186"/>
      <c r="J52" s="186"/>
      <c r="K52" s="187"/>
    </row>
    <row r="53" spans="1:11">
      <c r="A53" s="181" t="str">
        <f>Table1[[#This Row],[Acronym]]</f>
        <v>NES</v>
      </c>
      <c r="B53" s="181" t="str">
        <f>Table1[[#This Row],[BON code]]</f>
        <v>CWW17_010TOT_PR24</v>
      </c>
      <c r="C53" s="181" t="str">
        <f>Table1[[#This Row],[Item Description]]</f>
        <v>EA/NRW environmental programme wastewater (WINEP/NEP) - MCERTs monitoring at emergency sewage pumping station overflows (WINEP/NEP) wastewater capex - Total</v>
      </c>
      <c r="D53" s="159" t="s">
        <v>99</v>
      </c>
      <c r="E53" s="186"/>
      <c r="F53" s="186"/>
      <c r="G53" s="186"/>
      <c r="H53" s="186"/>
      <c r="I53" s="186"/>
      <c r="J53" s="186"/>
      <c r="K53" s="187"/>
    </row>
    <row r="54" spans="1:11">
      <c r="A54" s="181" t="str">
        <f>Table1[[#This Row],[Acronym]]</f>
        <v>NES</v>
      </c>
      <c r="B54" s="181" t="str">
        <f>Table1[[#This Row],[BON code]]</f>
        <v>CWW17_011TOT_PR24</v>
      </c>
      <c r="C54" s="181" t="str">
        <f>Table1[[#This Row],[Item Description]]</f>
        <v>EA/NRW environmental programme wastewater (WINEP/NEP) - MCERTs monitoring at emergency sewage pumping station overflows (WINEP/NEP) wastewater opex - Total</v>
      </c>
      <c r="D54" s="159" t="s">
        <v>99</v>
      </c>
      <c r="E54" s="186"/>
      <c r="F54" s="186"/>
      <c r="G54" s="186"/>
      <c r="H54" s="186"/>
      <c r="I54" s="186"/>
      <c r="J54" s="186"/>
      <c r="K54" s="189"/>
    </row>
    <row r="55" spans="1:11">
      <c r="A55" s="181" t="str">
        <f>Table1[[#This Row],[Acronym]]</f>
        <v>NES</v>
      </c>
      <c r="B55" s="181" t="str">
        <f>Table1[[#This Row],[BON code]]</f>
        <v>CWW17_012TOT_PR24</v>
      </c>
      <c r="C55" s="181" t="str">
        <f>Table1[[#This Row],[Item Description]]</f>
        <v>EA/NRW environmental programme wastewater (WINEP/NEP) - MCERTs monitoring at emergency sewage pumping station overflows (WINEP/NEP) wastewater totex - Total</v>
      </c>
      <c r="D55" s="159" t="s">
        <v>99</v>
      </c>
      <c r="E55" s="186"/>
      <c r="F55" s="186"/>
      <c r="G55" s="186"/>
      <c r="H55" s="186"/>
      <c r="I55" s="186"/>
      <c r="J55" s="186"/>
      <c r="K55" s="187"/>
    </row>
    <row r="56" spans="1:11">
      <c r="A56" s="181" t="str">
        <f>Table1[[#This Row],[Acronym]]</f>
        <v>NES</v>
      </c>
      <c r="B56" s="181" t="str">
        <f>Table1[[#This Row],[BON code]]</f>
        <v>CWW20_050_PR24</v>
      </c>
      <c r="C56" s="181" t="str">
        <f>Table1[[#This Row],[Item Description]]</f>
        <v>Network / Storm overflow data - Number of new MCERTs event duration monitors installed at SPS emergency overflows</v>
      </c>
      <c r="D56" s="159" t="s">
        <v>99</v>
      </c>
      <c r="E56" s="186"/>
      <c r="F56" s="186"/>
      <c r="G56" s="186"/>
      <c r="H56" s="186"/>
      <c r="I56" s="186"/>
      <c r="J56" s="186"/>
      <c r="K56" s="187"/>
    </row>
    <row r="57" spans="1:11">
      <c r="A57" s="181" t="str">
        <f>Table1[[#This Row],[Acronym]]</f>
        <v>NES</v>
      </c>
      <c r="B57" s="181" t="str">
        <f>Table1[[#This Row],[BON code]]</f>
        <v>CWW20_051_PR24</v>
      </c>
      <c r="C57" s="181" t="str">
        <f>Table1[[#This Row],[Item Description]]</f>
        <v>Network / Storm overflow data - Number of new MCERTs flow monitors (PFF) installed at SPSs with combined emergency and storm overflows.</v>
      </c>
      <c r="D57" s="159" t="s">
        <v>85</v>
      </c>
      <c r="E57" s="190"/>
      <c r="F57" s="190"/>
      <c r="G57" s="190"/>
      <c r="H57" s="190"/>
      <c r="I57" s="190"/>
      <c r="J57" s="190"/>
      <c r="K57" s="187"/>
    </row>
    <row r="58" spans="1:11">
      <c r="A58" s="181" t="str">
        <f>Table1[[#This Row],[Acronym]]</f>
        <v>NES</v>
      </c>
      <c r="B58" s="181" t="str">
        <f>Table1[[#This Row],[BON code]]</f>
        <v>CWW20A_050_PR24</v>
      </c>
      <c r="C58" s="181" t="str">
        <f>Table1[[#This Row],[Item Description]]</f>
        <v>Network / Storm overflow data - Number of new MCERTs event duration monitors installed at SPS emergency overflows</v>
      </c>
      <c r="D58" s="159" t="s">
        <v>85</v>
      </c>
      <c r="E58" s="190"/>
      <c r="F58" s="190"/>
      <c r="G58" s="190"/>
      <c r="H58" s="190"/>
      <c r="I58" s="190"/>
      <c r="J58" s="190"/>
      <c r="K58" s="187"/>
    </row>
    <row r="59" spans="1:11">
      <c r="A59" s="181" t="str">
        <f>Table1[[#This Row],[Acronym]]</f>
        <v>NES</v>
      </c>
      <c r="B59" s="181" t="str">
        <f>Table1[[#This Row],[BON code]]</f>
        <v>CWW20A_051_PR24</v>
      </c>
      <c r="C59" s="181" t="str">
        <f>Table1[[#This Row],[Item Description]]</f>
        <v>Network / Storm overflow data - Number of new MCERTs flow monitors (PFF) installed at SPSs with combined emergency and storm overflows.</v>
      </c>
      <c r="D59" s="159" t="s">
        <v>85</v>
      </c>
      <c r="E59" s="186"/>
      <c r="F59" s="186"/>
      <c r="G59" s="186"/>
      <c r="H59" s="186"/>
      <c r="I59" s="186"/>
      <c r="J59" s="186"/>
      <c r="K59" s="187"/>
    </row>
    <row r="60" spans="1:11">
      <c r="A60" s="181" t="str">
        <f>Table1[[#This Row],[Acronym]]</f>
        <v>NES</v>
      </c>
      <c r="B60" s="181" t="str">
        <f>Table1[[#This Row],[BON code]]</f>
        <v>CWW1A_015TOT_PR24</v>
      </c>
      <c r="C60" s="181" t="str">
        <f>Table1[[#This Row],[Item Description]]</f>
        <v>Net totex - Total</v>
      </c>
      <c r="D60" s="159" t="s">
        <v>85</v>
      </c>
      <c r="E60" s="186"/>
      <c r="F60" s="186"/>
      <c r="G60" s="186"/>
      <c r="H60" s="186"/>
      <c r="I60" s="186"/>
      <c r="J60" s="186"/>
      <c r="K60" s="187"/>
    </row>
    <row r="61" spans="1:11">
      <c r="A61" s="181" t="str">
        <f>Table1[[#This Row],[Acronym]]</f>
        <v>SVE</v>
      </c>
      <c r="B61" s="181" t="str">
        <f>Table1[[#This Row],[BON code]]</f>
        <v>CWW3_010TOT_PR24</v>
      </c>
      <c r="C61" s="181" t="str">
        <f>Table1[[#This Row],[Item Description]]</f>
        <v>EA/NRW environmental programme wastewater (WINEP/NEP) - MCERTs monitoring at emergency sewage pumping station overflows (WINEP/NEP) wastewater capex - Total</v>
      </c>
      <c r="D61" s="159" t="s">
        <v>85</v>
      </c>
      <c r="E61" s="186"/>
      <c r="F61" s="186"/>
      <c r="G61" s="186"/>
      <c r="H61" s="186"/>
      <c r="I61" s="186"/>
      <c r="J61" s="186"/>
      <c r="K61" s="187"/>
    </row>
    <row r="62" spans="1:11">
      <c r="A62" s="181" t="str">
        <f>Table1[[#This Row],[Acronym]]</f>
        <v>SVE</v>
      </c>
      <c r="B62" s="181" t="str">
        <f>Table1[[#This Row],[BON code]]</f>
        <v>CWW3_011TOT_PR24</v>
      </c>
      <c r="C62" s="181" t="str">
        <f>Table1[[#This Row],[Item Description]]</f>
        <v>EA/NRW environmental programme wastewater (WINEP/NEP) - MCERTs monitoring at emergency sewage pumping station overflows (WINEP/NEP) wastewater opex - Total</v>
      </c>
      <c r="D62" s="159" t="s">
        <v>85</v>
      </c>
      <c r="E62" s="186"/>
      <c r="F62" s="186"/>
      <c r="G62" s="186"/>
      <c r="H62" s="186"/>
      <c r="I62" s="186"/>
      <c r="J62" s="186"/>
      <c r="K62" s="189"/>
    </row>
    <row r="63" spans="1:11">
      <c r="A63" s="181" t="str">
        <f>Table1[[#This Row],[Acronym]]</f>
        <v>SVE</v>
      </c>
      <c r="B63" s="181" t="str">
        <f>Table1[[#This Row],[BON code]]</f>
        <v>CWW3_012TOT_PR24</v>
      </c>
      <c r="C63" s="181" t="str">
        <f>Table1[[#This Row],[Item Description]]</f>
        <v>EA/NRW environmental programme wastewater (WINEP/NEP) - MCERTs monitoring at emergency sewage pumping station overflows (WINEP/NEP) wastewater totex - Total</v>
      </c>
      <c r="D63" s="159" t="s">
        <v>85</v>
      </c>
      <c r="E63" s="186"/>
      <c r="F63" s="186"/>
      <c r="G63" s="186"/>
      <c r="H63" s="186"/>
      <c r="I63" s="186"/>
      <c r="J63" s="186"/>
      <c r="K63" s="187"/>
    </row>
    <row r="64" spans="1:11">
      <c r="A64" s="181" t="str">
        <f>Table1[[#This Row],[Acronym]]</f>
        <v>SVE</v>
      </c>
      <c r="B64" s="181" t="str">
        <f>Table1[[#This Row],[BON code]]</f>
        <v>CWW12_010TOT_PR24</v>
      </c>
      <c r="C64" s="181" t="str">
        <f>Table1[[#This Row],[Item Description]]</f>
        <v>EA/NRW environmental programme wastewater (WINEP/NEP) - MCERTs monitoring at emergency sewage pumping station overflows (WINEP/NEP) wastewater capex - Total</v>
      </c>
      <c r="D64" s="159" t="s">
        <v>85</v>
      </c>
      <c r="E64" s="186"/>
      <c r="F64" s="186"/>
      <c r="G64" s="186"/>
      <c r="H64" s="186"/>
      <c r="I64" s="186"/>
      <c r="J64" s="186"/>
      <c r="K64" s="187"/>
    </row>
    <row r="65" spans="1:11">
      <c r="A65" s="181" t="str">
        <f>Table1[[#This Row],[Acronym]]</f>
        <v>SVE</v>
      </c>
      <c r="B65" s="181" t="str">
        <f>Table1[[#This Row],[BON code]]</f>
        <v>CWW12_011TOT_PR24</v>
      </c>
      <c r="C65" s="181" t="str">
        <f>Table1[[#This Row],[Item Description]]</f>
        <v>EA/NRW environmental programme wastewater (WINEP/NEP) - MCERTs monitoring at emergency sewage pumping station overflows (WINEP/NEP) wastewater opex - Total</v>
      </c>
      <c r="D65" s="159" t="s">
        <v>85</v>
      </c>
      <c r="E65" s="190"/>
      <c r="F65" s="190"/>
      <c r="G65" s="190"/>
      <c r="H65" s="190"/>
      <c r="I65" s="190"/>
      <c r="J65" s="190"/>
      <c r="K65" s="187"/>
    </row>
    <row r="66" spans="1:11">
      <c r="A66" s="181" t="str">
        <f>Table1[[#This Row],[Acronym]]</f>
        <v>SVE</v>
      </c>
      <c r="B66" s="181" t="str">
        <f>Table1[[#This Row],[BON code]]</f>
        <v>CWW12_012TOT_PR24</v>
      </c>
      <c r="C66" s="181" t="str">
        <f>Table1[[#This Row],[Item Description]]</f>
        <v>EA/NRW environmental programme wastewater (WINEP/NEP) - MCERTs monitoring at emergency sewage pumping station overflows (WINEP/NEP) wastewater totex - Total</v>
      </c>
      <c r="D66" s="159" t="s">
        <v>99</v>
      </c>
      <c r="E66" s="190"/>
      <c r="F66" s="190"/>
      <c r="G66" s="190"/>
      <c r="H66" s="190"/>
      <c r="I66" s="190"/>
      <c r="J66" s="190"/>
      <c r="K66" s="187"/>
    </row>
    <row r="67" spans="1:11">
      <c r="A67" s="181" t="str">
        <f>Table1[[#This Row],[Acronym]]</f>
        <v>SVE</v>
      </c>
      <c r="B67" s="181" t="str">
        <f>Table1[[#This Row],[BON code]]</f>
        <v>CWW17_010TOT_PR24</v>
      </c>
      <c r="C67" s="181" t="str">
        <f>Table1[[#This Row],[Item Description]]</f>
        <v>EA/NRW environmental programme wastewater (WINEP/NEP) - MCERTs monitoring at emergency sewage pumping station overflows (WINEP/NEP) wastewater capex - Total</v>
      </c>
      <c r="D67" s="159" t="s">
        <v>99</v>
      </c>
      <c r="E67" s="186"/>
      <c r="F67" s="186"/>
      <c r="G67" s="186"/>
      <c r="H67" s="186"/>
      <c r="I67" s="186"/>
      <c r="J67" s="186"/>
      <c r="K67" s="187"/>
    </row>
    <row r="68" spans="1:11">
      <c r="A68" s="181" t="str">
        <f>Table1[[#This Row],[Acronym]]</f>
        <v>SVE</v>
      </c>
      <c r="B68" s="181" t="str">
        <f>Table1[[#This Row],[BON code]]</f>
        <v>CWW17_011TOT_PR24</v>
      </c>
      <c r="C68" s="181" t="str">
        <f>Table1[[#This Row],[Item Description]]</f>
        <v>EA/NRW environmental programme wastewater (WINEP/NEP) - MCERTs monitoring at emergency sewage pumping station overflows (WINEP/NEP) wastewater opex - Total</v>
      </c>
      <c r="D68" s="159" t="s">
        <v>99</v>
      </c>
      <c r="E68" s="186"/>
      <c r="F68" s="186"/>
      <c r="G68" s="186"/>
      <c r="H68" s="186"/>
      <c r="I68" s="186"/>
      <c r="J68" s="186"/>
      <c r="K68" s="187"/>
    </row>
    <row r="69" spans="1:11">
      <c r="A69" s="181" t="str">
        <f>Table1[[#This Row],[Acronym]]</f>
        <v>SVE</v>
      </c>
      <c r="B69" s="181" t="str">
        <f>Table1[[#This Row],[BON code]]</f>
        <v>CWW17_012TOT_PR24</v>
      </c>
      <c r="C69" s="181" t="str">
        <f>Table1[[#This Row],[Item Description]]</f>
        <v>EA/NRW environmental programme wastewater (WINEP/NEP) - MCERTs monitoring at emergency sewage pumping station overflows (WINEP/NEP) wastewater totex - Total</v>
      </c>
      <c r="D69" s="159" t="s">
        <v>99</v>
      </c>
      <c r="E69" s="186"/>
      <c r="F69" s="186"/>
      <c r="G69" s="186"/>
      <c r="H69" s="186"/>
      <c r="I69" s="186"/>
      <c r="J69" s="186"/>
      <c r="K69" s="187"/>
    </row>
    <row r="70" spans="1:11">
      <c r="A70" s="181" t="str">
        <f>Table1[[#This Row],[Acronym]]</f>
        <v>SVE</v>
      </c>
      <c r="B70" s="181" t="str">
        <f>Table1[[#This Row],[BON code]]</f>
        <v>CWW20_050_PR24</v>
      </c>
      <c r="C70" s="181" t="str">
        <f>Table1[[#This Row],[Item Description]]</f>
        <v>Network / Storm overflow data - Number of new MCERTs event duration monitors installed at SPS emergency overflows</v>
      </c>
      <c r="D70" s="159" t="s">
        <v>85</v>
      </c>
      <c r="E70" s="186"/>
      <c r="F70" s="186"/>
      <c r="G70" s="186"/>
      <c r="H70" s="186"/>
      <c r="I70" s="186"/>
      <c r="J70" s="186"/>
      <c r="K70" s="189"/>
    </row>
    <row r="71" spans="1:11">
      <c r="A71" s="181" t="str">
        <f>Table1[[#This Row],[Acronym]]</f>
        <v>SVE</v>
      </c>
      <c r="B71" s="181" t="str">
        <f>Table1[[#This Row],[BON code]]</f>
        <v>CWW20_051_PR24</v>
      </c>
      <c r="C71" s="181" t="str">
        <f>Table1[[#This Row],[Item Description]]</f>
        <v>Network / Storm overflow data - Number of new MCERTs flow monitors (PFF) installed at SPSs with combined emergency and storm overflows.</v>
      </c>
      <c r="D71" s="159" t="s">
        <v>85</v>
      </c>
      <c r="E71" s="186"/>
      <c r="F71" s="186"/>
      <c r="G71" s="186"/>
      <c r="H71" s="186"/>
      <c r="I71" s="186"/>
      <c r="J71" s="186"/>
      <c r="K71" s="187"/>
    </row>
    <row r="72" spans="1:11">
      <c r="A72" s="181" t="str">
        <f>Table1[[#This Row],[Acronym]]</f>
        <v>SVE</v>
      </c>
      <c r="B72" s="181" t="str">
        <f>Table1[[#This Row],[BON code]]</f>
        <v>CWW20A_050_PR24</v>
      </c>
      <c r="C72" s="181" t="str">
        <f>Table1[[#This Row],[Item Description]]</f>
        <v>Network / Storm overflow data - Number of new MCERTs event duration monitors installed at SPS emergency overflows</v>
      </c>
      <c r="D72" s="159" t="s">
        <v>85</v>
      </c>
      <c r="E72" s="186"/>
      <c r="F72" s="186"/>
      <c r="G72" s="186"/>
      <c r="H72" s="186"/>
      <c r="I72" s="186"/>
      <c r="J72" s="186"/>
      <c r="K72" s="187"/>
    </row>
    <row r="73" spans="1:11">
      <c r="A73" s="181" t="str">
        <f>Table1[[#This Row],[Acronym]]</f>
        <v>SVE</v>
      </c>
      <c r="B73" s="181" t="str">
        <f>Table1[[#This Row],[BON code]]</f>
        <v>CWW20A_051_PR24</v>
      </c>
      <c r="C73" s="181" t="str">
        <f>Table1[[#This Row],[Item Description]]</f>
        <v>Network / Storm overflow data - Number of new MCERTs flow monitors (PFF) installed at SPSs with combined emergency and storm overflows.</v>
      </c>
      <c r="D73" s="159" t="s">
        <v>85</v>
      </c>
      <c r="E73" s="190"/>
      <c r="F73" s="190"/>
      <c r="G73" s="190"/>
      <c r="H73" s="190"/>
      <c r="I73" s="190"/>
      <c r="J73" s="190"/>
      <c r="K73" s="187"/>
    </row>
    <row r="74" spans="1:11">
      <c r="A74" s="181" t="str">
        <f>Table1[[#This Row],[Acronym]]</f>
        <v>SVE</v>
      </c>
      <c r="B74" s="181" t="str">
        <f>Table1[[#This Row],[BON code]]</f>
        <v>CWW1A_015TOT_PR24</v>
      </c>
      <c r="C74" s="181" t="str">
        <f>Table1[[#This Row],[Item Description]]</f>
        <v>Net totex - Total</v>
      </c>
      <c r="D74" s="159" t="s">
        <v>85</v>
      </c>
      <c r="E74" s="190"/>
      <c r="F74" s="190"/>
      <c r="G74" s="190"/>
      <c r="H74" s="190"/>
      <c r="I74" s="190"/>
      <c r="J74" s="190"/>
      <c r="K74" s="187"/>
    </row>
    <row r="75" spans="1:11">
      <c r="A75" s="181" t="str">
        <f>Table1[[#This Row],[Acronym]]</f>
        <v>SWB</v>
      </c>
      <c r="B75" s="181" t="str">
        <f>Table1[[#This Row],[BON code]]</f>
        <v>CWW3_010TOT_PR24</v>
      </c>
      <c r="C75" s="181" t="str">
        <f>Table1[[#This Row],[Item Description]]</f>
        <v>EA/NRW environmental programme wastewater (WINEP/NEP) - MCERTs monitoring at emergency sewage pumping station overflows (WINEP/NEP) wastewater capex - Total</v>
      </c>
      <c r="D75" s="159" t="s">
        <v>85</v>
      </c>
      <c r="E75" s="186"/>
      <c r="F75" s="186"/>
      <c r="G75" s="186"/>
      <c r="H75" s="186"/>
      <c r="I75" s="186"/>
      <c r="J75" s="186"/>
      <c r="K75" s="186"/>
    </row>
    <row r="76" spans="1:11">
      <c r="A76" s="181" t="str">
        <f>Table1[[#This Row],[Acronym]]</f>
        <v>SWB</v>
      </c>
      <c r="B76" s="181" t="str">
        <f>Table1[[#This Row],[BON code]]</f>
        <v>CWW3_011TOT_PR24</v>
      </c>
      <c r="C76" s="181" t="str">
        <f>Table1[[#This Row],[Item Description]]</f>
        <v>EA/NRW environmental programme wastewater (WINEP/NEP) - MCERTs monitoring at emergency sewage pumping station overflows (WINEP/NEP) wastewater opex - Total</v>
      </c>
      <c r="D76" s="159" t="s">
        <v>85</v>
      </c>
      <c r="E76" s="186"/>
      <c r="F76" s="186"/>
      <c r="G76" s="186"/>
      <c r="H76" s="186"/>
      <c r="I76" s="186"/>
      <c r="J76" s="186"/>
      <c r="K76" s="187"/>
    </row>
    <row r="77" spans="1:11">
      <c r="A77" s="181" t="str">
        <f>Table1[[#This Row],[Acronym]]</f>
        <v>SWB</v>
      </c>
      <c r="B77" s="181" t="str">
        <f>Table1[[#This Row],[BON code]]</f>
        <v>CWW3_012TOT_PR24</v>
      </c>
      <c r="C77" s="181" t="str">
        <f>Table1[[#This Row],[Item Description]]</f>
        <v>EA/NRW environmental programme wastewater (WINEP/NEP) - MCERTs monitoring at emergency sewage pumping station overflows (WINEP/NEP) wastewater totex - Total</v>
      </c>
      <c r="D77" s="159" t="s">
        <v>85</v>
      </c>
      <c r="E77" s="186"/>
      <c r="F77" s="186"/>
      <c r="G77" s="186"/>
      <c r="H77" s="186"/>
      <c r="I77" s="186"/>
      <c r="J77" s="186"/>
      <c r="K77" s="186"/>
    </row>
    <row r="78" spans="1:11">
      <c r="A78" s="181" t="str">
        <f>Table1[[#This Row],[Acronym]]</f>
        <v>SWB</v>
      </c>
      <c r="B78" s="181" t="str">
        <f>Table1[[#This Row],[BON code]]</f>
        <v>CWW12_010TOT_PR24</v>
      </c>
      <c r="C78" s="181" t="str">
        <f>Table1[[#This Row],[Item Description]]</f>
        <v>EA/NRW environmental programme wastewater (WINEP/NEP) - MCERTs monitoring at emergency sewage pumping station overflows (WINEP/NEP) wastewater capex - Total</v>
      </c>
      <c r="D78" s="159" t="s">
        <v>85</v>
      </c>
      <c r="E78" s="186"/>
      <c r="F78" s="186"/>
      <c r="G78" s="186"/>
      <c r="H78" s="186"/>
      <c r="I78" s="186"/>
      <c r="J78" s="186"/>
      <c r="K78" s="189"/>
    </row>
    <row r="79" spans="1:11">
      <c r="A79" s="181" t="str">
        <f>Table1[[#This Row],[Acronym]]</f>
        <v>SWB</v>
      </c>
      <c r="B79" s="181" t="str">
        <f>Table1[[#This Row],[BON code]]</f>
        <v>CWW12_011TOT_PR24</v>
      </c>
      <c r="C79" s="181" t="str">
        <f>Table1[[#This Row],[Item Description]]</f>
        <v>EA/NRW environmental programme wastewater (WINEP/NEP) - MCERTs monitoring at emergency sewage pumping station overflows (WINEP/NEP) wastewater opex - Total</v>
      </c>
      <c r="D79" s="159" t="s">
        <v>99</v>
      </c>
      <c r="E79" s="186"/>
      <c r="F79" s="186"/>
      <c r="G79" s="186"/>
      <c r="H79" s="186"/>
      <c r="I79" s="186"/>
      <c r="J79" s="186"/>
      <c r="K79" s="187"/>
    </row>
    <row r="80" spans="1:11">
      <c r="A80" s="181" t="str">
        <f>Table1[[#This Row],[Acronym]]</f>
        <v>SWB</v>
      </c>
      <c r="B80" s="181" t="str">
        <f>Table1[[#This Row],[BON code]]</f>
        <v>CWW12_012TOT_PR24</v>
      </c>
      <c r="C80" s="181" t="str">
        <f>Table1[[#This Row],[Item Description]]</f>
        <v>EA/NRW environmental programme wastewater (WINEP/NEP) - MCERTs monitoring at emergency sewage pumping station overflows (WINEP/NEP) wastewater totex - Total</v>
      </c>
      <c r="D80" s="159" t="s">
        <v>99</v>
      </c>
      <c r="E80" s="186"/>
      <c r="F80" s="186"/>
      <c r="G80" s="186"/>
      <c r="H80" s="186"/>
      <c r="I80" s="186"/>
      <c r="J80" s="186"/>
      <c r="K80" s="187"/>
    </row>
    <row r="81" spans="1:12">
      <c r="A81" s="181" t="str">
        <f>Table1[[#This Row],[Acronym]]</f>
        <v>SWB</v>
      </c>
      <c r="B81" s="181" t="str">
        <f>Table1[[#This Row],[BON code]]</f>
        <v>CWW17_010TOT_PR24</v>
      </c>
      <c r="C81" s="181" t="str">
        <f>Table1[[#This Row],[Item Description]]</f>
        <v>EA/NRW environmental programme wastewater (WINEP/NEP) - MCERTs monitoring at emergency sewage pumping station overflows (WINEP/NEP) wastewater capex - Total</v>
      </c>
      <c r="D81" s="159" t="s">
        <v>99</v>
      </c>
      <c r="E81" s="190"/>
      <c r="F81" s="190"/>
      <c r="G81" s="190"/>
      <c r="H81" s="190"/>
      <c r="I81" s="190"/>
      <c r="J81" s="190"/>
      <c r="K81" s="187"/>
    </row>
    <row r="82" spans="1:12">
      <c r="A82" s="181" t="str">
        <f>Table1[[#This Row],[Acronym]]</f>
        <v>SWB</v>
      </c>
      <c r="B82" s="181" t="str">
        <f>Table1[[#This Row],[BON code]]</f>
        <v>CWW17_011TOT_PR24</v>
      </c>
      <c r="C82" s="181" t="str">
        <f>Table1[[#This Row],[Item Description]]</f>
        <v>EA/NRW environmental programme wastewater (WINEP/NEP) - MCERTs monitoring at emergency sewage pumping station overflows (WINEP/NEP) wastewater opex - Total</v>
      </c>
      <c r="D82" s="159" t="s">
        <v>99</v>
      </c>
      <c r="E82" s="190"/>
      <c r="F82" s="190"/>
      <c r="G82" s="190"/>
      <c r="H82" s="190"/>
      <c r="I82" s="190"/>
      <c r="J82" s="190"/>
      <c r="K82" s="187"/>
    </row>
    <row r="83" spans="1:12">
      <c r="A83" s="181" t="str">
        <f>Table1[[#This Row],[Acronym]]</f>
        <v>SWB</v>
      </c>
      <c r="B83" s="181" t="str">
        <f>Table1[[#This Row],[BON code]]</f>
        <v>CWW17_012TOT_PR24</v>
      </c>
      <c r="C83" s="181" t="str">
        <f>Table1[[#This Row],[Item Description]]</f>
        <v>EA/NRW environmental programme wastewater (WINEP/NEP) - MCERTs monitoring at emergency sewage pumping station overflows (WINEP/NEP) wastewater totex - Total</v>
      </c>
      <c r="D83" s="159" t="s">
        <v>85</v>
      </c>
      <c r="E83" s="186"/>
      <c r="F83" s="186"/>
      <c r="G83" s="186"/>
      <c r="H83" s="186"/>
      <c r="I83" s="186"/>
      <c r="J83" s="186"/>
      <c r="K83" s="187"/>
    </row>
    <row r="84" spans="1:12">
      <c r="A84" s="181" t="str">
        <f>Table1[[#This Row],[Acronym]]</f>
        <v>SWB</v>
      </c>
      <c r="B84" s="181" t="str">
        <f>Table1[[#This Row],[BON code]]</f>
        <v>CWW20_050_PR24</v>
      </c>
      <c r="C84" s="181" t="str">
        <f>Table1[[#This Row],[Item Description]]</f>
        <v>Network / Storm overflow data - Number of new MCERTs event duration monitors installed at SPS emergency overflows</v>
      </c>
      <c r="D84" s="159" t="s">
        <v>85</v>
      </c>
      <c r="E84" s="186"/>
      <c r="F84" s="186"/>
      <c r="G84" s="186"/>
      <c r="H84" s="186"/>
      <c r="I84" s="186"/>
      <c r="J84" s="186"/>
      <c r="K84" s="187"/>
    </row>
    <row r="85" spans="1:12">
      <c r="A85" s="181" t="str">
        <f>Table1[[#This Row],[Acronym]]</f>
        <v>SWB</v>
      </c>
      <c r="B85" s="181" t="str">
        <f>Table1[[#This Row],[BON code]]</f>
        <v>CWW20_051_PR24</v>
      </c>
      <c r="C85" s="181" t="str">
        <f>Table1[[#This Row],[Item Description]]</f>
        <v>Network / Storm overflow data - Number of new MCERTs flow monitors (PFF) installed at SPSs with combined emergency and storm overflows.</v>
      </c>
      <c r="D85" s="159" t="s">
        <v>85</v>
      </c>
      <c r="E85" s="186"/>
      <c r="F85" s="186"/>
      <c r="G85" s="186"/>
      <c r="H85" s="186"/>
      <c r="I85" s="186"/>
      <c r="J85" s="186"/>
      <c r="K85" s="187"/>
    </row>
    <row r="86" spans="1:12">
      <c r="A86" s="181" t="str">
        <f>Table1[[#This Row],[Acronym]]</f>
        <v>SWB</v>
      </c>
      <c r="B86" s="181" t="str">
        <f>Table1[[#This Row],[BON code]]</f>
        <v>CWW20A_050_PR24</v>
      </c>
      <c r="C86" s="181" t="str">
        <f>Table1[[#This Row],[Item Description]]</f>
        <v>Network / Storm overflow data - Number of new MCERTs event duration monitors installed at SPS emergency overflows</v>
      </c>
      <c r="D86" s="159" t="s">
        <v>85</v>
      </c>
      <c r="E86" s="186"/>
      <c r="F86" s="186"/>
      <c r="G86" s="186"/>
      <c r="H86" s="186"/>
      <c r="I86" s="186"/>
      <c r="J86" s="186"/>
      <c r="K86" s="189"/>
    </row>
    <row r="87" spans="1:12">
      <c r="A87" s="181" t="str">
        <f>Table1[[#This Row],[Acronym]]</f>
        <v>SWB</v>
      </c>
      <c r="B87" s="181" t="str">
        <f>Table1[[#This Row],[BON code]]</f>
        <v>CWW20A_051_PR24</v>
      </c>
      <c r="C87" s="181" t="str">
        <f>Table1[[#This Row],[Item Description]]</f>
        <v>Network / Storm overflow data - Number of new MCERTs flow monitors (PFF) installed at SPSs with combined emergency and storm overflows.</v>
      </c>
      <c r="D87" s="159" t="s">
        <v>85</v>
      </c>
      <c r="E87" s="186"/>
      <c r="F87" s="186"/>
      <c r="G87" s="186"/>
      <c r="H87" s="186"/>
      <c r="I87" s="186"/>
      <c r="J87" s="186"/>
      <c r="K87" s="187"/>
    </row>
    <row r="88" spans="1:12">
      <c r="A88" s="181" t="str">
        <f>Table1[[#This Row],[Acronym]]</f>
        <v>SWB</v>
      </c>
      <c r="B88" s="181" t="str">
        <f>Table1[[#This Row],[BON code]]</f>
        <v>CWW1A_015TOT_PR24</v>
      </c>
      <c r="C88" s="181" t="str">
        <f>Table1[[#This Row],[Item Description]]</f>
        <v>Net totex - Total</v>
      </c>
      <c r="D88" s="159" t="s">
        <v>85</v>
      </c>
      <c r="E88" s="186"/>
      <c r="F88" s="186"/>
      <c r="G88" s="186"/>
      <c r="H88" s="186"/>
      <c r="I88" s="186"/>
      <c r="J88" s="186"/>
      <c r="K88" s="187"/>
    </row>
    <row r="89" spans="1:12">
      <c r="A89" s="181" t="str">
        <f>Table1[[#This Row],[Acronym]]</f>
        <v>SRN</v>
      </c>
      <c r="B89" s="181" t="str">
        <f>Table1[[#This Row],[BON code]]</f>
        <v>CWW3_010TOT_PR24</v>
      </c>
      <c r="C89" s="181" t="str">
        <f>Table1[[#This Row],[Item Description]]</f>
        <v>EA/NRW environmental programme wastewater (WINEP/NEP) - MCERTs monitoring at emergency sewage pumping station overflows (WINEP/NEP) wastewater capex - Total</v>
      </c>
      <c r="D89" s="159" t="s">
        <v>85</v>
      </c>
      <c r="E89" s="190"/>
      <c r="F89" s="190"/>
      <c r="G89" s="190">
        <v>11.581689154439571</v>
      </c>
      <c r="H89" s="190">
        <v>13.318708743004086</v>
      </c>
      <c r="I89" s="190">
        <v>13.624966570866739</v>
      </c>
      <c r="J89" s="190">
        <v>14.976241567085161</v>
      </c>
      <c r="K89" s="190">
        <v>39.23139396460445</v>
      </c>
      <c r="L89" s="2" t="s">
        <v>124</v>
      </c>
    </row>
    <row r="90" spans="1:12">
      <c r="A90" s="181" t="str">
        <f>Table1[[#This Row],[Acronym]]</f>
        <v>SRN</v>
      </c>
      <c r="B90" s="181" t="str">
        <f>Table1[[#This Row],[BON code]]</f>
        <v>CWW3_011TOT_PR24</v>
      </c>
      <c r="C90" s="181" t="str">
        <f>Table1[[#This Row],[Item Description]]</f>
        <v>EA/NRW environmental programme wastewater (WINEP/NEP) - MCERTs monitoring at emergency sewage pumping station overflows (WINEP/NEP) wastewater opex - Total</v>
      </c>
      <c r="D90" s="159" t="s">
        <v>85</v>
      </c>
      <c r="E90" s="190"/>
      <c r="F90" s="190"/>
      <c r="G90" s="190">
        <v>0</v>
      </c>
      <c r="H90" s="190">
        <v>0</v>
      </c>
      <c r="I90" s="190">
        <v>0</v>
      </c>
      <c r="J90" s="190">
        <v>0</v>
      </c>
      <c r="K90" s="190">
        <v>0.114</v>
      </c>
      <c r="L90" s="2" t="s">
        <v>125</v>
      </c>
    </row>
    <row r="91" spans="1:12">
      <c r="A91" s="181" t="str">
        <f>Table1[[#This Row],[Acronym]]</f>
        <v>SRN</v>
      </c>
      <c r="B91" s="181" t="str">
        <f>Table1[[#This Row],[BON code]]</f>
        <v>CWW3_012TOT_PR24</v>
      </c>
      <c r="C91" s="181" t="str">
        <f>Table1[[#This Row],[Item Description]]</f>
        <v>EA/NRW environmental programme wastewater (WINEP/NEP) - MCERTs monitoring at emergency sewage pumping station overflows (WINEP/NEP) wastewater totex - Total</v>
      </c>
      <c r="D91" s="159" t="s">
        <v>85</v>
      </c>
      <c r="E91" s="186"/>
      <c r="F91" s="186"/>
      <c r="G91" s="186">
        <v>11.583953408718866</v>
      </c>
      <c r="H91" s="186">
        <v>13.3213125897197</v>
      </c>
      <c r="I91" s="186">
        <v>13.627630291888082</v>
      </c>
      <c r="J91" s="186">
        <v>14.979169466340947</v>
      </c>
      <c r="K91" s="186">
        <v>39.334934243332413</v>
      </c>
    </row>
    <row r="92" spans="1:12">
      <c r="A92" s="181" t="str">
        <f>Table1[[#This Row],[Acronym]]</f>
        <v>SRN</v>
      </c>
      <c r="B92" s="181" t="str">
        <f>Table1[[#This Row],[BON code]]</f>
        <v>CWW12_010TOT_PR24</v>
      </c>
      <c r="C92" s="181" t="str">
        <f>Table1[[#This Row],[Item Description]]</f>
        <v>EA/NRW environmental programme wastewater (WINEP/NEP) - MCERTs monitoring at emergency sewage pumping station overflows (WINEP/NEP) wastewater capex - Total</v>
      </c>
      <c r="D92" s="159" t="s">
        <v>99</v>
      </c>
      <c r="E92" s="186"/>
      <c r="F92" s="186"/>
      <c r="G92" s="186"/>
      <c r="H92" s="186"/>
      <c r="I92" s="186"/>
      <c r="J92" s="186"/>
      <c r="K92" s="187"/>
    </row>
    <row r="93" spans="1:12">
      <c r="A93" s="181" t="str">
        <f>Table1[[#This Row],[Acronym]]</f>
        <v>SRN</v>
      </c>
      <c r="B93" s="181" t="str">
        <f>Table1[[#This Row],[BON code]]</f>
        <v>CWW12_011TOT_PR24</v>
      </c>
      <c r="C93" s="181" t="str">
        <f>Table1[[#This Row],[Item Description]]</f>
        <v>EA/NRW environmental programme wastewater (WINEP/NEP) - MCERTs monitoring at emergency sewage pumping station overflows (WINEP/NEP) wastewater opex - Total</v>
      </c>
      <c r="D93" s="159" t="s">
        <v>99</v>
      </c>
      <c r="E93" s="186"/>
      <c r="F93" s="186"/>
      <c r="G93" s="186"/>
      <c r="H93" s="186"/>
      <c r="I93" s="186"/>
      <c r="J93" s="186"/>
      <c r="K93" s="187"/>
    </row>
    <row r="94" spans="1:12">
      <c r="A94" s="181" t="str">
        <f>Table1[[#This Row],[Acronym]]</f>
        <v>SRN</v>
      </c>
      <c r="B94" s="181" t="str">
        <f>Table1[[#This Row],[BON code]]</f>
        <v>CWW12_012TOT_PR24</v>
      </c>
      <c r="C94" s="181" t="str">
        <f>Table1[[#This Row],[Item Description]]</f>
        <v>EA/NRW environmental programme wastewater (WINEP/NEP) - MCERTs monitoring at emergency sewage pumping station overflows (WINEP/NEP) wastewater totex - Total</v>
      </c>
      <c r="D94" s="159" t="s">
        <v>99</v>
      </c>
      <c r="E94" s="186"/>
      <c r="F94" s="186"/>
      <c r="G94" s="186"/>
      <c r="H94" s="186"/>
      <c r="I94" s="186"/>
      <c r="J94" s="186"/>
      <c r="K94" s="189"/>
    </row>
    <row r="95" spans="1:12">
      <c r="A95" s="181" t="str">
        <f>Table1[[#This Row],[Acronym]]</f>
        <v>SRN</v>
      </c>
      <c r="B95" s="181" t="str">
        <f>Table1[[#This Row],[BON code]]</f>
        <v>CWW17_010TOT_PR24</v>
      </c>
      <c r="C95" s="181" t="str">
        <f>Table1[[#This Row],[Item Description]]</f>
        <v>EA/NRW environmental programme wastewater (WINEP/NEP) - MCERTs monitoring at emergency sewage pumping station overflows (WINEP/NEP) wastewater capex - Total</v>
      </c>
      <c r="D95" s="159" t="s">
        <v>99</v>
      </c>
      <c r="E95" s="186"/>
      <c r="F95" s="186"/>
      <c r="G95" s="186"/>
      <c r="H95" s="186"/>
      <c r="I95" s="186"/>
      <c r="J95" s="186"/>
      <c r="K95" s="187"/>
    </row>
    <row r="96" spans="1:12">
      <c r="A96" s="181" t="str">
        <f>Table1[[#This Row],[Acronym]]</f>
        <v>SRN</v>
      </c>
      <c r="B96" s="181" t="str">
        <f>Table1[[#This Row],[BON code]]</f>
        <v>CWW17_011TOT_PR24</v>
      </c>
      <c r="C96" s="181" t="str">
        <f>Table1[[#This Row],[Item Description]]</f>
        <v>EA/NRW environmental programme wastewater (WINEP/NEP) - MCERTs monitoring at emergency sewage pumping station overflows (WINEP/NEP) wastewater opex - Total</v>
      </c>
      <c r="D96" s="159" t="s">
        <v>85</v>
      </c>
      <c r="E96" s="186"/>
      <c r="F96" s="186"/>
      <c r="G96" s="186"/>
      <c r="H96" s="186"/>
      <c r="I96" s="186"/>
      <c r="J96" s="186"/>
      <c r="K96" s="188"/>
    </row>
    <row r="97" spans="1:12">
      <c r="A97" s="181" t="str">
        <f>Table1[[#This Row],[Acronym]]</f>
        <v>SRN</v>
      </c>
      <c r="B97" s="181" t="str">
        <f>Table1[[#This Row],[BON code]]</f>
        <v>CWW17_012TOT_PR24</v>
      </c>
      <c r="C97" s="181" t="str">
        <f>Table1[[#This Row],[Item Description]]</f>
        <v>EA/NRW environmental programme wastewater (WINEP/NEP) - MCERTs monitoring at emergency sewage pumping station overflows (WINEP/NEP) wastewater totex - Total</v>
      </c>
      <c r="D97" s="159" t="s">
        <v>85</v>
      </c>
      <c r="E97" s="190"/>
      <c r="F97" s="190"/>
      <c r="G97" s="190"/>
      <c r="H97" s="190"/>
      <c r="I97" s="190"/>
      <c r="J97" s="190"/>
      <c r="K97" s="188"/>
    </row>
    <row r="98" spans="1:12">
      <c r="A98" s="181" t="str">
        <f>Table1[[#This Row],[Acronym]]</f>
        <v>SRN</v>
      </c>
      <c r="B98" s="181" t="str">
        <f>Table1[[#This Row],[BON code]]</f>
        <v>CWW20_050_PR24</v>
      </c>
      <c r="C98" s="181" t="str">
        <f>Table1[[#This Row],[Item Description]]</f>
        <v>Network / Storm overflow data - Number of new MCERTs event duration monitors installed at SPS emergency overflows</v>
      </c>
      <c r="D98" s="159" t="s">
        <v>85</v>
      </c>
      <c r="E98" s="190"/>
      <c r="F98" s="190"/>
      <c r="G98" s="186"/>
      <c r="H98" s="186"/>
      <c r="I98" s="186"/>
      <c r="J98" s="186"/>
      <c r="K98" s="188"/>
    </row>
    <row r="99" spans="1:12">
      <c r="A99" s="181" t="str">
        <f>Table1[[#This Row],[Acronym]]</f>
        <v>SRN</v>
      </c>
      <c r="B99" s="181" t="str">
        <f>Table1[[#This Row],[BON code]]</f>
        <v>CWW20_051_PR24</v>
      </c>
      <c r="C99" s="181" t="str">
        <f>Table1[[#This Row],[Item Description]]</f>
        <v>Network / Storm overflow data - Number of new MCERTs flow monitors (PFF) installed at SPSs with combined emergency and storm overflows.</v>
      </c>
      <c r="D99" s="159" t="s">
        <v>85</v>
      </c>
      <c r="E99" s="186"/>
      <c r="F99" s="186"/>
      <c r="G99" s="186"/>
      <c r="H99" s="186"/>
      <c r="I99" s="186"/>
      <c r="J99" s="186"/>
      <c r="K99" s="187"/>
    </row>
    <row r="100" spans="1:12">
      <c r="A100" s="181" t="str">
        <f>Table1[[#This Row],[Acronym]]</f>
        <v>SRN</v>
      </c>
      <c r="B100" s="181" t="str">
        <f>Table1[[#This Row],[BON code]]</f>
        <v>CWW20A_050_PR24</v>
      </c>
      <c r="C100" s="181" t="str">
        <f>Table1[[#This Row],[Item Description]]</f>
        <v>Network / Storm overflow data - Number of new MCERTs event duration monitors installed at SPS emergency overflows</v>
      </c>
      <c r="D100" s="159" t="s">
        <v>85</v>
      </c>
      <c r="E100" s="186"/>
      <c r="F100" s="186"/>
      <c r="G100" s="186"/>
      <c r="H100" s="186"/>
      <c r="I100" s="186"/>
      <c r="J100" s="186"/>
      <c r="K100" s="187"/>
    </row>
    <row r="101" spans="1:12">
      <c r="A101" s="181" t="str">
        <f>Table1[[#This Row],[Acronym]]</f>
        <v>SRN</v>
      </c>
      <c r="B101" s="181" t="str">
        <f>Table1[[#This Row],[BON code]]</f>
        <v>CWW20A_051_PR24</v>
      </c>
      <c r="C101" s="181" t="str">
        <f>Table1[[#This Row],[Item Description]]</f>
        <v>Network / Storm overflow data - Number of new MCERTs flow monitors (PFF) installed at SPSs with combined emergency and storm overflows.</v>
      </c>
      <c r="D101" s="159" t="s">
        <v>85</v>
      </c>
      <c r="E101" s="186"/>
      <c r="F101" s="186"/>
      <c r="G101" s="186"/>
      <c r="H101" s="186"/>
      <c r="I101" s="186"/>
      <c r="J101" s="186"/>
      <c r="K101" s="187"/>
    </row>
    <row r="102" spans="1:12">
      <c r="A102" s="181" t="str">
        <f>Table1[[#This Row],[Acronym]]</f>
        <v>SRN</v>
      </c>
      <c r="B102" s="181" t="str">
        <f>Table1[[#This Row],[BON code]]</f>
        <v>CWW1A_015TOT_PR24</v>
      </c>
      <c r="C102" s="181" t="str">
        <f>Table1[[#This Row],[Item Description]]</f>
        <v>Net totex - Total</v>
      </c>
      <c r="D102" s="159" t="s">
        <v>85</v>
      </c>
      <c r="E102" s="186"/>
      <c r="F102" s="186"/>
      <c r="G102" s="186"/>
      <c r="H102" s="186"/>
      <c r="I102" s="186"/>
      <c r="J102" s="186"/>
      <c r="K102" s="189"/>
    </row>
    <row r="103" spans="1:12">
      <c r="A103" s="181" t="str">
        <f>Table1[[#This Row],[Acronym]]</f>
        <v>TMS</v>
      </c>
      <c r="B103" s="181" t="str">
        <f>Table1[[#This Row],[BON code]]</f>
        <v>CWW3_010TOT_PR24</v>
      </c>
      <c r="C103" s="181" t="str">
        <f>Table1[[#This Row],[Item Description]]</f>
        <v>EA/NRW environmental programme wastewater (WINEP/NEP) - MCERTs monitoring at emergency sewage pumping station overflows (WINEP/NEP) wastewater capex - Total</v>
      </c>
      <c r="D103" s="159" t="s">
        <v>85</v>
      </c>
      <c r="E103" s="186"/>
      <c r="F103" s="186"/>
      <c r="G103" s="186"/>
      <c r="H103" s="186"/>
      <c r="I103" s="186"/>
      <c r="J103" s="186"/>
      <c r="K103" s="187"/>
    </row>
    <row r="104" spans="1:12">
      <c r="A104" s="181" t="str">
        <f>Table1[[#This Row],[Acronym]]</f>
        <v>TMS</v>
      </c>
      <c r="B104" s="181" t="str">
        <f>Table1[[#This Row],[BON code]]</f>
        <v>CWW3_011TOT_PR24</v>
      </c>
      <c r="C104" s="181" t="str">
        <f>Table1[[#This Row],[Item Description]]</f>
        <v>EA/NRW environmental programme wastewater (WINEP/NEP) - MCERTs monitoring at emergency sewage pumping station overflows (WINEP/NEP) wastewater opex - Total</v>
      </c>
      <c r="D104" s="159" t="s">
        <v>85</v>
      </c>
      <c r="E104" s="186"/>
      <c r="F104" s="186"/>
      <c r="G104" s="186"/>
      <c r="H104" s="186"/>
      <c r="I104" s="186"/>
      <c r="J104" s="186"/>
      <c r="K104" s="187"/>
    </row>
    <row r="105" spans="1:12">
      <c r="A105" s="181" t="str">
        <f>Table1[[#This Row],[Acronym]]</f>
        <v>TMS</v>
      </c>
      <c r="B105" s="181" t="str">
        <f>Table1[[#This Row],[BON code]]</f>
        <v>CWW3_012TOT_PR24</v>
      </c>
      <c r="C105" s="181" t="str">
        <f>Table1[[#This Row],[Item Description]]</f>
        <v>EA/NRW environmental programme wastewater (WINEP/NEP) - MCERTs monitoring at emergency sewage pumping station overflows (WINEP/NEP) wastewater totex - Total</v>
      </c>
      <c r="D105" s="159" t="s">
        <v>99</v>
      </c>
      <c r="E105" s="190"/>
      <c r="F105" s="190"/>
      <c r="G105" s="190"/>
      <c r="H105" s="190"/>
      <c r="I105" s="190"/>
      <c r="J105" s="190"/>
      <c r="K105" s="187"/>
    </row>
    <row r="106" spans="1:12">
      <c r="A106" s="181" t="str">
        <f>Table1[[#This Row],[Acronym]]</f>
        <v>TMS</v>
      </c>
      <c r="B106" s="181" t="str">
        <f>Table1[[#This Row],[BON code]]</f>
        <v>CWW12_010TOT_PR24</v>
      </c>
      <c r="C106" s="181" t="str">
        <f>Table1[[#This Row],[Item Description]]</f>
        <v>EA/NRW environmental programme wastewater (WINEP/NEP) - MCERTs monitoring at emergency sewage pumping station overflows (WINEP/NEP) wastewater capex - Total</v>
      </c>
      <c r="D106" s="159" t="s">
        <v>99</v>
      </c>
      <c r="E106" s="190"/>
      <c r="F106" s="190"/>
      <c r="G106" s="190"/>
      <c r="H106" s="190"/>
      <c r="I106" s="190"/>
      <c r="J106" s="190"/>
      <c r="K106" s="187"/>
    </row>
    <row r="107" spans="1:12">
      <c r="A107" s="181" t="str">
        <f>Table1[[#This Row],[Acronym]]</f>
        <v>TMS</v>
      </c>
      <c r="B107" s="181" t="str">
        <f>Table1[[#This Row],[BON code]]</f>
        <v>CWW12_011TOT_PR24</v>
      </c>
      <c r="C107" s="181" t="str">
        <f>Table1[[#This Row],[Item Description]]</f>
        <v>EA/NRW environmental programme wastewater (WINEP/NEP) - MCERTs monitoring at emergency sewage pumping station overflows (WINEP/NEP) wastewater opex - Total</v>
      </c>
      <c r="D107" s="159" t="s">
        <v>99</v>
      </c>
      <c r="E107" s="186"/>
      <c r="F107" s="186"/>
      <c r="G107" s="186"/>
      <c r="H107" s="186"/>
      <c r="I107" s="186"/>
      <c r="J107" s="186"/>
      <c r="K107" s="187"/>
    </row>
    <row r="108" spans="1:12">
      <c r="A108" s="181" t="str">
        <f>Table1[[#This Row],[Acronym]]</f>
        <v>TMS</v>
      </c>
      <c r="B108" s="181" t="str">
        <f>Table1[[#This Row],[BON code]]</f>
        <v>CWW12_012TOT_PR24</v>
      </c>
      <c r="C108" s="181" t="str">
        <f>Table1[[#This Row],[Item Description]]</f>
        <v>EA/NRW environmental programme wastewater (WINEP/NEP) - MCERTs monitoring at emergency sewage pumping station overflows (WINEP/NEP) wastewater totex - Total</v>
      </c>
      <c r="D108" s="159" t="s">
        <v>99</v>
      </c>
      <c r="E108" s="186"/>
      <c r="F108" s="186"/>
      <c r="G108" s="186"/>
      <c r="H108" s="186"/>
      <c r="I108" s="186"/>
      <c r="J108" s="186"/>
      <c r="K108" s="187"/>
    </row>
    <row r="109" spans="1:12">
      <c r="A109" s="181" t="str">
        <f>Table1[[#This Row],[Acronym]]</f>
        <v>TMS</v>
      </c>
      <c r="B109" s="181" t="str">
        <f>Table1[[#This Row],[BON code]]</f>
        <v>CWW17_010TOT_PR24</v>
      </c>
      <c r="C109" s="181" t="str">
        <f>Table1[[#This Row],[Item Description]]</f>
        <v>EA/NRW environmental programme wastewater (WINEP/NEP) - MCERTs monitoring at emergency sewage pumping station overflows (WINEP/NEP) wastewater capex - Total</v>
      </c>
      <c r="D109" s="159" t="s">
        <v>85</v>
      </c>
      <c r="E109" s="186"/>
      <c r="F109" s="186"/>
      <c r="G109" s="186"/>
      <c r="H109" s="186"/>
      <c r="I109" s="186"/>
      <c r="J109" s="186"/>
      <c r="K109" s="187"/>
    </row>
    <row r="110" spans="1:12">
      <c r="A110" s="181" t="str">
        <f>Table1[[#This Row],[Acronym]]</f>
        <v>TMS</v>
      </c>
      <c r="B110" s="181" t="str">
        <f>Table1[[#This Row],[BON code]]</f>
        <v>CWW17_011TOT_PR24</v>
      </c>
      <c r="C110" s="181" t="str">
        <f>Table1[[#This Row],[Item Description]]</f>
        <v>EA/NRW environmental programme wastewater (WINEP/NEP) - MCERTs monitoring at emergency sewage pumping station overflows (WINEP/NEP) wastewater opex - Total</v>
      </c>
      <c r="D110" s="159" t="s">
        <v>85</v>
      </c>
      <c r="E110" s="186"/>
      <c r="F110" s="186"/>
      <c r="G110" s="186"/>
      <c r="H110" s="186"/>
      <c r="I110" s="186"/>
      <c r="J110" s="186"/>
      <c r="K110" s="189"/>
    </row>
    <row r="111" spans="1:12">
      <c r="A111" s="181" t="str">
        <f>Table1[[#This Row],[Acronym]]</f>
        <v>TMS</v>
      </c>
      <c r="B111" s="181" t="str">
        <f>Table1[[#This Row],[BON code]]</f>
        <v>CWW17_012TOT_PR24</v>
      </c>
      <c r="C111" s="181" t="str">
        <f>Table1[[#This Row],[Item Description]]</f>
        <v>EA/NRW environmental programme wastewater (WINEP/NEP) - MCERTs monitoring at emergency sewage pumping station overflows (WINEP/NEP) wastewater totex - Total</v>
      </c>
      <c r="D111" s="159" t="s">
        <v>85</v>
      </c>
      <c r="E111" s="186"/>
      <c r="F111" s="186"/>
      <c r="G111" s="186"/>
      <c r="H111" s="186"/>
      <c r="I111" s="186"/>
      <c r="J111" s="186"/>
      <c r="K111" s="187"/>
    </row>
    <row r="112" spans="1:12">
      <c r="A112" s="181" t="str">
        <f>Table1[[#This Row],[Acronym]]</f>
        <v>TMS</v>
      </c>
      <c r="B112" s="181" t="str">
        <f>Table1[[#This Row],[BON code]]</f>
        <v>CWW20_050_PR24</v>
      </c>
      <c r="C112" s="181" t="str">
        <f>Table1[[#This Row],[Item Description]]</f>
        <v>Network / Storm overflow data - Number of new MCERTs event duration monitors installed at SPS emergency overflows</v>
      </c>
      <c r="D112" s="159" t="s">
        <v>85</v>
      </c>
      <c r="E112" s="186"/>
      <c r="F112" s="186"/>
      <c r="G112" s="186"/>
      <c r="H112" s="264"/>
      <c r="I112" s="264"/>
      <c r="J112" s="264"/>
      <c r="K112" s="265"/>
      <c r="L112" s="266"/>
    </row>
    <row r="113" spans="1:12">
      <c r="A113" s="181" t="str">
        <f>Table1[[#This Row],[Acronym]]</f>
        <v>TMS</v>
      </c>
      <c r="B113" s="181" t="str">
        <f>Table1[[#This Row],[BON code]]</f>
        <v>CWW20_051_PR24</v>
      </c>
      <c r="C113" s="181" t="str">
        <f>Table1[[#This Row],[Item Description]]</f>
        <v>Network / Storm overflow data - Number of new MCERTs flow monitors (PFF) installed at SPSs with combined emergency and storm overflows.</v>
      </c>
      <c r="D113" s="159" t="s">
        <v>85</v>
      </c>
      <c r="E113" s="190"/>
      <c r="F113" s="190"/>
      <c r="G113" s="190"/>
      <c r="H113" s="264"/>
      <c r="I113" s="264"/>
      <c r="J113" s="264"/>
      <c r="K113" s="265"/>
      <c r="L113" s="266"/>
    </row>
    <row r="114" spans="1:12">
      <c r="A114" s="181" t="str">
        <f>Table1[[#This Row],[Acronym]]</f>
        <v>TMS</v>
      </c>
      <c r="B114" s="181" t="str">
        <f>Table1[[#This Row],[BON code]]</f>
        <v>CWW20A_050_PR24</v>
      </c>
      <c r="C114" s="181" t="str">
        <f>Table1[[#This Row],[Item Description]]</f>
        <v>Network / Storm overflow data - Number of new MCERTs event duration monitors installed at SPS emergency overflows</v>
      </c>
      <c r="D114" s="159" t="s">
        <v>85</v>
      </c>
      <c r="E114" s="190"/>
      <c r="F114" s="190"/>
      <c r="G114" s="190"/>
      <c r="H114" s="190"/>
      <c r="I114" s="190"/>
      <c r="J114" s="190"/>
      <c r="K114" s="187"/>
    </row>
    <row r="115" spans="1:12">
      <c r="A115" s="181" t="str">
        <f>Table1[[#This Row],[Acronym]]</f>
        <v>TMS</v>
      </c>
      <c r="B115" s="181" t="str">
        <f>Table1[[#This Row],[BON code]]</f>
        <v>CWW20A_051_PR24</v>
      </c>
      <c r="C115" s="181" t="str">
        <f>Table1[[#This Row],[Item Description]]</f>
        <v>Network / Storm overflow data - Number of new MCERTs flow monitors (PFF) installed at SPSs with combined emergency and storm overflows.</v>
      </c>
      <c r="D115" s="159" t="s">
        <v>85</v>
      </c>
      <c r="E115" s="186"/>
      <c r="F115" s="186"/>
      <c r="G115" s="186"/>
      <c r="H115" s="186"/>
      <c r="I115" s="186"/>
      <c r="J115" s="186"/>
      <c r="K115" s="187"/>
    </row>
    <row r="116" spans="1:12">
      <c r="A116" s="181" t="str">
        <f>Table1[[#This Row],[Acronym]]</f>
        <v>TMS</v>
      </c>
      <c r="B116" s="181" t="str">
        <f>Table1[[#This Row],[BON code]]</f>
        <v>CWW1A_015TOT_PR24</v>
      </c>
      <c r="C116" s="181" t="str">
        <f>Table1[[#This Row],[Item Description]]</f>
        <v>Net totex - Total</v>
      </c>
      <c r="D116" s="159" t="s">
        <v>85</v>
      </c>
      <c r="E116" s="186"/>
      <c r="F116" s="186"/>
      <c r="G116" s="186"/>
      <c r="H116" s="186"/>
      <c r="I116" s="186"/>
      <c r="J116" s="186"/>
      <c r="K116" s="187"/>
    </row>
    <row r="117" spans="1:12">
      <c r="A117" s="181" t="str">
        <f>Table1[[#This Row],[Acronym]]</f>
        <v>NWT</v>
      </c>
      <c r="B117" s="181" t="str">
        <f>Table1[[#This Row],[BON code]]</f>
        <v>CWW3_010TOT_PR24</v>
      </c>
      <c r="C117" s="181" t="str">
        <f>Table1[[#This Row],[Item Description]]</f>
        <v>EA/NRW environmental programme wastewater (WINEP/NEP) - MCERTs monitoring at emergency sewage pumping station overflows (WINEP/NEP) wastewater capex - Total</v>
      </c>
      <c r="D117" s="159" t="s">
        <v>85</v>
      </c>
      <c r="E117" s="186"/>
      <c r="F117" s="186"/>
      <c r="G117" s="186">
        <f>66.461*0.0603</f>
        <v>4.0075982999999997</v>
      </c>
      <c r="H117" s="186">
        <f>66.461*0.0614</f>
        <v>4.0807054000000003</v>
      </c>
      <c r="I117" s="186">
        <f>66.461*0.0606</f>
        <v>4.0275366000000004</v>
      </c>
      <c r="J117" s="186">
        <f>66.461*0.318</f>
        <v>21.134598</v>
      </c>
      <c r="K117" s="186">
        <f>66.461*0.4997</f>
        <v>33.2105617</v>
      </c>
      <c r="L117" s="2" t="s">
        <v>126</v>
      </c>
    </row>
    <row r="118" spans="1:12">
      <c r="A118" s="181" t="str">
        <f>Table1[[#This Row],[Acronym]]</f>
        <v>NWT</v>
      </c>
      <c r="B118" s="181" t="str">
        <f>Table1[[#This Row],[BON code]]</f>
        <v>CWW3_011TOT_PR24</v>
      </c>
      <c r="C118" s="181" t="str">
        <f>Table1[[#This Row],[Item Description]]</f>
        <v>EA/NRW environmental programme wastewater (WINEP/NEP) - MCERTs monitoring at emergency sewage pumping station overflows (WINEP/NEP) wastewater opex - Total</v>
      </c>
      <c r="D118" s="159" t="s">
        <v>99</v>
      </c>
      <c r="E118" s="186"/>
      <c r="F118" s="186"/>
      <c r="G118" s="186">
        <f>3.47*0.2</f>
        <v>0.69400000000000006</v>
      </c>
      <c r="H118" s="186">
        <f>3.47*0.2</f>
        <v>0.69400000000000006</v>
      </c>
      <c r="I118" s="186">
        <f>3.47*0.2</f>
        <v>0.69400000000000006</v>
      </c>
      <c r="J118" s="186">
        <f>3.47*0.2</f>
        <v>0.69400000000000006</v>
      </c>
      <c r="K118" s="186">
        <f>3.47*0.2</f>
        <v>0.69400000000000006</v>
      </c>
      <c r="L118" s="2" t="s">
        <v>127</v>
      </c>
    </row>
    <row r="119" spans="1:12">
      <c r="A119" s="181" t="str">
        <f>Table1[[#This Row],[Acronym]]</f>
        <v>NWT</v>
      </c>
      <c r="B119" s="181" t="str">
        <f>Table1[[#This Row],[BON code]]</f>
        <v>CWW3_012TOT_PR24</v>
      </c>
      <c r="C119" s="181" t="str">
        <f>Table1[[#This Row],[Item Description]]</f>
        <v>EA/NRW environmental programme wastewater (WINEP/NEP) - MCERTs monitoring at emergency sewage pumping station overflows (WINEP/NEP) wastewater totex - Total</v>
      </c>
      <c r="D119" s="159" t="s">
        <v>99</v>
      </c>
      <c r="E119" s="186"/>
      <c r="F119" s="186"/>
      <c r="G119" s="186">
        <v>4.7015982999999997</v>
      </c>
      <c r="H119" s="186">
        <v>4.7747054000000002</v>
      </c>
      <c r="I119" s="186">
        <v>4.7215366000000003</v>
      </c>
      <c r="J119" s="186">
        <v>21.828598</v>
      </c>
      <c r="K119" s="186">
        <v>33.904561700000002</v>
      </c>
    </row>
    <row r="120" spans="1:12">
      <c r="A120" s="181" t="str">
        <f>Table1[[#This Row],[Acronym]]</f>
        <v>NWT</v>
      </c>
      <c r="B120" s="181" t="str">
        <f>Table1[[#This Row],[BON code]]</f>
        <v>CWW12_010TOT_PR24</v>
      </c>
      <c r="C120" s="181" t="str">
        <f>Table1[[#This Row],[Item Description]]</f>
        <v>EA/NRW environmental programme wastewater (WINEP/NEP) - MCERTs monitoring at emergency sewage pumping station overflows (WINEP/NEP) wastewater capex - Total</v>
      </c>
      <c r="D120" s="159" t="s">
        <v>99</v>
      </c>
      <c r="E120" s="186"/>
      <c r="F120" s="186"/>
      <c r="G120" s="186"/>
      <c r="H120" s="186"/>
      <c r="I120" s="186"/>
      <c r="J120" s="186"/>
      <c r="K120" s="187"/>
    </row>
    <row r="121" spans="1:12">
      <c r="A121" s="181" t="str">
        <f>Table1[[#This Row],[Acronym]]</f>
        <v>NWT</v>
      </c>
      <c r="B121" s="181" t="str">
        <f>Table1[[#This Row],[BON code]]</f>
        <v>CWW12_011TOT_PR24</v>
      </c>
      <c r="C121" s="181" t="str">
        <f>Table1[[#This Row],[Item Description]]</f>
        <v>EA/NRW environmental programme wastewater (WINEP/NEP) - MCERTs monitoring at emergency sewage pumping station overflows (WINEP/NEP) wastewater opex - Total</v>
      </c>
      <c r="D121" s="159" t="s">
        <v>99</v>
      </c>
      <c r="E121" s="190"/>
      <c r="F121" s="190"/>
      <c r="G121" s="190"/>
      <c r="H121" s="190"/>
      <c r="I121" s="190"/>
      <c r="J121" s="190"/>
      <c r="K121" s="187"/>
    </row>
    <row r="122" spans="1:12">
      <c r="A122" s="181" t="str">
        <f>Table1[[#This Row],[Acronym]]</f>
        <v>NWT</v>
      </c>
      <c r="B122" s="181" t="str">
        <f>Table1[[#This Row],[BON code]]</f>
        <v>CWW12_012TOT_PR24</v>
      </c>
      <c r="C122" s="181" t="str">
        <f>Table1[[#This Row],[Item Description]]</f>
        <v>EA/NRW environmental programme wastewater (WINEP/NEP) - MCERTs monitoring at emergency sewage pumping station overflows (WINEP/NEP) wastewater totex - Total</v>
      </c>
      <c r="D122" s="159" t="s">
        <v>85</v>
      </c>
      <c r="E122" s="190"/>
      <c r="F122" s="190"/>
      <c r="G122" s="190"/>
      <c r="H122" s="190"/>
      <c r="I122" s="190"/>
      <c r="J122" s="190"/>
      <c r="K122" s="187"/>
    </row>
    <row r="123" spans="1:12">
      <c r="A123" s="181" t="str">
        <f>Table1[[#This Row],[Acronym]]</f>
        <v>NWT</v>
      </c>
      <c r="B123" s="181" t="str">
        <f>Table1[[#This Row],[BON code]]</f>
        <v>CWW17_010TOT_PR24</v>
      </c>
      <c r="C123" s="181" t="str">
        <f>Table1[[#This Row],[Item Description]]</f>
        <v>EA/NRW environmental programme wastewater (WINEP/NEP) - MCERTs monitoring at emergency sewage pumping station overflows (WINEP/NEP) wastewater capex - Total</v>
      </c>
      <c r="D123" s="159" t="s">
        <v>85</v>
      </c>
      <c r="E123" s="186"/>
      <c r="F123" s="186"/>
      <c r="G123" s="186"/>
      <c r="H123" s="186"/>
      <c r="I123" s="186"/>
      <c r="J123" s="186"/>
      <c r="K123" s="187"/>
    </row>
    <row r="124" spans="1:12">
      <c r="A124" s="181" t="str">
        <f>Table1[[#This Row],[Acronym]]</f>
        <v>NWT</v>
      </c>
      <c r="B124" s="181" t="str">
        <f>Table1[[#This Row],[BON code]]</f>
        <v>CWW17_011TOT_PR24</v>
      </c>
      <c r="C124" s="181" t="str">
        <f>Table1[[#This Row],[Item Description]]</f>
        <v>EA/NRW environmental programme wastewater (WINEP/NEP) - MCERTs monitoring at emergency sewage pumping station overflows (WINEP/NEP) wastewater opex - Total</v>
      </c>
      <c r="D124" s="159" t="s">
        <v>85</v>
      </c>
      <c r="E124" s="186"/>
      <c r="F124" s="186"/>
      <c r="G124" s="186"/>
      <c r="H124" s="186"/>
      <c r="I124" s="186"/>
      <c r="J124" s="186"/>
      <c r="K124" s="187"/>
    </row>
    <row r="125" spans="1:12">
      <c r="A125" s="181" t="str">
        <f>Table1[[#This Row],[Acronym]]</f>
        <v>NWT</v>
      </c>
      <c r="B125" s="181" t="str">
        <f>Table1[[#This Row],[BON code]]</f>
        <v>CWW17_012TOT_PR24</v>
      </c>
      <c r="C125" s="181" t="str">
        <f>Table1[[#This Row],[Item Description]]</f>
        <v>EA/NRW environmental programme wastewater (WINEP/NEP) - MCERTs monitoring at emergency sewage pumping station overflows (WINEP/NEP) wastewater totex - Total</v>
      </c>
      <c r="D125" s="159" t="s">
        <v>85</v>
      </c>
      <c r="E125" s="186"/>
      <c r="F125" s="186"/>
      <c r="G125" s="186"/>
      <c r="H125" s="186"/>
      <c r="I125" s="186"/>
      <c r="J125" s="186"/>
      <c r="K125" s="187"/>
    </row>
    <row r="126" spans="1:12">
      <c r="A126" s="181" t="str">
        <f>Table1[[#This Row],[Acronym]]</f>
        <v>NWT</v>
      </c>
      <c r="B126" s="181" t="str">
        <f>Table1[[#This Row],[BON code]]</f>
        <v>CWW20_050_PR24</v>
      </c>
      <c r="C126" s="181" t="str">
        <f>Table1[[#This Row],[Item Description]]</f>
        <v>Network / Storm overflow data - Number of new MCERTs event duration monitors installed at SPS emergency overflows</v>
      </c>
      <c r="D126" s="159" t="s">
        <v>85</v>
      </c>
      <c r="E126" s="186"/>
      <c r="F126" s="186"/>
      <c r="G126" s="186"/>
      <c r="H126" s="186"/>
      <c r="I126" s="186"/>
      <c r="J126" s="186"/>
      <c r="K126" s="189"/>
    </row>
    <row r="127" spans="1:12">
      <c r="A127" s="181" t="str">
        <f>Table1[[#This Row],[Acronym]]</f>
        <v>NWT</v>
      </c>
      <c r="B127" s="181" t="str">
        <f>Table1[[#This Row],[BON code]]</f>
        <v>CWW20_051_PR24</v>
      </c>
      <c r="C127" s="181" t="str">
        <f>Table1[[#This Row],[Item Description]]</f>
        <v>Network / Storm overflow data - Number of new MCERTs flow monitors (PFF) installed at SPSs with combined emergency and storm overflows.</v>
      </c>
      <c r="D127" s="159" t="s">
        <v>85</v>
      </c>
      <c r="E127" s="186"/>
      <c r="F127" s="186"/>
      <c r="G127" s="186"/>
      <c r="H127" s="186"/>
      <c r="I127" s="186"/>
      <c r="J127" s="186"/>
      <c r="K127" s="187"/>
    </row>
    <row r="128" spans="1:12">
      <c r="A128" s="181" t="str">
        <f>Table1[[#This Row],[Acronym]]</f>
        <v>NWT</v>
      </c>
      <c r="B128" s="181" t="str">
        <f>Table1[[#This Row],[BON code]]</f>
        <v>CWW20A_050_PR24</v>
      </c>
      <c r="C128" s="181" t="str">
        <f>Table1[[#This Row],[Item Description]]</f>
        <v>Network / Storm overflow data - Number of new MCERTs event duration monitors installed at SPS emergency overflows</v>
      </c>
      <c r="D128" s="159" t="s">
        <v>85</v>
      </c>
      <c r="E128" s="186"/>
      <c r="F128" s="186"/>
      <c r="G128" s="186"/>
      <c r="H128" s="186"/>
      <c r="I128" s="186"/>
      <c r="J128" s="186"/>
      <c r="K128" s="187"/>
    </row>
    <row r="129" spans="1:12">
      <c r="A129" s="181" t="str">
        <f>Table1[[#This Row],[Acronym]]</f>
        <v>NWT</v>
      </c>
      <c r="B129" s="181" t="str">
        <f>Table1[[#This Row],[BON code]]</f>
        <v>CWW20A_051_PR24</v>
      </c>
      <c r="C129" s="181" t="str">
        <f>Table1[[#This Row],[Item Description]]</f>
        <v>Network / Storm overflow data - Number of new MCERTs flow monitors (PFF) installed at SPSs with combined emergency and storm overflows.</v>
      </c>
      <c r="D129" s="159" t="s">
        <v>85</v>
      </c>
      <c r="E129" s="190"/>
      <c r="F129" s="190"/>
      <c r="G129" s="190"/>
      <c r="H129" s="190"/>
      <c r="I129" s="190"/>
      <c r="J129" s="190"/>
      <c r="K129" s="187"/>
    </row>
    <row r="130" spans="1:12">
      <c r="A130" s="181" t="str">
        <f>Table1[[#This Row],[Acronym]]</f>
        <v>NWT</v>
      </c>
      <c r="B130" s="181" t="str">
        <f>Table1[[#This Row],[BON code]]</f>
        <v>CWW1A_015TOT_PR24</v>
      </c>
      <c r="C130" s="181" t="str">
        <f>Table1[[#This Row],[Item Description]]</f>
        <v>Net totex - Total</v>
      </c>
      <c r="D130" s="159" t="s">
        <v>85</v>
      </c>
      <c r="E130" s="190"/>
      <c r="F130" s="190"/>
      <c r="G130" s="190"/>
      <c r="H130" s="190"/>
      <c r="I130" s="190"/>
      <c r="J130" s="190"/>
      <c r="K130" s="187"/>
    </row>
    <row r="131" spans="1:12">
      <c r="A131" s="181" t="str">
        <f>Table1[[#This Row],[Acronym]]</f>
        <v>WSX</v>
      </c>
      <c r="B131" s="181" t="str">
        <f>Table1[[#This Row],[BON code]]</f>
        <v>CWW3_010TOT_PR24</v>
      </c>
      <c r="C131" s="181" t="str">
        <f>Table1[[#This Row],[Item Description]]</f>
        <v>EA/NRW environmental programme wastewater (WINEP/NEP) - MCERTs monitoring at emergency sewage pumping station overflows (WINEP/NEP) wastewater capex - Total</v>
      </c>
      <c r="D131" s="159" t="s">
        <v>99</v>
      </c>
      <c r="E131" s="186"/>
      <c r="F131" s="186"/>
      <c r="G131" s="187">
        <f>19.533*0.1712</f>
        <v>3.3440496</v>
      </c>
      <c r="H131" s="187">
        <f>19.533*0.172</f>
        <v>3.3596759999999999</v>
      </c>
      <c r="I131" s="187">
        <f>19.533*0.2161</f>
        <v>4.2210812999999998</v>
      </c>
      <c r="J131" s="187">
        <f>19.533*0.2172</f>
        <v>4.2425676000000001</v>
      </c>
      <c r="K131" s="187">
        <f>19.533*0.2235</f>
        <v>4.3656255000000002</v>
      </c>
      <c r="L131" s="2" t="s">
        <v>128</v>
      </c>
    </row>
    <row r="132" spans="1:12">
      <c r="A132" s="181" t="str">
        <f>Table1[[#This Row],[Acronym]]</f>
        <v>WSX</v>
      </c>
      <c r="B132" s="181" t="str">
        <f>Table1[[#This Row],[BON code]]</f>
        <v>CWW3_011TOT_PR24</v>
      </c>
      <c r="C132" s="181" t="str">
        <f>Table1[[#This Row],[Item Description]]</f>
        <v>EA/NRW environmental programme wastewater (WINEP/NEP) - MCERTs monitoring at emergency sewage pumping station overflows (WINEP/NEP) wastewater opex - Total</v>
      </c>
      <c r="D132" s="159" t="s">
        <v>99</v>
      </c>
      <c r="E132" s="186"/>
      <c r="F132" s="186"/>
      <c r="G132" s="186"/>
      <c r="H132" s="186">
        <f>0.442*0.2053</f>
        <v>9.0742600000000007E-2</v>
      </c>
      <c r="I132" s="186">
        <f>0.442*0.2849</f>
        <v>0.1259258</v>
      </c>
      <c r="J132" s="186">
        <f>0.442*0.2863</f>
        <v>0.12654460000000001</v>
      </c>
      <c r="K132" s="186">
        <f>0.442*0.2235</f>
        <v>9.8787E-2</v>
      </c>
      <c r="L132" s="2" t="s">
        <v>129</v>
      </c>
    </row>
    <row r="133" spans="1:12">
      <c r="A133" s="181" t="str">
        <f>Table1[[#This Row],[Acronym]]</f>
        <v>WSX</v>
      </c>
      <c r="B133" s="181" t="str">
        <f>Table1[[#This Row],[BON code]]</f>
        <v>CWW3_012TOT_PR24</v>
      </c>
      <c r="C133" s="181" t="str">
        <f>Table1[[#This Row],[Item Description]]</f>
        <v>EA/NRW environmental programme wastewater (WINEP/NEP) - MCERTs monitoring at emergency sewage pumping station overflows (WINEP/NEP) wastewater totex - Total</v>
      </c>
      <c r="D133" s="159" t="s">
        <v>99</v>
      </c>
      <c r="E133" s="186"/>
      <c r="F133" s="186"/>
      <c r="G133" s="190">
        <v>3.3440496</v>
      </c>
      <c r="H133" s="190">
        <v>3.4504185999999999</v>
      </c>
      <c r="I133" s="190">
        <v>4.3470070999999999</v>
      </c>
      <c r="J133" s="190">
        <v>4.3691122</v>
      </c>
      <c r="K133" s="190">
        <v>4.4644124999999999</v>
      </c>
    </row>
    <row r="134" spans="1:12">
      <c r="A134" s="181" t="str">
        <f>Table1[[#This Row],[Acronym]]</f>
        <v>WSX</v>
      </c>
      <c r="B134" s="181" t="str">
        <f>Table1[[#This Row],[BON code]]</f>
        <v>CWW12_010TOT_PR24</v>
      </c>
      <c r="C134" s="181" t="str">
        <f>Table1[[#This Row],[Item Description]]</f>
        <v>EA/NRW environmental programme wastewater (WINEP/NEP) - MCERTs monitoring at emergency sewage pumping station overflows (WINEP/NEP) wastewater capex - Total</v>
      </c>
      <c r="D134" s="159" t="s">
        <v>99</v>
      </c>
      <c r="E134" s="186"/>
      <c r="F134" s="186"/>
      <c r="G134" s="186"/>
      <c r="H134" s="186"/>
      <c r="I134" s="186"/>
      <c r="J134" s="186"/>
      <c r="K134" s="189"/>
    </row>
    <row r="135" spans="1:12">
      <c r="A135" s="181" t="str">
        <f>Table1[[#This Row],[Acronym]]</f>
        <v>WSX</v>
      </c>
      <c r="B135" s="181" t="str">
        <f>Table1[[#This Row],[BON code]]</f>
        <v>CWW12_011TOT_PR24</v>
      </c>
      <c r="C135" s="181" t="str">
        <f>Table1[[#This Row],[Item Description]]</f>
        <v>EA/NRW environmental programme wastewater (WINEP/NEP) - MCERTs monitoring at emergency sewage pumping station overflows (WINEP/NEP) wastewater opex - Total</v>
      </c>
      <c r="D135" s="159" t="s">
        <v>85</v>
      </c>
      <c r="E135" s="186"/>
      <c r="F135" s="186"/>
      <c r="G135" s="186"/>
      <c r="H135" s="186"/>
      <c r="I135" s="186"/>
      <c r="J135" s="186"/>
      <c r="K135" s="187"/>
    </row>
    <row r="136" spans="1:12">
      <c r="A136" s="181" t="str">
        <f>Table1[[#This Row],[Acronym]]</f>
        <v>WSX</v>
      </c>
      <c r="B136" s="181" t="str">
        <f>Table1[[#This Row],[BON code]]</f>
        <v>CWW12_012TOT_PR24</v>
      </c>
      <c r="C136" s="181" t="str">
        <f>Table1[[#This Row],[Item Description]]</f>
        <v>EA/NRW environmental programme wastewater (WINEP/NEP) - MCERTs monitoring at emergency sewage pumping station overflows (WINEP/NEP) wastewater totex - Total</v>
      </c>
      <c r="D136" s="159" t="s">
        <v>85</v>
      </c>
      <c r="E136" s="186"/>
      <c r="F136" s="186"/>
      <c r="G136" s="186"/>
      <c r="H136" s="186"/>
      <c r="I136" s="186"/>
      <c r="J136" s="186"/>
      <c r="K136" s="187"/>
    </row>
    <row r="137" spans="1:12">
      <c r="A137" s="181" t="str">
        <f>Table1[[#This Row],[Acronym]]</f>
        <v>WSX</v>
      </c>
      <c r="B137" s="181" t="str">
        <f>Table1[[#This Row],[BON code]]</f>
        <v>CWW17_010TOT_PR24</v>
      </c>
      <c r="C137" s="181" t="str">
        <f>Table1[[#This Row],[Item Description]]</f>
        <v>EA/NRW environmental programme wastewater (WINEP/NEP) - MCERTs monitoring at emergency sewage pumping station overflows (WINEP/NEP) wastewater capex - Total</v>
      </c>
      <c r="D137" s="159" t="s">
        <v>85</v>
      </c>
      <c r="E137" s="190"/>
      <c r="F137" s="190"/>
      <c r="G137" s="190"/>
      <c r="H137" s="190"/>
      <c r="I137" s="190"/>
      <c r="J137" s="190"/>
      <c r="K137" s="187"/>
    </row>
    <row r="138" spans="1:12">
      <c r="A138" s="181" t="str">
        <f>Table1[[#This Row],[Acronym]]</f>
        <v>WSX</v>
      </c>
      <c r="B138" s="181" t="str">
        <f>Table1[[#This Row],[BON code]]</f>
        <v>CWW17_011TOT_PR24</v>
      </c>
      <c r="C138" s="181" t="str">
        <f>Table1[[#This Row],[Item Description]]</f>
        <v>EA/NRW environmental programme wastewater (WINEP/NEP) - MCERTs monitoring at emergency sewage pumping station overflows (WINEP/NEP) wastewater opex - Total</v>
      </c>
      <c r="D138" s="159" t="s">
        <v>85</v>
      </c>
      <c r="E138" s="190"/>
      <c r="F138" s="190"/>
      <c r="G138" s="190"/>
      <c r="H138" s="190"/>
      <c r="I138" s="190"/>
      <c r="J138" s="190"/>
      <c r="K138" s="187"/>
    </row>
    <row r="139" spans="1:12">
      <c r="A139" s="181" t="str">
        <f>Table1[[#This Row],[Acronym]]</f>
        <v>WSX</v>
      </c>
      <c r="B139" s="181" t="str">
        <f>Table1[[#This Row],[BON code]]</f>
        <v>CWW17_012TOT_PR24</v>
      </c>
      <c r="C139" s="181" t="str">
        <f>Table1[[#This Row],[Item Description]]</f>
        <v>EA/NRW environmental programme wastewater (WINEP/NEP) - MCERTs monitoring at emergency sewage pumping station overflows (WINEP/NEP) wastewater totex - Total</v>
      </c>
      <c r="D139" s="159" t="s">
        <v>85</v>
      </c>
      <c r="E139" s="186"/>
      <c r="F139" s="186"/>
      <c r="G139" s="186"/>
      <c r="H139" s="186"/>
      <c r="I139" s="186"/>
      <c r="J139" s="186"/>
      <c r="K139" s="187"/>
    </row>
    <row r="140" spans="1:12">
      <c r="A140" s="181" t="str">
        <f>Table1[[#This Row],[Acronym]]</f>
        <v>WSX</v>
      </c>
      <c r="B140" s="181" t="str">
        <f>Table1[[#This Row],[BON code]]</f>
        <v>CWW20_050_PR24</v>
      </c>
      <c r="C140" s="181" t="str">
        <f>Table1[[#This Row],[Item Description]]</f>
        <v>Network / Storm overflow data - Number of new MCERTs event duration monitors installed at SPS emergency overflows</v>
      </c>
      <c r="D140" s="159" t="s">
        <v>85</v>
      </c>
      <c r="E140" s="186"/>
      <c r="F140" s="186"/>
      <c r="G140" s="186"/>
      <c r="H140" s="186"/>
      <c r="I140" s="186"/>
      <c r="J140" s="186"/>
      <c r="K140" s="187"/>
    </row>
    <row r="141" spans="1:12">
      <c r="A141" s="181" t="str">
        <f>Table1[[#This Row],[Acronym]]</f>
        <v>WSX</v>
      </c>
      <c r="B141" s="181" t="str">
        <f>Table1[[#This Row],[BON code]]</f>
        <v>CWW20_051_PR24</v>
      </c>
      <c r="C141" s="181" t="str">
        <f>Table1[[#This Row],[Item Description]]</f>
        <v>Network / Storm overflow data - Number of new MCERTs flow monitors (PFF) installed at SPSs with combined emergency and storm overflows.</v>
      </c>
      <c r="D141" s="159" t="s">
        <v>85</v>
      </c>
      <c r="E141" s="186"/>
      <c r="F141" s="186"/>
      <c r="G141" s="186"/>
      <c r="H141" s="186"/>
      <c r="I141" s="186"/>
      <c r="J141" s="186"/>
      <c r="K141" s="187"/>
    </row>
    <row r="142" spans="1:12">
      <c r="A142" s="181" t="str">
        <f>Table1[[#This Row],[Acronym]]</f>
        <v>WSX</v>
      </c>
      <c r="B142" s="181" t="str">
        <f>Table1[[#This Row],[BON code]]</f>
        <v>CWW20A_050_PR24</v>
      </c>
      <c r="C142" s="181" t="str">
        <f>Table1[[#This Row],[Item Description]]</f>
        <v>Network / Storm overflow data - Number of new MCERTs event duration monitors installed at SPS emergency overflows</v>
      </c>
      <c r="D142" s="159" t="s">
        <v>85</v>
      </c>
      <c r="E142" s="186"/>
      <c r="F142" s="186"/>
      <c r="G142" s="186"/>
      <c r="H142" s="186"/>
      <c r="I142" s="186"/>
      <c r="J142" s="186"/>
      <c r="K142" s="189"/>
    </row>
    <row r="143" spans="1:12">
      <c r="A143" s="181" t="str">
        <f>Table1[[#This Row],[Acronym]]</f>
        <v>WSX</v>
      </c>
      <c r="B143" s="181" t="str">
        <f>Table1[[#This Row],[BON code]]</f>
        <v>CWW20A_051_PR24</v>
      </c>
      <c r="C143" s="181" t="str">
        <f>Table1[[#This Row],[Item Description]]</f>
        <v>Network / Storm overflow data - Number of new MCERTs flow monitors (PFF) installed at SPSs with combined emergency and storm overflows.</v>
      </c>
      <c r="D143" s="159" t="s">
        <v>85</v>
      </c>
      <c r="E143" s="186"/>
      <c r="F143" s="186"/>
      <c r="G143" s="186"/>
      <c r="H143" s="186"/>
      <c r="I143" s="186"/>
      <c r="J143" s="186"/>
      <c r="K143" s="187"/>
    </row>
    <row r="144" spans="1:12">
      <c r="A144" s="181" t="str">
        <f>Table1[[#This Row],[Acronym]]</f>
        <v>WSX</v>
      </c>
      <c r="B144" s="181" t="str">
        <f>Table1[[#This Row],[BON code]]</f>
        <v>CWW1A_015TOT_PR24</v>
      </c>
      <c r="C144" s="181" t="str">
        <f>Table1[[#This Row],[Item Description]]</f>
        <v>Net totex - Total</v>
      </c>
      <c r="D144" s="159" t="s">
        <v>99</v>
      </c>
      <c r="E144" s="186"/>
      <c r="F144" s="186"/>
      <c r="G144" s="186"/>
      <c r="H144" s="186"/>
      <c r="I144" s="186"/>
      <c r="J144" s="186"/>
      <c r="K144" s="187"/>
    </row>
    <row r="145" spans="1:12">
      <c r="A145" s="181" t="str">
        <f>Table1[[#This Row],[Acronym]]</f>
        <v>YKY</v>
      </c>
      <c r="B145" s="181" t="str">
        <f>Table1[[#This Row],[BON code]]</f>
        <v>CWW3_010TOT_PR24</v>
      </c>
      <c r="C145" s="181" t="str">
        <f>Table1[[#This Row],[Item Description]]</f>
        <v>EA/NRW environmental programme wastewater (WINEP/NEP) - MCERTs monitoring at emergency sewage pumping station overflows (WINEP/NEP) wastewater capex - Total</v>
      </c>
      <c r="D145" s="159" t="s">
        <v>99</v>
      </c>
      <c r="E145" s="190"/>
      <c r="F145" s="190"/>
      <c r="G145" s="190">
        <f>37.89*0.1763</f>
        <v>6.6800070000000007</v>
      </c>
      <c r="H145" s="190">
        <f>37.89*0.2375</f>
        <v>8.998875</v>
      </c>
      <c r="I145" s="190">
        <f>37.89*0.2476</f>
        <v>9.3815639999999991</v>
      </c>
      <c r="J145" s="190">
        <f>37.89*0.2073</f>
        <v>7.8545970000000009</v>
      </c>
      <c r="K145" s="190">
        <f>37.89*0.1312</f>
        <v>4.9711680000000005</v>
      </c>
      <c r="L145" s="2" t="s">
        <v>130</v>
      </c>
    </row>
    <row r="146" spans="1:12">
      <c r="A146" s="181" t="str">
        <f>Table1[[#This Row],[Acronym]]</f>
        <v>YKY</v>
      </c>
      <c r="B146" s="181" t="str">
        <f>Table1[[#This Row],[BON code]]</f>
        <v>CWW3_011TOT_PR24</v>
      </c>
      <c r="C146" s="181" t="str">
        <f>Table1[[#This Row],[Item Description]]</f>
        <v>EA/NRW environmental programme wastewater (WINEP/NEP) - MCERTs monitoring at emergency sewage pumping station overflows (WINEP/NEP) wastewater opex - Total</v>
      </c>
      <c r="D146" s="159" t="s">
        <v>99</v>
      </c>
      <c r="E146" s="190"/>
      <c r="F146" s="190"/>
      <c r="G146" s="190"/>
      <c r="H146" s="190"/>
      <c r="I146" s="190"/>
      <c r="J146" s="190"/>
      <c r="K146" s="187">
        <v>0.37</v>
      </c>
      <c r="L146" s="2" t="s">
        <v>131</v>
      </c>
    </row>
    <row r="147" spans="1:12">
      <c r="A147" s="181" t="str">
        <f>Table1[[#This Row],[Acronym]]</f>
        <v>YKY</v>
      </c>
      <c r="B147" s="181" t="str">
        <f>Table1[[#This Row],[BON code]]</f>
        <v>CWW3_012TOT_PR24</v>
      </c>
      <c r="C147" s="181" t="str">
        <f>Table1[[#This Row],[Item Description]]</f>
        <v>EA/NRW environmental programme wastewater (WINEP/NEP) - MCERTs monitoring at emergency sewage pumping station overflows (WINEP/NEP) wastewater totex - Total</v>
      </c>
      <c r="D147" s="159" t="s">
        <v>99</v>
      </c>
      <c r="E147" s="186"/>
      <c r="F147" s="186"/>
      <c r="G147" s="190">
        <v>6.6800070000000007</v>
      </c>
      <c r="H147" s="190">
        <v>8.998875</v>
      </c>
      <c r="I147" s="190">
        <v>9.3815639999999991</v>
      </c>
      <c r="J147" s="190">
        <v>7.8545970000000009</v>
      </c>
      <c r="K147" s="187">
        <v>5.3411680000000006</v>
      </c>
    </row>
    <row r="148" spans="1:12">
      <c r="A148" s="181" t="str">
        <f>Table1[[#This Row],[Acronym]]</f>
        <v>YKY</v>
      </c>
      <c r="B148" s="181" t="str">
        <f>Table1[[#This Row],[BON code]]</f>
        <v>CWW12_010TOT_PR24</v>
      </c>
      <c r="C148" s="181" t="str">
        <f>Table1[[#This Row],[Item Description]]</f>
        <v>EA/NRW environmental programme wastewater (WINEP/NEP) - MCERTs monitoring at emergency sewage pumping station overflows (WINEP/NEP) wastewater capex - Total</v>
      </c>
      <c r="D148" s="159" t="s">
        <v>99</v>
      </c>
      <c r="E148" s="186"/>
      <c r="F148" s="186"/>
      <c r="G148" s="186"/>
      <c r="H148" s="186"/>
      <c r="I148" s="186"/>
      <c r="J148" s="186"/>
      <c r="K148" s="187"/>
    </row>
    <row r="149" spans="1:12">
      <c r="A149" s="181" t="str">
        <f>Table1[[#This Row],[Acronym]]</f>
        <v>YKY</v>
      </c>
      <c r="B149" s="181" t="str">
        <f>Table1[[#This Row],[BON code]]</f>
        <v>CWW12_011TOT_PR24</v>
      </c>
      <c r="C149" s="181" t="str">
        <f>Table1[[#This Row],[Item Description]]</f>
        <v>EA/NRW environmental programme wastewater (WINEP/NEP) - MCERTs monitoring at emergency sewage pumping station overflows (WINEP/NEP) wastewater opex - Total</v>
      </c>
      <c r="D149" s="159" t="s">
        <v>99</v>
      </c>
      <c r="E149" s="186"/>
      <c r="F149" s="186"/>
      <c r="G149" s="186"/>
      <c r="H149" s="186"/>
      <c r="I149" s="186"/>
      <c r="J149" s="186"/>
      <c r="K149" s="187"/>
    </row>
    <row r="150" spans="1:12">
      <c r="A150" s="181" t="str">
        <f>Table1[[#This Row],[Acronym]]</f>
        <v>YKY</v>
      </c>
      <c r="B150" s="181" t="str">
        <f>Table1[[#This Row],[BON code]]</f>
        <v>CWW12_012TOT_PR24</v>
      </c>
      <c r="C150" s="181" t="str">
        <f>Table1[[#This Row],[Item Description]]</f>
        <v>EA/NRW environmental programme wastewater (WINEP/NEP) - MCERTs monitoring at emergency sewage pumping station overflows (WINEP/NEP) wastewater totex - Total</v>
      </c>
      <c r="D150" s="159" t="s">
        <v>99</v>
      </c>
      <c r="E150" s="186"/>
      <c r="F150" s="186"/>
      <c r="G150" s="186"/>
      <c r="H150" s="186"/>
      <c r="I150" s="186"/>
      <c r="J150" s="186"/>
      <c r="K150" s="187"/>
    </row>
    <row r="151" spans="1:12">
      <c r="A151" s="181" t="str">
        <f>Table1[[#This Row],[Acronym]]</f>
        <v>YKY</v>
      </c>
      <c r="B151" s="181" t="str">
        <f>Table1[[#This Row],[BON code]]</f>
        <v>CWW17_010TOT_PR24</v>
      </c>
      <c r="C151" s="181" t="str">
        <f>Table1[[#This Row],[Item Description]]</f>
        <v>EA/NRW environmental programme wastewater (WINEP/NEP) - MCERTs monitoring at emergency sewage pumping station overflows (WINEP/NEP) wastewater capex - Total</v>
      </c>
      <c r="D151" s="159" t="s">
        <v>99</v>
      </c>
      <c r="E151" s="186"/>
      <c r="F151" s="186"/>
      <c r="G151" s="186"/>
      <c r="H151" s="186"/>
      <c r="I151" s="186"/>
      <c r="J151" s="186"/>
      <c r="K151" s="187"/>
    </row>
    <row r="152" spans="1:12">
      <c r="A152" s="181" t="str">
        <f>Table1[[#This Row],[Acronym]]</f>
        <v>YKY</v>
      </c>
      <c r="B152" s="181" t="str">
        <f>Table1[[#This Row],[BON code]]</f>
        <v>CWW17_011TOT_PR24</v>
      </c>
      <c r="C152" s="181" t="str">
        <f>Table1[[#This Row],[Item Description]]</f>
        <v>EA/NRW environmental programme wastewater (WINEP/NEP) - MCERTs monitoring at emergency sewage pumping station overflows (WINEP/NEP) wastewater opex - Total</v>
      </c>
      <c r="D152" s="159" t="s">
        <v>99</v>
      </c>
      <c r="E152" s="186"/>
      <c r="F152" s="186"/>
      <c r="G152" s="186"/>
      <c r="H152" s="186"/>
      <c r="I152" s="186"/>
      <c r="J152" s="186"/>
      <c r="K152" s="187"/>
    </row>
    <row r="153" spans="1:12">
      <c r="A153" s="181" t="str">
        <f>Table1[[#This Row],[Acronym]]</f>
        <v>YKY</v>
      </c>
      <c r="B153" s="181" t="str">
        <f>Table1[[#This Row],[BON code]]</f>
        <v>CWW17_012TOT_PR24</v>
      </c>
      <c r="C153" s="181" t="str">
        <f>Table1[[#This Row],[Item Description]]</f>
        <v>EA/NRW environmental programme wastewater (WINEP/NEP) - MCERTs monitoring at emergency sewage pumping station overflows (WINEP/NEP) wastewater totex - Total</v>
      </c>
      <c r="D153" s="159" t="s">
        <v>99</v>
      </c>
      <c r="E153" s="186"/>
      <c r="F153" s="186"/>
      <c r="G153" s="186"/>
      <c r="H153" s="186"/>
      <c r="I153" s="186"/>
      <c r="J153" s="186"/>
      <c r="K153" s="187"/>
    </row>
    <row r="154" spans="1:12">
      <c r="A154" s="181" t="str">
        <f>Table1[[#This Row],[Acronym]]</f>
        <v>YKY</v>
      </c>
      <c r="B154" s="181" t="str">
        <f>Table1[[#This Row],[BON code]]</f>
        <v>CWW20_050_PR24</v>
      </c>
      <c r="C154" s="181" t="str">
        <f>Table1[[#This Row],[Item Description]]</f>
        <v>Network / Storm overflow data - Number of new MCERTs event duration monitors installed at SPS emergency overflows</v>
      </c>
      <c r="D154" s="159" t="s">
        <v>99</v>
      </c>
      <c r="E154" s="186"/>
      <c r="F154" s="186"/>
      <c r="G154" s="186"/>
      <c r="H154" s="186"/>
      <c r="I154" s="186"/>
      <c r="J154" s="186"/>
      <c r="K154" s="187"/>
    </row>
    <row r="155" spans="1:12">
      <c r="A155" s="181" t="str">
        <f>Table1[[#This Row],[Acronym]]</f>
        <v>YKY</v>
      </c>
      <c r="B155" s="181" t="str">
        <f>Table1[[#This Row],[BON code]]</f>
        <v>CWW20_051_PR24</v>
      </c>
      <c r="C155" s="181" t="str">
        <f>Table1[[#This Row],[Item Description]]</f>
        <v>Network / Storm overflow data - Number of new MCERTs flow monitors (PFF) installed at SPSs with combined emergency and storm overflows.</v>
      </c>
      <c r="D155" s="159" t="s">
        <v>99</v>
      </c>
      <c r="E155" s="186"/>
      <c r="F155" s="186"/>
      <c r="G155" s="186"/>
      <c r="H155" s="186"/>
      <c r="I155" s="186"/>
      <c r="J155" s="186"/>
      <c r="K155" s="187"/>
    </row>
    <row r="156" spans="1:12">
      <c r="A156" s="181" t="str">
        <f>Table1[[#This Row],[Acronym]]</f>
        <v>YKY</v>
      </c>
      <c r="B156" s="181" t="str">
        <f>Table1[[#This Row],[BON code]]</f>
        <v>CWW20A_050_PR24</v>
      </c>
      <c r="C156" s="181" t="str">
        <f>Table1[[#This Row],[Item Description]]</f>
        <v>Network / Storm overflow data - Number of new MCERTs event duration monitors installed at SPS emergency overflows</v>
      </c>
      <c r="D156" s="159" t="s">
        <v>99</v>
      </c>
      <c r="E156" s="186"/>
      <c r="F156" s="186"/>
      <c r="G156" s="186"/>
      <c r="H156" s="186"/>
      <c r="I156" s="186"/>
      <c r="J156" s="186"/>
      <c r="K156" s="187"/>
    </row>
    <row r="157" spans="1:12">
      <c r="A157" s="181" t="str">
        <f>Table1[[#This Row],[Acronym]]</f>
        <v>YKY</v>
      </c>
      <c r="B157" s="181" t="str">
        <f>Table1[[#This Row],[BON code]]</f>
        <v>CWW20A_051_PR24</v>
      </c>
      <c r="C157" s="181" t="str">
        <f>Table1[[#This Row],[Item Description]]</f>
        <v>Network / Storm overflow data - Number of new MCERTs flow monitors (PFF) installed at SPSs with combined emergency and storm overflows.</v>
      </c>
      <c r="D157" s="159" t="s">
        <v>99</v>
      </c>
      <c r="E157" s="186"/>
      <c r="F157" s="186"/>
      <c r="G157" s="186"/>
      <c r="H157" s="186"/>
      <c r="I157" s="186"/>
      <c r="J157" s="186"/>
      <c r="K157" s="187"/>
    </row>
    <row r="158" spans="1:12">
      <c r="A158" s="181" t="str">
        <f>Table1[[#This Row],[Acronym]]</f>
        <v>YKY</v>
      </c>
      <c r="B158" s="181" t="str">
        <f>Table1[[#This Row],[BON code]]</f>
        <v>CWW1A_015TOT_PR24</v>
      </c>
      <c r="C158" s="181" t="str">
        <f>Table1[[#This Row],[Item Description]]</f>
        <v>Net totex - Total</v>
      </c>
      <c r="D158" s="159" t="s">
        <v>99</v>
      </c>
      <c r="E158" s="186"/>
      <c r="F158" s="186"/>
      <c r="G158" s="186"/>
      <c r="H158" s="186"/>
      <c r="I158" s="186"/>
      <c r="J158" s="186"/>
      <c r="K158" s="187"/>
    </row>
    <row r="159" spans="1:12">
      <c r="A159" s="181"/>
      <c r="B159" s="181"/>
      <c r="C159" s="181"/>
      <c r="D159" s="159"/>
      <c r="E159" s="186"/>
      <c r="F159" s="186"/>
      <c r="G159" s="186"/>
      <c r="H159" s="186"/>
      <c r="I159" s="186"/>
      <c r="J159" s="186"/>
      <c r="K159" s="187"/>
    </row>
    <row r="160" spans="1:12">
      <c r="A160" s="181"/>
      <c r="B160" s="181"/>
      <c r="C160" s="181"/>
      <c r="D160" s="159"/>
      <c r="E160" s="186"/>
      <c r="F160" s="186"/>
      <c r="G160" s="186"/>
      <c r="H160" s="186"/>
      <c r="I160" s="186"/>
      <c r="J160" s="186"/>
      <c r="K160" s="187"/>
    </row>
  </sheetData>
  <phoneticPr fontId="48"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B16F-C788-49B1-BD0F-2B98AA76A504}">
  <sheetPr>
    <tabColor rgb="FFFFDB8E"/>
  </sheetPr>
  <dimension ref="A1:L162"/>
  <sheetViews>
    <sheetView showGridLines="0" zoomScale="80" zoomScaleNormal="80" workbookViewId="0"/>
  </sheetViews>
  <sheetFormatPr defaultColWidth="8.85546875" defaultRowHeight="13.15"/>
  <cols>
    <col min="1" max="1" width="10.28515625" style="2" customWidth="1"/>
    <col min="2" max="2" width="20.28515625" style="2" bestFit="1" customWidth="1"/>
    <col min="3" max="3" width="148.28515625" style="2" customWidth="1"/>
    <col min="4" max="4" width="10.42578125" style="2" customWidth="1"/>
    <col min="5" max="16384" width="8.85546875" style="2"/>
  </cols>
  <sheetData>
    <row r="1" spans="1:12" ht="30.75">
      <c r="A1" s="1" t="e">
        <f ca="1" xml:space="preserve"> RIGHT(CELL("filename", $A$1), LEN(CELL("filename", $A$1)) - SEARCH("]", CELL("filename", $A$1)))</f>
        <v>#VALUE!</v>
      </c>
      <c r="B1" s="1"/>
      <c r="C1" s="1"/>
      <c r="D1" s="1"/>
      <c r="E1" s="1"/>
      <c r="F1" s="1"/>
      <c r="G1" s="1"/>
      <c r="H1" s="1"/>
      <c r="I1" s="1"/>
      <c r="J1" s="1"/>
      <c r="K1" s="1"/>
      <c r="L1" s="1"/>
    </row>
    <row r="4" spans="1:12" ht="12.95" customHeight="1">
      <c r="A4" s="183" t="s">
        <v>67</v>
      </c>
      <c r="B4" s="183" t="s">
        <v>117</v>
      </c>
      <c r="C4" s="184" t="s">
        <v>118</v>
      </c>
      <c r="D4" s="184" t="s">
        <v>119</v>
      </c>
      <c r="E4" s="179" t="s">
        <v>72</v>
      </c>
      <c r="F4" s="179" t="s">
        <v>73</v>
      </c>
      <c r="G4" s="179" t="s">
        <v>74</v>
      </c>
      <c r="H4" s="179" t="s">
        <v>75</v>
      </c>
      <c r="I4" s="179" t="s">
        <v>76</v>
      </c>
      <c r="J4" s="179" t="s">
        <v>77</v>
      </c>
      <c r="K4" s="179" t="s">
        <v>78</v>
      </c>
      <c r="L4" s="191" t="s">
        <v>132</v>
      </c>
    </row>
    <row r="5" spans="1:12">
      <c r="A5" s="181" t="str">
        <f>Table1[[#This Row],[Acronym]]</f>
        <v>ANH</v>
      </c>
      <c r="B5" s="181" t="str">
        <f>Table1[[#This Row],[BON code]]</f>
        <v>CWW3_010TOT_PR24</v>
      </c>
      <c r="C5" s="181" t="str">
        <f>Table1[[#This Row],[Item Description]]</f>
        <v>EA/NRW environmental programme wastewater (WINEP/NEP) - MCERTs monitoring at emergency sewage pumping station overflows (WINEP/NEP) wastewater capex - Total</v>
      </c>
      <c r="D5" s="185" t="s">
        <v>85</v>
      </c>
      <c r="E5" s="192">
        <f ca="1">IF('F_Input Override'!E5="",'Consolidated Input'!E5,'F_Input Override'!E5)</f>
        <v>0</v>
      </c>
      <c r="F5" s="192">
        <f ca="1">IF('F_Input Override'!F5="",'Consolidated Input'!F5,'F_Input Override'!F5)</f>
        <v>0</v>
      </c>
      <c r="G5" s="192">
        <f ca="1">IF('F_Input Override'!G5="",'Consolidated Input'!G5,'F_Input Override'!G5)</f>
        <v>5.0359999999999996</v>
      </c>
      <c r="H5" s="192">
        <f ca="1">IF('F_Input Override'!H5="",'Consolidated Input'!H5,'F_Input Override'!H5)</f>
        <v>8.968</v>
      </c>
      <c r="I5" s="192">
        <f ca="1">IF('F_Input Override'!I5="",'Consolidated Input'!I5,'F_Input Override'!I5)</f>
        <v>11.082000000000001</v>
      </c>
      <c r="J5" s="192">
        <f ca="1">IF('F_Input Override'!J5="",'Consolidated Input'!J5,'F_Input Override'!J5)</f>
        <v>11.465999999999999</v>
      </c>
      <c r="K5" s="189">
        <f ca="1">IF('F_Input Override'!K5="",'Consolidated Input'!K5,'F_Input Override'!K5)</f>
        <v>11.129</v>
      </c>
      <c r="L5" s="193">
        <f ca="1">SUM(Table3[[#This Row],[2023-24]:[2029-30]])</f>
        <v>47.680999999999997</v>
      </c>
    </row>
    <row r="6" spans="1:12">
      <c r="A6" s="181" t="str">
        <f>Table1[[#This Row],[Acronym]]</f>
        <v>ANH</v>
      </c>
      <c r="B6" s="181" t="str">
        <f>Table1[[#This Row],[BON code]]</f>
        <v>CWW3_011TOT_PR24</v>
      </c>
      <c r="C6" s="181" t="str">
        <f>Table1[[#This Row],[Item Description]]</f>
        <v>EA/NRW environmental programme wastewater (WINEP/NEP) - MCERTs monitoring at emergency sewage pumping station overflows (WINEP/NEP) wastewater opex - Total</v>
      </c>
      <c r="D6" s="188" t="s">
        <v>85</v>
      </c>
      <c r="E6" s="192">
        <f ca="1">IF('F_Input Override'!E6="",'Consolidated Input'!E6,'F_Input Override'!E6)</f>
        <v>0</v>
      </c>
      <c r="F6" s="192">
        <f ca="1">IF('F_Input Override'!F6="",'Consolidated Input'!F6,'F_Input Override'!F6)</f>
        <v>0</v>
      </c>
      <c r="G6" s="192">
        <f ca="1">IF('F_Input Override'!G6="",'Consolidated Input'!G6,'F_Input Override'!G6)</f>
        <v>0</v>
      </c>
      <c r="H6" s="192">
        <f ca="1">IF('F_Input Override'!H6="",'Consolidated Input'!H6,'F_Input Override'!H6)</f>
        <v>2.1000000000000001E-2</v>
      </c>
      <c r="I6" s="192">
        <f ca="1">IF('F_Input Override'!I6="",'Consolidated Input'!I6,'F_Input Override'!I6)</f>
        <v>5.4000000000000013E-2</v>
      </c>
      <c r="J6" s="192">
        <f ca="1">IF('F_Input Override'!J6="",'Consolidated Input'!J6,'F_Input Override'!J6)</f>
        <v>9.6000000000000002E-2</v>
      </c>
      <c r="K6" s="189">
        <f ca="1">IF('F_Input Override'!K6="",'Consolidated Input'!K6,'F_Input Override'!K6)</f>
        <v>0.125</v>
      </c>
      <c r="L6" s="193">
        <f ca="1">SUM(Table3[[#This Row],[2023-24]:[2029-30]])</f>
        <v>0.29600000000000004</v>
      </c>
    </row>
    <row r="7" spans="1:12">
      <c r="A7" s="181" t="str">
        <f>Table1[[#This Row],[Acronym]]</f>
        <v>ANH</v>
      </c>
      <c r="B7" s="181" t="str">
        <f>Table1[[#This Row],[BON code]]</f>
        <v>CWW3_012TOT_PR24</v>
      </c>
      <c r="C7" s="181" t="str">
        <f>Table1[[#This Row],[Item Description]]</f>
        <v>EA/NRW environmental programme wastewater (WINEP/NEP) - MCERTs monitoring at emergency sewage pumping station overflows (WINEP/NEP) wastewater totex - Total</v>
      </c>
      <c r="D7" s="188" t="s">
        <v>85</v>
      </c>
      <c r="E7" s="192">
        <f ca="1">IF('F_Input Override'!E7="",'Consolidated Input'!E7,'F_Input Override'!E7)</f>
        <v>0</v>
      </c>
      <c r="F7" s="192">
        <f ca="1">IF('F_Input Override'!F7="",'Consolidated Input'!F7,'F_Input Override'!F7)</f>
        <v>0</v>
      </c>
      <c r="G7" s="192">
        <f ca="1">IF('F_Input Override'!G7="",'Consolidated Input'!G7,'F_Input Override'!G7)</f>
        <v>5.0359999999999996</v>
      </c>
      <c r="H7" s="192">
        <f ca="1">IF('F_Input Override'!H7="",'Consolidated Input'!H7,'F_Input Override'!H7)</f>
        <v>8.988999999999999</v>
      </c>
      <c r="I7" s="192">
        <f ca="1">IF('F_Input Override'!I7="",'Consolidated Input'!I7,'F_Input Override'!I7)</f>
        <v>11.135999999999999</v>
      </c>
      <c r="J7" s="192">
        <f ca="1">IF('F_Input Override'!J7="",'Consolidated Input'!J7,'F_Input Override'!J7)</f>
        <v>11.561999999999999</v>
      </c>
      <c r="K7" s="189">
        <f ca="1">IF('F_Input Override'!K7="",'Consolidated Input'!K7,'F_Input Override'!K7)</f>
        <v>11.254</v>
      </c>
      <c r="L7" s="193">
        <f ca="1">SUM(Table3[[#This Row],[2023-24]:[2029-30]])</f>
        <v>47.976999999999997</v>
      </c>
    </row>
    <row r="8" spans="1:12">
      <c r="A8" s="181" t="str">
        <f>Table1[[#This Row],[Acronym]]</f>
        <v>ANH</v>
      </c>
      <c r="B8" s="181" t="str">
        <f>Table1[[#This Row],[BON code]]</f>
        <v>CWW12_010TOT_PR24</v>
      </c>
      <c r="C8" s="181" t="str">
        <f>Table1[[#This Row],[Item Description]]</f>
        <v>EA/NRW environmental programme wastewater (WINEP/NEP) - MCERTs monitoring at emergency sewage pumping station overflows (WINEP/NEP) wastewater capex - Total</v>
      </c>
      <c r="D8" s="188" t="s">
        <v>85</v>
      </c>
      <c r="E8" s="192">
        <f ca="1">IF('F_Input Override'!E8="",'Consolidated Input'!E8,'F_Input Override'!E8)</f>
        <v>2E-3</v>
      </c>
      <c r="F8" s="192">
        <f ca="1">IF('F_Input Override'!F8="",'Consolidated Input'!F8,'F_Input Override'!F8)</f>
        <v>4.8000000000000008E-2</v>
      </c>
      <c r="G8" s="192">
        <f ca="1">IF('F_Input Override'!G8="",'Consolidated Input'!G8,'F_Input Override'!G8)</f>
        <v>0</v>
      </c>
      <c r="H8" s="192">
        <f ca="1">IF('F_Input Override'!H8="",'Consolidated Input'!H8,'F_Input Override'!H8)</f>
        <v>0</v>
      </c>
      <c r="I8" s="192">
        <f ca="1">IF('F_Input Override'!I8="",'Consolidated Input'!I8,'F_Input Override'!I8)</f>
        <v>0</v>
      </c>
      <c r="J8" s="192">
        <f ca="1">IF('F_Input Override'!J8="",'Consolidated Input'!J8,'F_Input Override'!J8)</f>
        <v>0</v>
      </c>
      <c r="K8" s="189">
        <f ca="1">IF('F_Input Override'!K8="",'Consolidated Input'!K8,'F_Input Override'!K8)</f>
        <v>0</v>
      </c>
      <c r="L8" s="193">
        <f ca="1">SUM(Table3[[#This Row],[2023-24]:[2029-30]])</f>
        <v>5.000000000000001E-2</v>
      </c>
    </row>
    <row r="9" spans="1:12">
      <c r="A9" s="181" t="str">
        <f>Table1[[#This Row],[Acronym]]</f>
        <v>ANH</v>
      </c>
      <c r="B9" s="181" t="str">
        <f>Table1[[#This Row],[BON code]]</f>
        <v>CWW12_011TOT_PR24</v>
      </c>
      <c r="C9" s="181" t="str">
        <f>Table1[[#This Row],[Item Description]]</f>
        <v>EA/NRW environmental programme wastewater (WINEP/NEP) - MCERTs monitoring at emergency sewage pumping station overflows (WINEP/NEP) wastewater opex - Total</v>
      </c>
      <c r="D9" s="188" t="s">
        <v>85</v>
      </c>
      <c r="E9" s="192">
        <f ca="1">IF('F_Input Override'!E9="",'Consolidated Input'!E9,'F_Input Override'!E9)</f>
        <v>0</v>
      </c>
      <c r="F9" s="192">
        <f ca="1">IF('F_Input Override'!F9="",'Consolidated Input'!F9,'F_Input Override'!F9)</f>
        <v>0</v>
      </c>
      <c r="G9" s="192">
        <f ca="1">IF('F_Input Override'!G9="",'Consolidated Input'!G9,'F_Input Override'!G9)</f>
        <v>0</v>
      </c>
      <c r="H9" s="192">
        <f ca="1">IF('F_Input Override'!H9="",'Consolidated Input'!H9,'F_Input Override'!H9)</f>
        <v>0</v>
      </c>
      <c r="I9" s="192">
        <f ca="1">IF('F_Input Override'!I9="",'Consolidated Input'!I9,'F_Input Override'!I9)</f>
        <v>0</v>
      </c>
      <c r="J9" s="192">
        <f ca="1">IF('F_Input Override'!J9="",'Consolidated Input'!J9,'F_Input Override'!J9)</f>
        <v>0</v>
      </c>
      <c r="K9" s="189">
        <f ca="1">IF('F_Input Override'!K9="",'Consolidated Input'!K9,'F_Input Override'!K9)</f>
        <v>0</v>
      </c>
      <c r="L9" s="193">
        <f ca="1">SUM(Table3[[#This Row],[2023-24]:[2029-30]])</f>
        <v>0</v>
      </c>
    </row>
    <row r="10" spans="1:12">
      <c r="A10" s="181" t="str">
        <f>Table1[[#This Row],[Acronym]]</f>
        <v>ANH</v>
      </c>
      <c r="B10" s="181" t="str">
        <f>Table1[[#This Row],[BON code]]</f>
        <v>CWW12_012TOT_PR24</v>
      </c>
      <c r="C10" s="181" t="str">
        <f>Table1[[#This Row],[Item Description]]</f>
        <v>EA/NRW environmental programme wastewater (WINEP/NEP) - MCERTs monitoring at emergency sewage pumping station overflows (WINEP/NEP) wastewater totex - Total</v>
      </c>
      <c r="D10" s="188" t="s">
        <v>85</v>
      </c>
      <c r="E10" s="192">
        <f ca="1">IF('F_Input Override'!E10="",'Consolidated Input'!E10,'F_Input Override'!E10)</f>
        <v>2E-3</v>
      </c>
      <c r="F10" s="192">
        <f ca="1">IF('F_Input Override'!F10="",'Consolidated Input'!F10,'F_Input Override'!F10)</f>
        <v>4.8000000000000008E-2</v>
      </c>
      <c r="G10" s="192">
        <f ca="1">IF('F_Input Override'!G10="",'Consolidated Input'!G10,'F_Input Override'!G10)</f>
        <v>0</v>
      </c>
      <c r="H10" s="192">
        <f ca="1">IF('F_Input Override'!H10="",'Consolidated Input'!H10,'F_Input Override'!H10)</f>
        <v>0</v>
      </c>
      <c r="I10" s="192">
        <f ca="1">IF('F_Input Override'!I10="",'Consolidated Input'!I10,'F_Input Override'!I10)</f>
        <v>0</v>
      </c>
      <c r="J10" s="192">
        <f ca="1">IF('F_Input Override'!J10="",'Consolidated Input'!J10,'F_Input Override'!J10)</f>
        <v>0</v>
      </c>
      <c r="K10" s="189">
        <f ca="1">IF('F_Input Override'!K10="",'Consolidated Input'!K10,'F_Input Override'!K10)</f>
        <v>0</v>
      </c>
      <c r="L10" s="193">
        <f ca="1">SUM(Table3[[#This Row],[2023-24]:[2029-30]])</f>
        <v>5.000000000000001E-2</v>
      </c>
    </row>
    <row r="11" spans="1:12">
      <c r="A11" s="181" t="str">
        <f>Table1[[#This Row],[Acronym]]</f>
        <v>ANH</v>
      </c>
      <c r="B11" s="181" t="str">
        <f>Table1[[#This Row],[BON code]]</f>
        <v>CWW17_010TOT_PR24</v>
      </c>
      <c r="C11" s="181" t="str">
        <f>Table1[[#This Row],[Item Description]]</f>
        <v>EA/NRW environmental programme wastewater (WINEP/NEP) - MCERTs monitoring at emergency sewage pumping station overflows (WINEP/NEP) wastewater capex - Total</v>
      </c>
      <c r="D11" s="188" t="s">
        <v>85</v>
      </c>
      <c r="E11" s="192">
        <f ca="1">IF('F_Input Override'!E11="",'Consolidated Input'!E11,'F_Input Override'!E11)</f>
        <v>0</v>
      </c>
      <c r="F11" s="192">
        <f ca="1">IF('F_Input Override'!F11="",'Consolidated Input'!F11,'F_Input Override'!F11)</f>
        <v>0</v>
      </c>
      <c r="G11" s="192">
        <f ca="1">IF('F_Input Override'!G11="",'Consolidated Input'!G11,'F_Input Override'!G11)</f>
        <v>0</v>
      </c>
      <c r="H11" s="192">
        <f ca="1">IF('F_Input Override'!H11="",'Consolidated Input'!H11,'F_Input Override'!H11)</f>
        <v>0</v>
      </c>
      <c r="I11" s="192">
        <f ca="1">IF('F_Input Override'!I11="",'Consolidated Input'!I11,'F_Input Override'!I11)</f>
        <v>0</v>
      </c>
      <c r="J11" s="192">
        <f ca="1">IF('F_Input Override'!J11="",'Consolidated Input'!J11,'F_Input Override'!J11)</f>
        <v>0</v>
      </c>
      <c r="K11" s="189">
        <f ca="1">IF('F_Input Override'!K11="",'Consolidated Input'!K11,'F_Input Override'!K11)</f>
        <v>0</v>
      </c>
      <c r="L11" s="193">
        <f ca="1">SUM(Table3[[#This Row],[2023-24]:[2029-30]])</f>
        <v>0</v>
      </c>
    </row>
    <row r="12" spans="1:12">
      <c r="A12" s="181" t="str">
        <f>Table1[[#This Row],[Acronym]]</f>
        <v>ANH</v>
      </c>
      <c r="B12" s="181" t="str">
        <f>Table1[[#This Row],[BON code]]</f>
        <v>CWW17_011TOT_PR24</v>
      </c>
      <c r="C12" s="181" t="str">
        <f>Table1[[#This Row],[Item Description]]</f>
        <v>EA/NRW environmental programme wastewater (WINEP/NEP) - MCERTs monitoring at emergency sewage pumping station overflows (WINEP/NEP) wastewater opex - Total</v>
      </c>
      <c r="D12" s="188" t="s">
        <v>85</v>
      </c>
      <c r="E12" s="192">
        <f ca="1">IF('F_Input Override'!E12="",'Consolidated Input'!E12,'F_Input Override'!E12)</f>
        <v>0</v>
      </c>
      <c r="F12" s="192">
        <f ca="1">IF('F_Input Override'!F12="",'Consolidated Input'!F12,'F_Input Override'!F12)</f>
        <v>0</v>
      </c>
      <c r="G12" s="192">
        <f ca="1">IF('F_Input Override'!G12="",'Consolidated Input'!G12,'F_Input Override'!G12)</f>
        <v>0</v>
      </c>
      <c r="H12" s="192">
        <f ca="1">IF('F_Input Override'!H12="",'Consolidated Input'!H12,'F_Input Override'!H12)</f>
        <v>0</v>
      </c>
      <c r="I12" s="192">
        <f ca="1">IF('F_Input Override'!I12="",'Consolidated Input'!I12,'F_Input Override'!I12)</f>
        <v>0</v>
      </c>
      <c r="J12" s="192">
        <f ca="1">IF('F_Input Override'!J12="",'Consolidated Input'!J12,'F_Input Override'!J12)</f>
        <v>0</v>
      </c>
      <c r="K12" s="189">
        <f ca="1">IF('F_Input Override'!K12="",'Consolidated Input'!K12,'F_Input Override'!K12)</f>
        <v>0</v>
      </c>
      <c r="L12" s="193">
        <f ca="1">SUM(Table3[[#This Row],[2023-24]:[2029-30]])</f>
        <v>0</v>
      </c>
    </row>
    <row r="13" spans="1:12">
      <c r="A13" s="181" t="str">
        <f>Table1[[#This Row],[Acronym]]</f>
        <v>ANH</v>
      </c>
      <c r="B13" s="181" t="str">
        <f>Table1[[#This Row],[BON code]]</f>
        <v>CWW17_012TOT_PR24</v>
      </c>
      <c r="C13" s="181" t="str">
        <f>Table1[[#This Row],[Item Description]]</f>
        <v>EA/NRW environmental programme wastewater (WINEP/NEP) - MCERTs monitoring at emergency sewage pumping station overflows (WINEP/NEP) wastewater totex - Total</v>
      </c>
      <c r="D13" s="188" t="s">
        <v>85</v>
      </c>
      <c r="E13" s="192">
        <f ca="1">IF('F_Input Override'!E13="",'Consolidated Input'!E13,'F_Input Override'!E13)</f>
        <v>0</v>
      </c>
      <c r="F13" s="192">
        <f ca="1">IF('F_Input Override'!F13="",'Consolidated Input'!F13,'F_Input Override'!F13)</f>
        <v>0</v>
      </c>
      <c r="G13" s="192">
        <f ca="1">IF('F_Input Override'!G13="",'Consolidated Input'!G13,'F_Input Override'!G13)</f>
        <v>0</v>
      </c>
      <c r="H13" s="192">
        <f ca="1">IF('F_Input Override'!H13="",'Consolidated Input'!H13,'F_Input Override'!H13)</f>
        <v>0</v>
      </c>
      <c r="I13" s="192">
        <f ca="1">IF('F_Input Override'!I13="",'Consolidated Input'!I13,'F_Input Override'!I13)</f>
        <v>0</v>
      </c>
      <c r="J13" s="192">
        <f ca="1">IF('F_Input Override'!J13="",'Consolidated Input'!J13,'F_Input Override'!J13)</f>
        <v>0</v>
      </c>
      <c r="K13" s="189">
        <f ca="1">IF('F_Input Override'!K13="",'Consolidated Input'!K13,'F_Input Override'!K13)</f>
        <v>0</v>
      </c>
      <c r="L13" s="193">
        <f ca="1">SUM(Table3[[#This Row],[2023-24]:[2029-30]])</f>
        <v>0</v>
      </c>
    </row>
    <row r="14" spans="1:12">
      <c r="A14" s="181" t="str">
        <f>Table1[[#This Row],[Acronym]]</f>
        <v>ANH</v>
      </c>
      <c r="B14" s="181" t="str">
        <f>Table1[[#This Row],[BON code]]</f>
        <v>CWW20_050_PR24</v>
      </c>
      <c r="C14" s="181" t="str">
        <f>Table1[[#This Row],[Item Description]]</f>
        <v>Network / Storm overflow data - Number of new MCERTs event duration monitors installed at SPS emergency overflows</v>
      </c>
      <c r="D14" s="188" t="s">
        <v>99</v>
      </c>
      <c r="E14" s="192">
        <f ca="1">IF('F_Input Override'!E14="",'Consolidated Input'!E14,'F_Input Override'!E14)</f>
        <v>0</v>
      </c>
      <c r="F14" s="192">
        <f ca="1">IF('F_Input Override'!F14="",'Consolidated Input'!F14,'F_Input Override'!F14)</f>
        <v>0</v>
      </c>
      <c r="G14" s="192">
        <f ca="1">IF('F_Input Override'!G14="",'Consolidated Input'!G14,'F_Input Override'!G14)</f>
        <v>0</v>
      </c>
      <c r="H14" s="192">
        <f ca="1">IF('F_Input Override'!H14="",'Consolidated Input'!H14,'F_Input Override'!H14)</f>
        <v>276</v>
      </c>
      <c r="I14" s="192">
        <f ca="1">IF('F_Input Override'!I14="",'Consolidated Input'!I14,'F_Input Override'!I14)</f>
        <v>344</v>
      </c>
      <c r="J14" s="192">
        <f ca="1">IF('F_Input Override'!J14="",'Consolidated Input'!J14,'F_Input Override'!J14)</f>
        <v>478</v>
      </c>
      <c r="K14" s="189">
        <f ca="1">IF('F_Input Override'!K14="",'Consolidated Input'!K14,'F_Input Override'!K14)</f>
        <v>820</v>
      </c>
      <c r="L14" s="193">
        <f ca="1">SUM(Table3[[#This Row],[2023-24]:[2029-30]])</f>
        <v>1918</v>
      </c>
    </row>
    <row r="15" spans="1:12">
      <c r="A15" s="181" t="str">
        <f>Table1[[#This Row],[Acronym]]</f>
        <v>ANH</v>
      </c>
      <c r="B15" s="181" t="str">
        <f>Table1[[#This Row],[BON code]]</f>
        <v>CWW20_051_PR24</v>
      </c>
      <c r="C15" s="181" t="str">
        <f>Table1[[#This Row],[Item Description]]</f>
        <v>Network / Storm overflow data - Number of new MCERTs flow monitors (PFF) installed at SPSs with combined emergency and storm overflows.</v>
      </c>
      <c r="D15" s="188" t="s">
        <v>99</v>
      </c>
      <c r="E15" s="192">
        <f ca="1">IF('F_Input Override'!E15="",'Consolidated Input'!E15,'F_Input Override'!E15)</f>
        <v>0</v>
      </c>
      <c r="F15" s="192">
        <f ca="1">IF('F_Input Override'!F15="",'Consolidated Input'!F15,'F_Input Override'!F15)</f>
        <v>0</v>
      </c>
      <c r="G15" s="192">
        <f ca="1">IF('F_Input Override'!G15="",'Consolidated Input'!G15,'F_Input Override'!G15)</f>
        <v>0</v>
      </c>
      <c r="H15" s="192">
        <f ca="1">IF('F_Input Override'!H15="",'Consolidated Input'!H15,'F_Input Override'!H15)</f>
        <v>137</v>
      </c>
      <c r="I15" s="192">
        <f ca="1">IF('F_Input Override'!I15="",'Consolidated Input'!I15,'F_Input Override'!I15)</f>
        <v>130</v>
      </c>
      <c r="J15" s="192">
        <f ca="1">IF('F_Input Override'!J15="",'Consolidated Input'!J15,'F_Input Override'!J15)</f>
        <v>232</v>
      </c>
      <c r="K15" s="189">
        <f ca="1">IF('F_Input Override'!K15="",'Consolidated Input'!K15,'F_Input Override'!K15)</f>
        <v>0</v>
      </c>
      <c r="L15" s="193">
        <f ca="1">SUM(Table3[[#This Row],[2023-24]:[2029-30]])</f>
        <v>499</v>
      </c>
    </row>
    <row r="16" spans="1:12">
      <c r="A16" s="181" t="str">
        <f>Table1[[#This Row],[Acronym]]</f>
        <v>ANH</v>
      </c>
      <c r="B16" s="181" t="str">
        <f>Table1[[#This Row],[BON code]]</f>
        <v>CWW20A_050_PR24</v>
      </c>
      <c r="C16" s="181" t="str">
        <f>Table1[[#This Row],[Item Description]]</f>
        <v>Network / Storm overflow data - Number of new MCERTs event duration monitors installed at SPS emergency overflows</v>
      </c>
      <c r="D16" s="188" t="s">
        <v>99</v>
      </c>
      <c r="E16" s="192">
        <f ca="1">IF('F_Input Override'!E16="",'Consolidated Input'!E16,'F_Input Override'!E16)</f>
        <v>0</v>
      </c>
      <c r="F16" s="192">
        <f ca="1">IF('F_Input Override'!F16="",'Consolidated Input'!F16,'F_Input Override'!F16)</f>
        <v>0</v>
      </c>
      <c r="G16" s="192">
        <f ca="1">IF('F_Input Override'!G16="",'Consolidated Input'!G16,'F_Input Override'!G16)</f>
        <v>0</v>
      </c>
      <c r="H16" s="192">
        <f ca="1">IF('F_Input Override'!H16="",'Consolidated Input'!H16,'F_Input Override'!H16)</f>
        <v>0</v>
      </c>
      <c r="I16" s="192">
        <f ca="1">IF('F_Input Override'!I16="",'Consolidated Input'!I16,'F_Input Override'!I16)</f>
        <v>0</v>
      </c>
      <c r="J16" s="192">
        <f ca="1">IF('F_Input Override'!J16="",'Consolidated Input'!J16,'F_Input Override'!J16)</f>
        <v>0</v>
      </c>
      <c r="K16" s="189">
        <f ca="1">IF('F_Input Override'!K16="",'Consolidated Input'!K16,'F_Input Override'!K16)</f>
        <v>0</v>
      </c>
      <c r="L16" s="193">
        <f ca="1">SUM(Table3[[#This Row],[2023-24]:[2029-30]])</f>
        <v>0</v>
      </c>
    </row>
    <row r="17" spans="1:12">
      <c r="A17" s="181" t="str">
        <f>Table1[[#This Row],[Acronym]]</f>
        <v>ANH</v>
      </c>
      <c r="B17" s="181" t="str">
        <f>Table1[[#This Row],[BON code]]</f>
        <v>CWW20A_051_PR24</v>
      </c>
      <c r="C17" s="181" t="str">
        <f>Table1[[#This Row],[Item Description]]</f>
        <v>Network / Storm overflow data - Number of new MCERTs flow monitors (PFF) installed at SPSs with combined emergency and storm overflows.</v>
      </c>
      <c r="D17" s="188" t="s">
        <v>99</v>
      </c>
      <c r="E17" s="192">
        <f ca="1">IF('F_Input Override'!E17="",'Consolidated Input'!E17,'F_Input Override'!E17)</f>
        <v>0</v>
      </c>
      <c r="F17" s="192">
        <f ca="1">IF('F_Input Override'!F17="",'Consolidated Input'!F17,'F_Input Override'!F17)</f>
        <v>0</v>
      </c>
      <c r="G17" s="192">
        <f ca="1">IF('F_Input Override'!G17="",'Consolidated Input'!G17,'F_Input Override'!G17)</f>
        <v>0</v>
      </c>
      <c r="H17" s="192">
        <f ca="1">IF('F_Input Override'!H17="",'Consolidated Input'!H17,'F_Input Override'!H17)</f>
        <v>0</v>
      </c>
      <c r="I17" s="192">
        <f ca="1">IF('F_Input Override'!I17="",'Consolidated Input'!I17,'F_Input Override'!I17)</f>
        <v>0</v>
      </c>
      <c r="J17" s="192">
        <f ca="1">IF('F_Input Override'!J17="",'Consolidated Input'!J17,'F_Input Override'!J17)</f>
        <v>0</v>
      </c>
      <c r="K17" s="189">
        <f ca="1">IF('F_Input Override'!K17="",'Consolidated Input'!K17,'F_Input Override'!K17)</f>
        <v>0</v>
      </c>
      <c r="L17" s="193">
        <f ca="1">SUM(Table3[[#This Row],[2023-24]:[2029-30]])</f>
        <v>0</v>
      </c>
    </row>
    <row r="18" spans="1:12">
      <c r="A18" s="181" t="str">
        <f>Table1[[#This Row],[Acronym]]</f>
        <v>ANH</v>
      </c>
      <c r="B18" s="181" t="str">
        <f>Table1[[#This Row],[BON code]]</f>
        <v>CWW1A_015TOT_PR24</v>
      </c>
      <c r="C18" s="181" t="str">
        <f>Table1[[#This Row],[Item Description]]</f>
        <v>Net totex - Total</v>
      </c>
      <c r="D18" s="188" t="s">
        <v>85</v>
      </c>
      <c r="E18" s="192">
        <f ca="1">IF('F_Input Override'!E18="",'Consolidated Input'!E18,'F_Input Override'!E18)</f>
        <v>0</v>
      </c>
      <c r="F18" s="192">
        <f ca="1">IF('F_Input Override'!F18="",'Consolidated Input'!F18,'F_Input Override'!F18)</f>
        <v>0</v>
      </c>
      <c r="G18" s="192">
        <f ca="1">IF('F_Input Override'!G18="",'Consolidated Input'!G18,'F_Input Override'!G18)</f>
        <v>918.35791855506159</v>
      </c>
      <c r="H18" s="192">
        <f ca="1">IF('F_Input Override'!H18="",'Consolidated Input'!H18,'F_Input Override'!H18)</f>
        <v>1252.510714614566</v>
      </c>
      <c r="I18" s="192">
        <f ca="1">IF('F_Input Override'!I18="",'Consolidated Input'!I18,'F_Input Override'!I18)</f>
        <v>1373.6720073368151</v>
      </c>
      <c r="J18" s="192">
        <f ca="1">IF('F_Input Override'!J18="",'Consolidated Input'!J18,'F_Input Override'!J18)</f>
        <v>1412.752604889323</v>
      </c>
      <c r="K18" s="189">
        <f ca="1">IF('F_Input Override'!K18="",'Consolidated Input'!K18,'F_Input Override'!K18)</f>
        <v>1043.517799885112</v>
      </c>
      <c r="L18" s="193">
        <f ca="1">SUM(Table3[[#This Row],[2023-24]:[2029-30]])</f>
        <v>6000.8110452808778</v>
      </c>
    </row>
    <row r="19" spans="1:12">
      <c r="A19" s="181" t="str">
        <f>Table1[[#This Row],[Acronym]]</f>
        <v>WSH</v>
      </c>
      <c r="B19" s="181" t="str">
        <f>Table1[[#This Row],[BON code]]</f>
        <v>CWW3_010TOT_PR24</v>
      </c>
      <c r="C19" s="181" t="str">
        <f>Table1[[#This Row],[Item Description]]</f>
        <v>EA/NRW environmental programme wastewater (WINEP/NEP) - MCERTs monitoring at emergency sewage pumping station overflows (WINEP/NEP) wastewater capex - Total</v>
      </c>
      <c r="D19" s="188" t="s">
        <v>85</v>
      </c>
      <c r="E19" s="192">
        <f ca="1">IF('F_Input Override'!E19="",'Consolidated Input'!E19,'F_Input Override'!E19)</f>
        <v>0</v>
      </c>
      <c r="F19" s="192">
        <f ca="1">IF('F_Input Override'!F19="",'Consolidated Input'!F19,'F_Input Override'!F19)</f>
        <v>0</v>
      </c>
      <c r="G19" s="192">
        <f ca="1">IF('F_Input Override'!G19="",'Consolidated Input'!G19,'F_Input Override'!G19)</f>
        <v>3.8420000000000001</v>
      </c>
      <c r="H19" s="192">
        <f ca="1">IF('F_Input Override'!H19="",'Consolidated Input'!H19,'F_Input Override'!H19)</f>
        <v>5.617</v>
      </c>
      <c r="I19" s="192">
        <f ca="1">IF('F_Input Override'!I19="",'Consolidated Input'!I19,'F_Input Override'!I19)</f>
        <v>5.5249999999999986</v>
      </c>
      <c r="J19" s="192">
        <f ca="1">IF('F_Input Override'!J19="",'Consolidated Input'!J19,'F_Input Override'!J19)</f>
        <v>3.722999999999999</v>
      </c>
      <c r="K19" s="189">
        <f ca="1">IF('F_Input Override'!K19="",'Consolidated Input'!K19,'F_Input Override'!K19)</f>
        <v>0</v>
      </c>
      <c r="L19" s="193">
        <f ca="1">SUM(Table3[[#This Row],[2023-24]:[2029-30]])</f>
        <v>18.706999999999997</v>
      </c>
    </row>
    <row r="20" spans="1:12">
      <c r="A20" s="181" t="str">
        <f>Table1[[#This Row],[Acronym]]</f>
        <v>WSH</v>
      </c>
      <c r="B20" s="181" t="str">
        <f>Table1[[#This Row],[BON code]]</f>
        <v>CWW3_011TOT_PR24</v>
      </c>
      <c r="C20" s="181" t="str">
        <f>Table1[[#This Row],[Item Description]]</f>
        <v>EA/NRW environmental programme wastewater (WINEP/NEP) - MCERTs monitoring at emergency sewage pumping station overflows (WINEP/NEP) wastewater opex - Total</v>
      </c>
      <c r="D20" s="188" t="s">
        <v>85</v>
      </c>
      <c r="E20" s="192">
        <f ca="1">IF('F_Input Override'!E20="",'Consolidated Input'!E20,'F_Input Override'!E20)</f>
        <v>0</v>
      </c>
      <c r="F20" s="192">
        <f ca="1">IF('F_Input Override'!F20="",'Consolidated Input'!F20,'F_Input Override'!F20)</f>
        <v>0</v>
      </c>
      <c r="G20" s="192">
        <f ca="1">IF('F_Input Override'!G20="",'Consolidated Input'!G20,'F_Input Override'!G20)</f>
        <v>0.14000000000000001</v>
      </c>
      <c r="H20" s="192">
        <f ca="1">IF('F_Input Override'!H20="",'Consolidated Input'!H20,'F_Input Override'!H20)</f>
        <v>0.35099999999999998</v>
      </c>
      <c r="I20" s="192">
        <f ca="1">IF('F_Input Override'!I20="",'Consolidated Input'!I20,'F_Input Override'!I20)</f>
        <v>0.56700000000000006</v>
      </c>
      <c r="J20" s="192">
        <f ca="1">IF('F_Input Override'!J20="",'Consolidated Input'!J20,'F_Input Override'!J20)</f>
        <v>0.71299999999999997</v>
      </c>
      <c r="K20" s="189">
        <f ca="1">IF('F_Input Override'!K20="",'Consolidated Input'!K20,'F_Input Override'!K20)</f>
        <v>0.71399999999999997</v>
      </c>
      <c r="L20" s="193">
        <f ca="1">SUM(Table3[[#This Row],[2023-24]:[2029-30]])</f>
        <v>2.4849999999999999</v>
      </c>
    </row>
    <row r="21" spans="1:12">
      <c r="A21" s="181" t="str">
        <f>Table1[[#This Row],[Acronym]]</f>
        <v>WSH</v>
      </c>
      <c r="B21" s="181" t="str">
        <f>Table1[[#This Row],[BON code]]</f>
        <v>CWW3_012TOT_PR24</v>
      </c>
      <c r="C21" s="181" t="str">
        <f>Table1[[#This Row],[Item Description]]</f>
        <v>EA/NRW environmental programme wastewater (WINEP/NEP) - MCERTs monitoring at emergency sewage pumping station overflows (WINEP/NEP) wastewater totex - Total</v>
      </c>
      <c r="D21" s="188" t="s">
        <v>85</v>
      </c>
      <c r="E21" s="192">
        <f ca="1">IF('F_Input Override'!E21="",'Consolidated Input'!E21,'F_Input Override'!E21)</f>
        <v>0</v>
      </c>
      <c r="F21" s="192">
        <f ca="1">IF('F_Input Override'!F21="",'Consolidated Input'!F21,'F_Input Override'!F21)</f>
        <v>0</v>
      </c>
      <c r="G21" s="192">
        <f ca="1">IF('F_Input Override'!G21="",'Consolidated Input'!G21,'F_Input Override'!G21)</f>
        <v>3.9820000000000002</v>
      </c>
      <c r="H21" s="192">
        <f ca="1">IF('F_Input Override'!H21="",'Consolidated Input'!H21,'F_Input Override'!H21)</f>
        <v>5.9680000000000009</v>
      </c>
      <c r="I21" s="192">
        <f ca="1">IF('F_Input Override'!I21="",'Consolidated Input'!I21,'F_Input Override'!I21)</f>
        <v>6.0919999999999996</v>
      </c>
      <c r="J21" s="192">
        <f ca="1">IF('F_Input Override'!J21="",'Consolidated Input'!J21,'F_Input Override'!J21)</f>
        <v>4.4359999999999999</v>
      </c>
      <c r="K21" s="189">
        <f ca="1">IF('F_Input Override'!K21="",'Consolidated Input'!K21,'F_Input Override'!K21)</f>
        <v>0.71399999999999997</v>
      </c>
      <c r="L21" s="193">
        <f ca="1">SUM(Table3[[#This Row],[2023-24]:[2029-30]])</f>
        <v>21.192</v>
      </c>
    </row>
    <row r="22" spans="1:12">
      <c r="A22" s="181" t="str">
        <f>Table1[[#This Row],[Acronym]]</f>
        <v>WSH</v>
      </c>
      <c r="B22" s="181" t="str">
        <f>Table1[[#This Row],[BON code]]</f>
        <v>CWW12_010TOT_PR24</v>
      </c>
      <c r="C22" s="181" t="str">
        <f>Table1[[#This Row],[Item Description]]</f>
        <v>EA/NRW environmental programme wastewater (WINEP/NEP) - MCERTs monitoring at emergency sewage pumping station overflows (WINEP/NEP) wastewater capex - Total</v>
      </c>
      <c r="D22" s="188" t="s">
        <v>85</v>
      </c>
      <c r="E22" s="192">
        <f ca="1">IF('F_Input Override'!E22="",'Consolidated Input'!E22,'F_Input Override'!E22)</f>
        <v>0</v>
      </c>
      <c r="F22" s="192">
        <f ca="1">IF('F_Input Override'!F22="",'Consolidated Input'!F22,'F_Input Override'!F22)</f>
        <v>0</v>
      </c>
      <c r="G22" s="192">
        <f ca="1">IF('F_Input Override'!G22="",'Consolidated Input'!G22,'F_Input Override'!G22)</f>
        <v>0</v>
      </c>
      <c r="H22" s="192">
        <f ca="1">IF('F_Input Override'!H22="",'Consolidated Input'!H22,'F_Input Override'!H22)</f>
        <v>0</v>
      </c>
      <c r="I22" s="192">
        <f ca="1">IF('F_Input Override'!I22="",'Consolidated Input'!I22,'F_Input Override'!I22)</f>
        <v>0</v>
      </c>
      <c r="J22" s="192">
        <f ca="1">IF('F_Input Override'!J22="",'Consolidated Input'!J22,'F_Input Override'!J22)</f>
        <v>0</v>
      </c>
      <c r="K22" s="189">
        <f ca="1">IF('F_Input Override'!K22="",'Consolidated Input'!K22,'F_Input Override'!K22)</f>
        <v>0</v>
      </c>
      <c r="L22" s="193">
        <f ca="1">SUM(Table3[[#This Row],[2023-24]:[2029-30]])</f>
        <v>0</v>
      </c>
    </row>
    <row r="23" spans="1:12">
      <c r="A23" s="181" t="str">
        <f>Table1[[#This Row],[Acronym]]</f>
        <v>WSH</v>
      </c>
      <c r="B23" s="181" t="str">
        <f>Table1[[#This Row],[BON code]]</f>
        <v>CWW12_011TOT_PR24</v>
      </c>
      <c r="C23" s="181" t="str">
        <f>Table1[[#This Row],[Item Description]]</f>
        <v>EA/NRW environmental programme wastewater (WINEP/NEP) - MCERTs monitoring at emergency sewage pumping station overflows (WINEP/NEP) wastewater opex - Total</v>
      </c>
      <c r="D23" s="188" t="s">
        <v>85</v>
      </c>
      <c r="E23" s="192">
        <f ca="1">IF('F_Input Override'!E23="",'Consolidated Input'!E23,'F_Input Override'!E23)</f>
        <v>0</v>
      </c>
      <c r="F23" s="192">
        <f ca="1">IF('F_Input Override'!F23="",'Consolidated Input'!F23,'F_Input Override'!F23)</f>
        <v>0</v>
      </c>
      <c r="G23" s="192">
        <f ca="1">IF('F_Input Override'!G23="",'Consolidated Input'!G23,'F_Input Override'!G23)</f>
        <v>0</v>
      </c>
      <c r="H23" s="192">
        <f ca="1">IF('F_Input Override'!H23="",'Consolidated Input'!H23,'F_Input Override'!H23)</f>
        <v>0</v>
      </c>
      <c r="I23" s="192">
        <f ca="1">IF('F_Input Override'!I23="",'Consolidated Input'!I23,'F_Input Override'!I23)</f>
        <v>0</v>
      </c>
      <c r="J23" s="192">
        <f ca="1">IF('F_Input Override'!J23="",'Consolidated Input'!J23,'F_Input Override'!J23)</f>
        <v>0</v>
      </c>
      <c r="K23" s="189">
        <f ca="1">IF('F_Input Override'!K23="",'Consolidated Input'!K23,'F_Input Override'!K23)</f>
        <v>0</v>
      </c>
      <c r="L23" s="193">
        <f ca="1">SUM(Table3[[#This Row],[2023-24]:[2029-30]])</f>
        <v>0</v>
      </c>
    </row>
    <row r="24" spans="1:12">
      <c r="A24" s="181" t="str">
        <f>Table1[[#This Row],[Acronym]]</f>
        <v>WSH</v>
      </c>
      <c r="B24" s="181" t="str">
        <f>Table1[[#This Row],[BON code]]</f>
        <v>CWW12_012TOT_PR24</v>
      </c>
      <c r="C24" s="181" t="str">
        <f>Table1[[#This Row],[Item Description]]</f>
        <v>EA/NRW environmental programme wastewater (WINEP/NEP) - MCERTs monitoring at emergency sewage pumping station overflows (WINEP/NEP) wastewater totex - Total</v>
      </c>
      <c r="D24" s="188" t="s">
        <v>85</v>
      </c>
      <c r="E24" s="192">
        <f ca="1">IF('F_Input Override'!E24="",'Consolidated Input'!E24,'F_Input Override'!E24)</f>
        <v>0</v>
      </c>
      <c r="F24" s="192">
        <f ca="1">IF('F_Input Override'!F24="",'Consolidated Input'!F24,'F_Input Override'!F24)</f>
        <v>0</v>
      </c>
      <c r="G24" s="192">
        <f ca="1">IF('F_Input Override'!G24="",'Consolidated Input'!G24,'F_Input Override'!G24)</f>
        <v>0</v>
      </c>
      <c r="H24" s="192">
        <f ca="1">IF('F_Input Override'!H24="",'Consolidated Input'!H24,'F_Input Override'!H24)</f>
        <v>0</v>
      </c>
      <c r="I24" s="192">
        <f ca="1">IF('F_Input Override'!I24="",'Consolidated Input'!I24,'F_Input Override'!I24)</f>
        <v>0</v>
      </c>
      <c r="J24" s="192">
        <f ca="1">IF('F_Input Override'!J24="",'Consolidated Input'!J24,'F_Input Override'!J24)</f>
        <v>0</v>
      </c>
      <c r="K24" s="189">
        <f ca="1">IF('F_Input Override'!K24="",'Consolidated Input'!K24,'F_Input Override'!K24)</f>
        <v>0</v>
      </c>
      <c r="L24" s="193">
        <f ca="1">SUM(Table3[[#This Row],[2023-24]:[2029-30]])</f>
        <v>0</v>
      </c>
    </row>
    <row r="25" spans="1:12">
      <c r="A25" s="181" t="str">
        <f>Table1[[#This Row],[Acronym]]</f>
        <v>WSH</v>
      </c>
      <c r="B25" s="181" t="str">
        <f>Table1[[#This Row],[BON code]]</f>
        <v>CWW17_010TOT_PR24</v>
      </c>
      <c r="C25" s="181" t="str">
        <f>Table1[[#This Row],[Item Description]]</f>
        <v>EA/NRW environmental programme wastewater (WINEP/NEP) - MCERTs monitoring at emergency sewage pumping station overflows (WINEP/NEP) wastewater capex - Total</v>
      </c>
      <c r="D25" s="188" t="s">
        <v>85</v>
      </c>
      <c r="E25" s="192">
        <f ca="1">IF('F_Input Override'!E25="",'Consolidated Input'!E25,'F_Input Override'!E25)</f>
        <v>0</v>
      </c>
      <c r="F25" s="192">
        <f ca="1">IF('F_Input Override'!F25="",'Consolidated Input'!F25,'F_Input Override'!F25)</f>
        <v>0</v>
      </c>
      <c r="G25" s="192">
        <f ca="1">IF('F_Input Override'!G25="",'Consolidated Input'!G25,'F_Input Override'!G25)</f>
        <v>0</v>
      </c>
      <c r="H25" s="192">
        <f ca="1">IF('F_Input Override'!H25="",'Consolidated Input'!H25,'F_Input Override'!H25)</f>
        <v>0</v>
      </c>
      <c r="I25" s="192">
        <f ca="1">IF('F_Input Override'!I25="",'Consolidated Input'!I25,'F_Input Override'!I25)</f>
        <v>0</v>
      </c>
      <c r="J25" s="192">
        <f ca="1">IF('F_Input Override'!J25="",'Consolidated Input'!J25,'F_Input Override'!J25)</f>
        <v>0</v>
      </c>
      <c r="K25" s="189">
        <f ca="1">IF('F_Input Override'!K25="",'Consolidated Input'!K25,'F_Input Override'!K25)</f>
        <v>0</v>
      </c>
      <c r="L25" s="193">
        <f ca="1">SUM(Table3[[#This Row],[2023-24]:[2029-30]])</f>
        <v>0</v>
      </c>
    </row>
    <row r="26" spans="1:12">
      <c r="A26" s="181" t="str">
        <f>Table1[[#This Row],[Acronym]]</f>
        <v>WSH</v>
      </c>
      <c r="B26" s="181" t="str">
        <f>Table1[[#This Row],[BON code]]</f>
        <v>CWW17_011TOT_PR24</v>
      </c>
      <c r="C26" s="181" t="str">
        <f>Table1[[#This Row],[Item Description]]</f>
        <v>EA/NRW environmental programme wastewater (WINEP/NEP) - MCERTs monitoring at emergency sewage pumping station overflows (WINEP/NEP) wastewater opex - Total</v>
      </c>
      <c r="D26" s="188" t="s">
        <v>85</v>
      </c>
      <c r="E26" s="192">
        <f ca="1">IF('F_Input Override'!E26="",'Consolidated Input'!E26,'F_Input Override'!E26)</f>
        <v>0</v>
      </c>
      <c r="F26" s="192">
        <f ca="1">IF('F_Input Override'!F26="",'Consolidated Input'!F26,'F_Input Override'!F26)</f>
        <v>0</v>
      </c>
      <c r="G26" s="192">
        <f ca="1">IF('F_Input Override'!G26="",'Consolidated Input'!G26,'F_Input Override'!G26)</f>
        <v>0</v>
      </c>
      <c r="H26" s="192">
        <f ca="1">IF('F_Input Override'!H26="",'Consolidated Input'!H26,'F_Input Override'!H26)</f>
        <v>0</v>
      </c>
      <c r="I26" s="192">
        <f ca="1">IF('F_Input Override'!I26="",'Consolidated Input'!I26,'F_Input Override'!I26)</f>
        <v>0</v>
      </c>
      <c r="J26" s="192">
        <f ca="1">IF('F_Input Override'!J26="",'Consolidated Input'!J26,'F_Input Override'!J26)</f>
        <v>0</v>
      </c>
      <c r="K26" s="189">
        <f ca="1">IF('F_Input Override'!K26="",'Consolidated Input'!K26,'F_Input Override'!K26)</f>
        <v>0</v>
      </c>
      <c r="L26" s="193">
        <f ca="1">SUM(Table3[[#This Row],[2023-24]:[2029-30]])</f>
        <v>0</v>
      </c>
    </row>
    <row r="27" spans="1:12">
      <c r="A27" s="181" t="str">
        <f>Table1[[#This Row],[Acronym]]</f>
        <v>WSH</v>
      </c>
      <c r="B27" s="181" t="str">
        <f>Table1[[#This Row],[BON code]]</f>
        <v>CWW17_012TOT_PR24</v>
      </c>
      <c r="C27" s="181" t="str">
        <f>Table1[[#This Row],[Item Description]]</f>
        <v>EA/NRW environmental programme wastewater (WINEP/NEP) - MCERTs monitoring at emergency sewage pumping station overflows (WINEP/NEP) wastewater totex - Total</v>
      </c>
      <c r="D27" s="188" t="s">
        <v>99</v>
      </c>
      <c r="E27" s="192">
        <f ca="1">IF('F_Input Override'!E27="",'Consolidated Input'!E27,'F_Input Override'!E27)</f>
        <v>0</v>
      </c>
      <c r="F27" s="192">
        <f ca="1">IF('F_Input Override'!F27="",'Consolidated Input'!F27,'F_Input Override'!F27)</f>
        <v>0</v>
      </c>
      <c r="G27" s="192">
        <f ca="1">IF('F_Input Override'!G27="",'Consolidated Input'!G27,'F_Input Override'!G27)</f>
        <v>0</v>
      </c>
      <c r="H27" s="192">
        <f ca="1">IF('F_Input Override'!H27="",'Consolidated Input'!H27,'F_Input Override'!H27)</f>
        <v>0</v>
      </c>
      <c r="I27" s="192">
        <f ca="1">IF('F_Input Override'!I27="",'Consolidated Input'!I27,'F_Input Override'!I27)</f>
        <v>0</v>
      </c>
      <c r="J27" s="192">
        <f ca="1">IF('F_Input Override'!J27="",'Consolidated Input'!J27,'F_Input Override'!J27)</f>
        <v>0</v>
      </c>
      <c r="K27" s="189">
        <f ca="1">IF('F_Input Override'!K27="",'Consolidated Input'!K27,'F_Input Override'!K27)</f>
        <v>0</v>
      </c>
      <c r="L27" s="193">
        <f ca="1">SUM(Table3[[#This Row],[2023-24]:[2029-30]])</f>
        <v>0</v>
      </c>
    </row>
    <row r="28" spans="1:12">
      <c r="A28" s="181" t="str">
        <f>Table1[[#This Row],[Acronym]]</f>
        <v>WSH</v>
      </c>
      <c r="B28" s="181" t="str">
        <f>Table1[[#This Row],[BON code]]</f>
        <v>CWW20_050_PR24</v>
      </c>
      <c r="C28" s="181" t="str">
        <f>Table1[[#This Row],[Item Description]]</f>
        <v>Network / Storm overflow data - Number of new MCERTs event duration monitors installed at SPS emergency overflows</v>
      </c>
      <c r="D28" s="188" t="s">
        <v>99</v>
      </c>
      <c r="E28" s="192">
        <f ca="1">IF('F_Input Override'!E28="",'Consolidated Input'!E28,'F_Input Override'!E28)</f>
        <v>0</v>
      </c>
      <c r="F28" s="192">
        <f ca="1">IF('F_Input Override'!F28="",'Consolidated Input'!F28,'F_Input Override'!F28)</f>
        <v>0</v>
      </c>
      <c r="G28" s="192">
        <f ca="1">IF('F_Input Override'!G28="",'Consolidated Input'!G28,'F_Input Override'!G28)</f>
        <v>162</v>
      </c>
      <c r="H28" s="192">
        <f ca="1">IF('F_Input Override'!H28="",'Consolidated Input'!H28,'F_Input Override'!H28)</f>
        <v>244</v>
      </c>
      <c r="I28" s="192">
        <f ca="1">IF('F_Input Override'!I28="",'Consolidated Input'!I28,'F_Input Override'!I28)</f>
        <v>244</v>
      </c>
      <c r="J28" s="192">
        <f ca="1">IF('F_Input Override'!J28="",'Consolidated Input'!J28,'F_Input Override'!J28)</f>
        <v>163</v>
      </c>
      <c r="K28" s="189">
        <f ca="1">IF('F_Input Override'!K28="",'Consolidated Input'!K28,'F_Input Override'!K28)</f>
        <v>0</v>
      </c>
      <c r="L28" s="193">
        <f ca="1">SUM(Table3[[#This Row],[2023-24]:[2029-30]])</f>
        <v>813</v>
      </c>
    </row>
    <row r="29" spans="1:12">
      <c r="A29" s="181" t="str">
        <f>Table1[[#This Row],[Acronym]]</f>
        <v>WSH</v>
      </c>
      <c r="B29" s="181" t="str">
        <f>Table1[[#This Row],[BON code]]</f>
        <v>CWW20_051_PR24</v>
      </c>
      <c r="C29" s="181" t="str">
        <f>Table1[[#This Row],[Item Description]]</f>
        <v>Network / Storm overflow data - Number of new MCERTs flow monitors (PFF) installed at SPSs with combined emergency and storm overflows.</v>
      </c>
      <c r="D29" s="188" t="s">
        <v>99</v>
      </c>
      <c r="E29" s="192">
        <f ca="1">IF('F_Input Override'!E29="",'Consolidated Input'!E29,'F_Input Override'!E29)</f>
        <v>0</v>
      </c>
      <c r="F29" s="192">
        <f ca="1">IF('F_Input Override'!F29="",'Consolidated Input'!F29,'F_Input Override'!F29)</f>
        <v>0</v>
      </c>
      <c r="G29" s="192">
        <f ca="1">IF('F_Input Override'!G29="",'Consolidated Input'!G29,'F_Input Override'!G29)</f>
        <v>1</v>
      </c>
      <c r="H29" s="192">
        <f ca="1">IF('F_Input Override'!H29="",'Consolidated Input'!H29,'F_Input Override'!H29)</f>
        <v>2</v>
      </c>
      <c r="I29" s="192">
        <f ca="1">IF('F_Input Override'!I29="",'Consolidated Input'!I29,'F_Input Override'!I29)</f>
        <v>2</v>
      </c>
      <c r="J29" s="192">
        <f ca="1">IF('F_Input Override'!J29="",'Consolidated Input'!J29,'F_Input Override'!J29)</f>
        <v>2</v>
      </c>
      <c r="K29" s="189">
        <f ca="1">IF('F_Input Override'!K29="",'Consolidated Input'!K29,'F_Input Override'!K29)</f>
        <v>0</v>
      </c>
      <c r="L29" s="193">
        <f ca="1">SUM(Table3[[#This Row],[2023-24]:[2029-30]])</f>
        <v>7</v>
      </c>
    </row>
    <row r="30" spans="1:12">
      <c r="A30" s="181" t="str">
        <f>Table1[[#This Row],[Acronym]]</f>
        <v>WSH</v>
      </c>
      <c r="B30" s="181" t="str">
        <f>Table1[[#This Row],[BON code]]</f>
        <v>CWW20A_050_PR24</v>
      </c>
      <c r="C30" s="181" t="str">
        <f>Table1[[#This Row],[Item Description]]</f>
        <v>Network / Storm overflow data - Number of new MCERTs event duration monitors installed at SPS emergency overflows</v>
      </c>
      <c r="D30" s="188" t="s">
        <v>99</v>
      </c>
      <c r="E30" s="192">
        <f ca="1">IF('F_Input Override'!E30="",'Consolidated Input'!E30,'F_Input Override'!E30)</f>
        <v>0</v>
      </c>
      <c r="F30" s="192">
        <f ca="1">IF('F_Input Override'!F30="",'Consolidated Input'!F30,'F_Input Override'!F30)</f>
        <v>0</v>
      </c>
      <c r="G30" s="192">
        <f ca="1">IF('F_Input Override'!G30="",'Consolidated Input'!G30,'F_Input Override'!G30)</f>
        <v>0</v>
      </c>
      <c r="H30" s="192">
        <f ca="1">IF('F_Input Override'!H30="",'Consolidated Input'!H30,'F_Input Override'!H30)</f>
        <v>0</v>
      </c>
      <c r="I30" s="192">
        <f ca="1">IF('F_Input Override'!I30="",'Consolidated Input'!I30,'F_Input Override'!I30)</f>
        <v>0</v>
      </c>
      <c r="J30" s="192">
        <f ca="1">IF('F_Input Override'!J30="",'Consolidated Input'!J30,'F_Input Override'!J30)</f>
        <v>0</v>
      </c>
      <c r="K30" s="189">
        <f ca="1">IF('F_Input Override'!K30="",'Consolidated Input'!K30,'F_Input Override'!K30)</f>
        <v>0</v>
      </c>
      <c r="L30" s="193">
        <f ca="1">SUM(Table3[[#This Row],[2023-24]:[2029-30]])</f>
        <v>0</v>
      </c>
    </row>
    <row r="31" spans="1:12">
      <c r="A31" s="181" t="str">
        <f>Table1[[#This Row],[Acronym]]</f>
        <v>WSH</v>
      </c>
      <c r="B31" s="181" t="str">
        <f>Table1[[#This Row],[BON code]]</f>
        <v>CWW20A_051_PR24</v>
      </c>
      <c r="C31" s="181" t="str">
        <f>Table1[[#This Row],[Item Description]]</f>
        <v>Network / Storm overflow data - Number of new MCERTs flow monitors (PFF) installed at SPSs with combined emergency and storm overflows.</v>
      </c>
      <c r="D31" s="188" t="s">
        <v>85</v>
      </c>
      <c r="E31" s="192">
        <f ca="1">IF('F_Input Override'!E31="",'Consolidated Input'!E31,'F_Input Override'!E31)</f>
        <v>0</v>
      </c>
      <c r="F31" s="192">
        <f ca="1">IF('F_Input Override'!F31="",'Consolidated Input'!F31,'F_Input Override'!F31)</f>
        <v>0</v>
      </c>
      <c r="G31" s="192">
        <f ca="1">IF('F_Input Override'!G31="",'Consolidated Input'!G31,'F_Input Override'!G31)</f>
        <v>0</v>
      </c>
      <c r="H31" s="192">
        <f ca="1">IF('F_Input Override'!H31="",'Consolidated Input'!H31,'F_Input Override'!H31)</f>
        <v>0</v>
      </c>
      <c r="I31" s="192">
        <f ca="1">IF('F_Input Override'!I31="",'Consolidated Input'!I31,'F_Input Override'!I31)</f>
        <v>0</v>
      </c>
      <c r="J31" s="192">
        <f ca="1">IF('F_Input Override'!J31="",'Consolidated Input'!J31,'F_Input Override'!J31)</f>
        <v>0</v>
      </c>
      <c r="K31" s="189">
        <f ca="1">IF('F_Input Override'!K31="",'Consolidated Input'!K31,'F_Input Override'!K31)</f>
        <v>0</v>
      </c>
      <c r="L31" s="193">
        <f ca="1">SUM(Table3[[#This Row],[2023-24]:[2029-30]])</f>
        <v>0</v>
      </c>
    </row>
    <row r="32" spans="1:12">
      <c r="A32" s="181" t="str">
        <f>Table1[[#This Row],[Acronym]]</f>
        <v>WSH</v>
      </c>
      <c r="B32" s="181" t="str">
        <f>Table1[[#This Row],[BON code]]</f>
        <v>CWW1A_015TOT_PR24</v>
      </c>
      <c r="C32" s="181" t="str">
        <f>Table1[[#This Row],[Item Description]]</f>
        <v>Net totex - Total</v>
      </c>
      <c r="D32" s="188" t="s">
        <v>85</v>
      </c>
      <c r="E32" s="192">
        <f ca="1">IF('F_Input Override'!E32="",'Consolidated Input'!E32,'F_Input Override'!E32)</f>
        <v>0</v>
      </c>
      <c r="F32" s="192">
        <f ca="1">IF('F_Input Override'!F32="",'Consolidated Input'!F32,'F_Input Override'!F32)</f>
        <v>0</v>
      </c>
      <c r="G32" s="192">
        <f ca="1">IF('F_Input Override'!G32="",'Consolidated Input'!G32,'F_Input Override'!G32)</f>
        <v>532.04300000000001</v>
      </c>
      <c r="H32" s="192">
        <f ca="1">IF('F_Input Override'!H32="",'Consolidated Input'!H32,'F_Input Override'!H32)</f>
        <v>677.46500000000003</v>
      </c>
      <c r="I32" s="192">
        <f ca="1">IF('F_Input Override'!I32="",'Consolidated Input'!I32,'F_Input Override'!I32)</f>
        <v>781.62900000000002</v>
      </c>
      <c r="J32" s="192">
        <f ca="1">IF('F_Input Override'!J32="",'Consolidated Input'!J32,'F_Input Override'!J32)</f>
        <v>743.375</v>
      </c>
      <c r="K32" s="189">
        <f ca="1">IF('F_Input Override'!K32="",'Consolidated Input'!K32,'F_Input Override'!K32)</f>
        <v>583.65700000000004</v>
      </c>
      <c r="L32" s="193">
        <f ca="1">SUM(Table3[[#This Row],[2023-24]:[2029-30]])</f>
        <v>3318.1690000000003</v>
      </c>
    </row>
    <row r="33" spans="1:12">
      <c r="A33" s="181" t="str">
        <f>Table1[[#This Row],[Acronym]]</f>
        <v>HDD</v>
      </c>
      <c r="B33" s="181" t="str">
        <f>Table1[[#This Row],[BON code]]</f>
        <v>CWW3_010TOT_PR24</v>
      </c>
      <c r="C33" s="181" t="str">
        <f>Table1[[#This Row],[Item Description]]</f>
        <v>EA/NRW environmental programme wastewater (WINEP/NEP) - MCERTs monitoring at emergency sewage pumping station overflows (WINEP/NEP) wastewater capex - Total</v>
      </c>
      <c r="D33" s="188" t="s">
        <v>85</v>
      </c>
      <c r="E33" s="192">
        <f ca="1">IF('F_Input Override'!E33="",'Consolidated Input'!E33,'F_Input Override'!E33)</f>
        <v>0</v>
      </c>
      <c r="F33" s="192">
        <f ca="1">IF('F_Input Override'!F33="",'Consolidated Input'!F33,'F_Input Override'!F33)</f>
        <v>0</v>
      </c>
      <c r="G33" s="192">
        <f ca="1">IF('F_Input Override'!G33="",'Consolidated Input'!G33,'F_Input Override'!G33)</f>
        <v>5.3999999999999999E-2</v>
      </c>
      <c r="H33" s="192">
        <f ca="1">IF('F_Input Override'!H33="",'Consolidated Input'!H33,'F_Input Override'!H33)</f>
        <v>5.3999999999999999E-2</v>
      </c>
      <c r="I33" s="192">
        <f ca="1">IF('F_Input Override'!I33="",'Consolidated Input'!I33,'F_Input Override'!I33)</f>
        <v>0.13600000000000001</v>
      </c>
      <c r="J33" s="192">
        <f ca="1">IF('F_Input Override'!J33="",'Consolidated Input'!J33,'F_Input Override'!J33)</f>
        <v>0.16500000000000001</v>
      </c>
      <c r="K33" s="189">
        <f ca="1">IF('F_Input Override'!K33="",'Consolidated Input'!K33,'F_Input Override'!K33)</f>
        <v>0.13800000000000001</v>
      </c>
      <c r="L33" s="193">
        <f ca="1">SUM(Table3[[#This Row],[2023-24]:[2029-30]])</f>
        <v>0.54700000000000004</v>
      </c>
    </row>
    <row r="34" spans="1:12">
      <c r="A34" s="181" t="str">
        <f>Table1[[#This Row],[Acronym]]</f>
        <v>HDD</v>
      </c>
      <c r="B34" s="181" t="str">
        <f>Table1[[#This Row],[BON code]]</f>
        <v>CWW3_011TOT_PR24</v>
      </c>
      <c r="C34" s="181" t="str">
        <f>Table1[[#This Row],[Item Description]]</f>
        <v>EA/NRW environmental programme wastewater (WINEP/NEP) - MCERTs monitoring at emergency sewage pumping station overflows (WINEP/NEP) wastewater opex - Total</v>
      </c>
      <c r="D34" s="188" t="s">
        <v>85</v>
      </c>
      <c r="E34" s="192">
        <f ca="1">IF('F_Input Override'!E34="",'Consolidated Input'!E34,'F_Input Override'!E34)</f>
        <v>0</v>
      </c>
      <c r="F34" s="192">
        <f ca="1">IF('F_Input Override'!F34="",'Consolidated Input'!F34,'F_Input Override'!F34)</f>
        <v>0</v>
      </c>
      <c r="G34" s="192">
        <f ca="1">IF('F_Input Override'!G34="",'Consolidated Input'!G34,'F_Input Override'!G34)</f>
        <v>1E-3</v>
      </c>
      <c r="H34" s="192">
        <f ca="1">IF('F_Input Override'!H34="",'Consolidated Input'!H34,'F_Input Override'!H34)</f>
        <v>1E-3</v>
      </c>
      <c r="I34" s="192">
        <f ca="1">IF('F_Input Override'!I34="",'Consolidated Input'!I34,'F_Input Override'!I34)</f>
        <v>3.0000000000000001E-3</v>
      </c>
      <c r="J34" s="192">
        <f ca="1">IF('F_Input Override'!J34="",'Consolidated Input'!J34,'F_Input Override'!J34)</f>
        <v>6.0000000000000001E-3</v>
      </c>
      <c r="K34" s="189">
        <f ca="1">IF('F_Input Override'!K34="",'Consolidated Input'!K34,'F_Input Override'!K34)</f>
        <v>8.0000000000000002E-3</v>
      </c>
      <c r="L34" s="193">
        <f ca="1">SUM(Table3[[#This Row],[2023-24]:[2029-30]])</f>
        <v>1.9E-2</v>
      </c>
    </row>
    <row r="35" spans="1:12">
      <c r="A35" s="181" t="str">
        <f>Table1[[#This Row],[Acronym]]</f>
        <v>HDD</v>
      </c>
      <c r="B35" s="181" t="str">
        <f>Table1[[#This Row],[BON code]]</f>
        <v>CWW3_012TOT_PR24</v>
      </c>
      <c r="C35" s="181" t="str">
        <f>Table1[[#This Row],[Item Description]]</f>
        <v>EA/NRW environmental programme wastewater (WINEP/NEP) - MCERTs monitoring at emergency sewage pumping station overflows (WINEP/NEP) wastewater totex - Total</v>
      </c>
      <c r="D35" s="188" t="s">
        <v>85</v>
      </c>
      <c r="E35" s="192">
        <f ca="1">IF('F_Input Override'!E35="",'Consolidated Input'!E35,'F_Input Override'!E35)</f>
        <v>0</v>
      </c>
      <c r="F35" s="192">
        <f ca="1">IF('F_Input Override'!F35="",'Consolidated Input'!F35,'F_Input Override'!F35)</f>
        <v>0</v>
      </c>
      <c r="G35" s="192">
        <f ca="1">IF('F_Input Override'!G35="",'Consolidated Input'!G35,'F_Input Override'!G35)</f>
        <v>5.5E-2</v>
      </c>
      <c r="H35" s="192">
        <f ca="1">IF('F_Input Override'!H35="",'Consolidated Input'!H35,'F_Input Override'!H35)</f>
        <v>5.5E-2</v>
      </c>
      <c r="I35" s="192">
        <f ca="1">IF('F_Input Override'!I35="",'Consolidated Input'!I35,'F_Input Override'!I35)</f>
        <v>0.13900000000000001</v>
      </c>
      <c r="J35" s="192">
        <f ca="1">IF('F_Input Override'!J35="",'Consolidated Input'!J35,'F_Input Override'!J35)</f>
        <v>0.17100000000000001</v>
      </c>
      <c r="K35" s="189">
        <f ca="1">IF('F_Input Override'!K35="",'Consolidated Input'!K35,'F_Input Override'!K35)</f>
        <v>0.14599999999999999</v>
      </c>
      <c r="L35" s="193">
        <f ca="1">SUM(Table3[[#This Row],[2023-24]:[2029-30]])</f>
        <v>0.56600000000000006</v>
      </c>
    </row>
    <row r="36" spans="1:12">
      <c r="A36" s="181" t="str">
        <f>Table1[[#This Row],[Acronym]]</f>
        <v>HDD</v>
      </c>
      <c r="B36" s="181" t="str">
        <f>Table1[[#This Row],[BON code]]</f>
        <v>CWW12_010TOT_PR24</v>
      </c>
      <c r="C36" s="181" t="str">
        <f>Table1[[#This Row],[Item Description]]</f>
        <v>EA/NRW environmental programme wastewater (WINEP/NEP) - MCERTs monitoring at emergency sewage pumping station overflows (WINEP/NEP) wastewater capex - Total</v>
      </c>
      <c r="D36" s="188" t="s">
        <v>85</v>
      </c>
      <c r="E36" s="192">
        <f ca="1">IF('F_Input Override'!E36="",'Consolidated Input'!E36,'F_Input Override'!E36)</f>
        <v>0</v>
      </c>
      <c r="F36" s="192">
        <f ca="1">IF('F_Input Override'!F36="",'Consolidated Input'!F36,'F_Input Override'!F36)</f>
        <v>0</v>
      </c>
      <c r="G36" s="192">
        <f ca="1">IF('F_Input Override'!G36="",'Consolidated Input'!G36,'F_Input Override'!G36)</f>
        <v>0</v>
      </c>
      <c r="H36" s="192">
        <f ca="1">IF('F_Input Override'!H36="",'Consolidated Input'!H36,'F_Input Override'!H36)</f>
        <v>0</v>
      </c>
      <c r="I36" s="192">
        <f ca="1">IF('F_Input Override'!I36="",'Consolidated Input'!I36,'F_Input Override'!I36)</f>
        <v>0</v>
      </c>
      <c r="J36" s="192">
        <f ca="1">IF('F_Input Override'!J36="",'Consolidated Input'!J36,'F_Input Override'!J36)</f>
        <v>0</v>
      </c>
      <c r="K36" s="189">
        <f ca="1">IF('F_Input Override'!K36="",'Consolidated Input'!K36,'F_Input Override'!K36)</f>
        <v>0</v>
      </c>
      <c r="L36" s="193">
        <f ca="1">SUM(Table3[[#This Row],[2023-24]:[2029-30]])</f>
        <v>0</v>
      </c>
    </row>
    <row r="37" spans="1:12">
      <c r="A37" s="181" t="str">
        <f>Table1[[#This Row],[Acronym]]</f>
        <v>HDD</v>
      </c>
      <c r="B37" s="181" t="str">
        <f>Table1[[#This Row],[BON code]]</f>
        <v>CWW12_011TOT_PR24</v>
      </c>
      <c r="C37" s="181" t="str">
        <f>Table1[[#This Row],[Item Description]]</f>
        <v>EA/NRW environmental programme wastewater (WINEP/NEP) - MCERTs monitoring at emergency sewage pumping station overflows (WINEP/NEP) wastewater opex - Total</v>
      </c>
      <c r="D37" s="188" t="s">
        <v>85</v>
      </c>
      <c r="E37" s="192">
        <f ca="1">IF('F_Input Override'!E37="",'Consolidated Input'!E37,'F_Input Override'!E37)</f>
        <v>0</v>
      </c>
      <c r="F37" s="192">
        <f ca="1">IF('F_Input Override'!F37="",'Consolidated Input'!F37,'F_Input Override'!F37)</f>
        <v>0</v>
      </c>
      <c r="G37" s="192">
        <f ca="1">IF('F_Input Override'!G37="",'Consolidated Input'!G37,'F_Input Override'!G37)</f>
        <v>0</v>
      </c>
      <c r="H37" s="192">
        <f ca="1">IF('F_Input Override'!H37="",'Consolidated Input'!H37,'F_Input Override'!H37)</f>
        <v>0</v>
      </c>
      <c r="I37" s="192">
        <f ca="1">IF('F_Input Override'!I37="",'Consolidated Input'!I37,'F_Input Override'!I37)</f>
        <v>0</v>
      </c>
      <c r="J37" s="192">
        <f ca="1">IF('F_Input Override'!J37="",'Consolidated Input'!J37,'F_Input Override'!J37)</f>
        <v>0</v>
      </c>
      <c r="K37" s="189">
        <f ca="1">IF('F_Input Override'!K37="",'Consolidated Input'!K37,'F_Input Override'!K37)</f>
        <v>0</v>
      </c>
      <c r="L37" s="193">
        <f ca="1">SUM(Table3[[#This Row],[2023-24]:[2029-30]])</f>
        <v>0</v>
      </c>
    </row>
    <row r="38" spans="1:12">
      <c r="A38" s="181" t="str">
        <f>Table1[[#This Row],[Acronym]]</f>
        <v>HDD</v>
      </c>
      <c r="B38" s="181" t="str">
        <f>Table1[[#This Row],[BON code]]</f>
        <v>CWW12_012TOT_PR24</v>
      </c>
      <c r="C38" s="181" t="str">
        <f>Table1[[#This Row],[Item Description]]</f>
        <v>EA/NRW environmental programme wastewater (WINEP/NEP) - MCERTs monitoring at emergency sewage pumping station overflows (WINEP/NEP) wastewater totex - Total</v>
      </c>
      <c r="D38" s="188" t="s">
        <v>85</v>
      </c>
      <c r="E38" s="192">
        <f ca="1">IF('F_Input Override'!E38="",'Consolidated Input'!E38,'F_Input Override'!E38)</f>
        <v>0</v>
      </c>
      <c r="F38" s="192">
        <f ca="1">IF('F_Input Override'!F38="",'Consolidated Input'!F38,'F_Input Override'!F38)</f>
        <v>0</v>
      </c>
      <c r="G38" s="192">
        <f ca="1">IF('F_Input Override'!G38="",'Consolidated Input'!G38,'F_Input Override'!G38)</f>
        <v>0</v>
      </c>
      <c r="H38" s="192">
        <f ca="1">IF('F_Input Override'!H38="",'Consolidated Input'!H38,'F_Input Override'!H38)</f>
        <v>0</v>
      </c>
      <c r="I38" s="192">
        <f ca="1">IF('F_Input Override'!I38="",'Consolidated Input'!I38,'F_Input Override'!I38)</f>
        <v>0</v>
      </c>
      <c r="J38" s="192">
        <f ca="1">IF('F_Input Override'!J38="",'Consolidated Input'!J38,'F_Input Override'!J38)</f>
        <v>0</v>
      </c>
      <c r="K38" s="189">
        <f ca="1">IF('F_Input Override'!K38="",'Consolidated Input'!K38,'F_Input Override'!K38)</f>
        <v>0</v>
      </c>
      <c r="L38" s="193">
        <f ca="1">SUM(Table3[[#This Row],[2023-24]:[2029-30]])</f>
        <v>0</v>
      </c>
    </row>
    <row r="39" spans="1:12">
      <c r="A39" s="181" t="str">
        <f>Table1[[#This Row],[Acronym]]</f>
        <v>HDD</v>
      </c>
      <c r="B39" s="181" t="str">
        <f>Table1[[#This Row],[BON code]]</f>
        <v>CWW17_010TOT_PR24</v>
      </c>
      <c r="C39" s="181" t="str">
        <f>Table1[[#This Row],[Item Description]]</f>
        <v>EA/NRW environmental programme wastewater (WINEP/NEP) - MCERTs monitoring at emergency sewage pumping station overflows (WINEP/NEP) wastewater capex - Total</v>
      </c>
      <c r="D39" s="188" t="s">
        <v>85</v>
      </c>
      <c r="E39" s="192">
        <f ca="1">IF('F_Input Override'!E39="",'Consolidated Input'!E39,'F_Input Override'!E39)</f>
        <v>0</v>
      </c>
      <c r="F39" s="192">
        <f ca="1">IF('F_Input Override'!F39="",'Consolidated Input'!F39,'F_Input Override'!F39)</f>
        <v>0</v>
      </c>
      <c r="G39" s="192">
        <f ca="1">IF('F_Input Override'!G39="",'Consolidated Input'!G39,'F_Input Override'!G39)</f>
        <v>0</v>
      </c>
      <c r="H39" s="192">
        <f ca="1">IF('F_Input Override'!H39="",'Consolidated Input'!H39,'F_Input Override'!H39)</f>
        <v>0</v>
      </c>
      <c r="I39" s="192">
        <f ca="1">IF('F_Input Override'!I39="",'Consolidated Input'!I39,'F_Input Override'!I39)</f>
        <v>0</v>
      </c>
      <c r="J39" s="192">
        <f ca="1">IF('F_Input Override'!J39="",'Consolidated Input'!J39,'F_Input Override'!J39)</f>
        <v>0</v>
      </c>
      <c r="K39" s="189">
        <f ca="1">IF('F_Input Override'!K39="",'Consolidated Input'!K39,'F_Input Override'!K39)</f>
        <v>0</v>
      </c>
      <c r="L39" s="193">
        <f ca="1">SUM(Table3[[#This Row],[2023-24]:[2029-30]])</f>
        <v>0</v>
      </c>
    </row>
    <row r="40" spans="1:12">
      <c r="A40" s="181" t="str">
        <f>Table1[[#This Row],[Acronym]]</f>
        <v>HDD</v>
      </c>
      <c r="B40" s="181" t="str">
        <f>Table1[[#This Row],[BON code]]</f>
        <v>CWW17_011TOT_PR24</v>
      </c>
      <c r="C40" s="181" t="str">
        <f>Table1[[#This Row],[Item Description]]</f>
        <v>EA/NRW environmental programme wastewater (WINEP/NEP) - MCERTs monitoring at emergency sewage pumping station overflows (WINEP/NEP) wastewater opex - Total</v>
      </c>
      <c r="D40" s="188" t="s">
        <v>99</v>
      </c>
      <c r="E40" s="192">
        <f ca="1">IF('F_Input Override'!E40="",'Consolidated Input'!E40,'F_Input Override'!E40)</f>
        <v>0</v>
      </c>
      <c r="F40" s="192">
        <f ca="1">IF('F_Input Override'!F40="",'Consolidated Input'!F40,'F_Input Override'!F40)</f>
        <v>0</v>
      </c>
      <c r="G40" s="192">
        <f ca="1">IF('F_Input Override'!G40="",'Consolidated Input'!G40,'F_Input Override'!G40)</f>
        <v>0</v>
      </c>
      <c r="H40" s="192">
        <f ca="1">IF('F_Input Override'!H40="",'Consolidated Input'!H40,'F_Input Override'!H40)</f>
        <v>0</v>
      </c>
      <c r="I40" s="192">
        <f ca="1">IF('F_Input Override'!I40="",'Consolidated Input'!I40,'F_Input Override'!I40)</f>
        <v>0</v>
      </c>
      <c r="J40" s="192">
        <f ca="1">IF('F_Input Override'!J40="",'Consolidated Input'!J40,'F_Input Override'!J40)</f>
        <v>0</v>
      </c>
      <c r="K40" s="189">
        <f ca="1">IF('F_Input Override'!K40="",'Consolidated Input'!K40,'F_Input Override'!K40)</f>
        <v>0</v>
      </c>
      <c r="L40" s="193">
        <f ca="1">SUM(Table3[[#This Row],[2023-24]:[2029-30]])</f>
        <v>0</v>
      </c>
    </row>
    <row r="41" spans="1:12">
      <c r="A41" s="181" t="str">
        <f>Table1[[#This Row],[Acronym]]</f>
        <v>HDD</v>
      </c>
      <c r="B41" s="181" t="str">
        <f>Table1[[#This Row],[BON code]]</f>
        <v>CWW17_012TOT_PR24</v>
      </c>
      <c r="C41" s="181" t="str">
        <f>Table1[[#This Row],[Item Description]]</f>
        <v>EA/NRW environmental programme wastewater (WINEP/NEP) - MCERTs monitoring at emergency sewage pumping station overflows (WINEP/NEP) wastewater totex - Total</v>
      </c>
      <c r="D41" s="188" t="s">
        <v>99</v>
      </c>
      <c r="E41" s="192">
        <f ca="1">IF('F_Input Override'!E41="",'Consolidated Input'!E41,'F_Input Override'!E41)</f>
        <v>0</v>
      </c>
      <c r="F41" s="192">
        <f ca="1">IF('F_Input Override'!F41="",'Consolidated Input'!F41,'F_Input Override'!F41)</f>
        <v>0</v>
      </c>
      <c r="G41" s="192">
        <f ca="1">IF('F_Input Override'!G41="",'Consolidated Input'!G41,'F_Input Override'!G41)</f>
        <v>0</v>
      </c>
      <c r="H41" s="192">
        <f ca="1">IF('F_Input Override'!H41="",'Consolidated Input'!H41,'F_Input Override'!H41)</f>
        <v>0</v>
      </c>
      <c r="I41" s="192">
        <f ca="1">IF('F_Input Override'!I41="",'Consolidated Input'!I41,'F_Input Override'!I41)</f>
        <v>0</v>
      </c>
      <c r="J41" s="192">
        <f ca="1">IF('F_Input Override'!J41="",'Consolidated Input'!J41,'F_Input Override'!J41)</f>
        <v>0</v>
      </c>
      <c r="K41" s="189">
        <f ca="1">IF('F_Input Override'!K41="",'Consolidated Input'!K41,'F_Input Override'!K41)</f>
        <v>0</v>
      </c>
      <c r="L41" s="193">
        <f ca="1">SUM(Table3[[#This Row],[2023-24]:[2029-30]])</f>
        <v>0</v>
      </c>
    </row>
    <row r="42" spans="1:12">
      <c r="A42" s="181" t="str">
        <f>Table1[[#This Row],[Acronym]]</f>
        <v>HDD</v>
      </c>
      <c r="B42" s="181" t="str">
        <f>Table1[[#This Row],[BON code]]</f>
        <v>CWW20_050_PR24</v>
      </c>
      <c r="C42" s="181" t="str">
        <f>Table1[[#This Row],[Item Description]]</f>
        <v>Network / Storm overflow data - Number of new MCERTs event duration monitors installed at SPS emergency overflows</v>
      </c>
      <c r="D42" s="188" t="s">
        <v>99</v>
      </c>
      <c r="E42" s="192">
        <f ca="1">IF('F_Input Override'!E42="",'Consolidated Input'!E42,'F_Input Override'!E42)</f>
        <v>0</v>
      </c>
      <c r="F42" s="192">
        <f ca="1">IF('F_Input Override'!F42="",'Consolidated Input'!F42,'F_Input Override'!F42)</f>
        <v>0</v>
      </c>
      <c r="G42" s="192">
        <f ca="1">IF('F_Input Override'!G42="",'Consolidated Input'!G42,'F_Input Override'!G42)</f>
        <v>1</v>
      </c>
      <c r="H42" s="192">
        <f ca="1">IF('F_Input Override'!H42="",'Consolidated Input'!H42,'F_Input Override'!H42)</f>
        <v>1</v>
      </c>
      <c r="I42" s="192">
        <f ca="1">IF('F_Input Override'!I42="",'Consolidated Input'!I42,'F_Input Override'!I42)</f>
        <v>1</v>
      </c>
      <c r="J42" s="192">
        <f ca="1">IF('F_Input Override'!J42="",'Consolidated Input'!J42,'F_Input Override'!J42)</f>
        <v>1</v>
      </c>
      <c r="K42" s="189">
        <f ca="1">IF('F_Input Override'!K42="",'Consolidated Input'!K42,'F_Input Override'!K42)</f>
        <v>1</v>
      </c>
      <c r="L42" s="193">
        <f ca="1">SUM(Table3[[#This Row],[2023-24]:[2029-30]])</f>
        <v>5</v>
      </c>
    </row>
    <row r="43" spans="1:12">
      <c r="A43" s="181" t="str">
        <f>Table1[[#This Row],[Acronym]]</f>
        <v>HDD</v>
      </c>
      <c r="B43" s="181" t="str">
        <f>Table1[[#This Row],[BON code]]</f>
        <v>CWW20_051_PR24</v>
      </c>
      <c r="C43" s="181" t="str">
        <f>Table1[[#This Row],[Item Description]]</f>
        <v>Network / Storm overflow data - Number of new MCERTs flow monitors (PFF) installed at SPSs with combined emergency and storm overflows.</v>
      </c>
      <c r="D43" s="188" t="s">
        <v>99</v>
      </c>
      <c r="E43" s="192">
        <f ca="1">IF('F_Input Override'!E43="",'Consolidated Input'!E43,'F_Input Override'!E43)</f>
        <v>0</v>
      </c>
      <c r="F43" s="192">
        <f ca="1">IF('F_Input Override'!F43="",'Consolidated Input'!F43,'F_Input Override'!F43)</f>
        <v>0</v>
      </c>
      <c r="G43" s="192">
        <f ca="1">IF('F_Input Override'!G43="",'Consolidated Input'!G43,'F_Input Override'!G43)</f>
        <v>0</v>
      </c>
      <c r="H43" s="192">
        <f ca="1">IF('F_Input Override'!H43="",'Consolidated Input'!H43,'F_Input Override'!H43)</f>
        <v>1</v>
      </c>
      <c r="I43" s="192">
        <f ca="1">IF('F_Input Override'!I43="",'Consolidated Input'!I43,'F_Input Override'!I43)</f>
        <v>1</v>
      </c>
      <c r="J43" s="192">
        <f ca="1">IF('F_Input Override'!J43="",'Consolidated Input'!J43,'F_Input Override'!J43)</f>
        <v>1</v>
      </c>
      <c r="K43" s="189">
        <f ca="1">IF('F_Input Override'!K43="",'Consolidated Input'!K43,'F_Input Override'!K43)</f>
        <v>1</v>
      </c>
      <c r="L43" s="193">
        <f ca="1">SUM(Table3[[#This Row],[2023-24]:[2029-30]])</f>
        <v>4</v>
      </c>
    </row>
    <row r="44" spans="1:12">
      <c r="A44" s="181" t="str">
        <f>Table1[[#This Row],[Acronym]]</f>
        <v>HDD</v>
      </c>
      <c r="B44" s="181" t="str">
        <f>Table1[[#This Row],[BON code]]</f>
        <v>CWW20A_050_PR24</v>
      </c>
      <c r="C44" s="181" t="str">
        <f>Table1[[#This Row],[Item Description]]</f>
        <v>Network / Storm overflow data - Number of new MCERTs event duration monitors installed at SPS emergency overflows</v>
      </c>
      <c r="D44" s="188" t="s">
        <v>85</v>
      </c>
      <c r="E44" s="192">
        <f ca="1">IF('F_Input Override'!E44="",'Consolidated Input'!E44,'F_Input Override'!E44)</f>
        <v>0</v>
      </c>
      <c r="F44" s="192">
        <f ca="1">IF('F_Input Override'!F44="",'Consolidated Input'!F44,'F_Input Override'!F44)</f>
        <v>0</v>
      </c>
      <c r="G44" s="192">
        <f ca="1">IF('F_Input Override'!G44="",'Consolidated Input'!G44,'F_Input Override'!G44)</f>
        <v>0</v>
      </c>
      <c r="H44" s="192">
        <f ca="1">IF('F_Input Override'!H44="",'Consolidated Input'!H44,'F_Input Override'!H44)</f>
        <v>0</v>
      </c>
      <c r="I44" s="192">
        <f ca="1">IF('F_Input Override'!I44="",'Consolidated Input'!I44,'F_Input Override'!I44)</f>
        <v>0</v>
      </c>
      <c r="J44" s="192">
        <f ca="1">IF('F_Input Override'!J44="",'Consolidated Input'!J44,'F_Input Override'!J44)</f>
        <v>0</v>
      </c>
      <c r="K44" s="189">
        <f ca="1">IF('F_Input Override'!K44="",'Consolidated Input'!K44,'F_Input Override'!K44)</f>
        <v>0</v>
      </c>
      <c r="L44" s="193">
        <f ca="1">SUM(Table3[[#This Row],[2023-24]:[2029-30]])</f>
        <v>0</v>
      </c>
    </row>
    <row r="45" spans="1:12">
      <c r="A45" s="181" t="str">
        <f>Table1[[#This Row],[Acronym]]</f>
        <v>HDD</v>
      </c>
      <c r="B45" s="181" t="str">
        <f>Table1[[#This Row],[BON code]]</f>
        <v>CWW20A_051_PR24</v>
      </c>
      <c r="C45" s="181" t="str">
        <f>Table1[[#This Row],[Item Description]]</f>
        <v>Network / Storm overflow data - Number of new MCERTs flow monitors (PFF) installed at SPSs with combined emergency and storm overflows.</v>
      </c>
      <c r="D45" s="188" t="s">
        <v>85</v>
      </c>
      <c r="E45" s="192">
        <f ca="1">IF('F_Input Override'!E45="",'Consolidated Input'!E45,'F_Input Override'!E45)</f>
        <v>0</v>
      </c>
      <c r="F45" s="192">
        <f ca="1">IF('F_Input Override'!F45="",'Consolidated Input'!F45,'F_Input Override'!F45)</f>
        <v>0</v>
      </c>
      <c r="G45" s="192">
        <f ca="1">IF('F_Input Override'!G45="",'Consolidated Input'!G45,'F_Input Override'!G45)</f>
        <v>0</v>
      </c>
      <c r="H45" s="192">
        <f ca="1">IF('F_Input Override'!H45="",'Consolidated Input'!H45,'F_Input Override'!H45)</f>
        <v>0</v>
      </c>
      <c r="I45" s="192">
        <f ca="1">IF('F_Input Override'!I45="",'Consolidated Input'!I45,'F_Input Override'!I45)</f>
        <v>0</v>
      </c>
      <c r="J45" s="192">
        <f ca="1">IF('F_Input Override'!J45="",'Consolidated Input'!J45,'F_Input Override'!J45)</f>
        <v>0</v>
      </c>
      <c r="K45" s="189">
        <f ca="1">IF('F_Input Override'!K45="",'Consolidated Input'!K45,'F_Input Override'!K45)</f>
        <v>0</v>
      </c>
      <c r="L45" s="193">
        <f ca="1">SUM(Table3[[#This Row],[2023-24]:[2029-30]])</f>
        <v>0</v>
      </c>
    </row>
    <row r="46" spans="1:12">
      <c r="A46" s="181" t="str">
        <f>Table1[[#This Row],[Acronym]]</f>
        <v>HDD</v>
      </c>
      <c r="B46" s="181" t="str">
        <f>Table1[[#This Row],[BON code]]</f>
        <v>CWW1A_015TOT_PR24</v>
      </c>
      <c r="C46" s="181" t="str">
        <f>Table1[[#This Row],[Item Description]]</f>
        <v>Net totex - Total</v>
      </c>
      <c r="D46" s="188" t="s">
        <v>85</v>
      </c>
      <c r="E46" s="192">
        <f ca="1">IF('F_Input Override'!E46="",'Consolidated Input'!E46,'F_Input Override'!E46)</f>
        <v>0</v>
      </c>
      <c r="F46" s="192">
        <f ca="1">IF('F_Input Override'!F46="",'Consolidated Input'!F46,'F_Input Override'!F46)</f>
        <v>0</v>
      </c>
      <c r="G46" s="192">
        <f ca="1">IF('F_Input Override'!G46="",'Consolidated Input'!G46,'F_Input Override'!G46)</f>
        <v>8.9449866348255469</v>
      </c>
      <c r="H46" s="192">
        <f ca="1">IF('F_Input Override'!H46="",'Consolidated Input'!H46,'F_Input Override'!H46)</f>
        <v>10.513360129683161</v>
      </c>
      <c r="I46" s="192">
        <f ca="1">IF('F_Input Override'!I46="",'Consolidated Input'!I46,'F_Input Override'!I46)</f>
        <v>14.777142001610789</v>
      </c>
      <c r="J46" s="192">
        <f ca="1">IF('F_Input Override'!J46="",'Consolidated Input'!J46,'F_Input Override'!J46)</f>
        <v>17.269327311959941</v>
      </c>
      <c r="K46" s="189">
        <f ca="1">IF('F_Input Override'!K46="",'Consolidated Input'!K46,'F_Input Override'!K46)</f>
        <v>9.7979959403769783</v>
      </c>
      <c r="L46" s="193">
        <f ca="1">SUM(Table3[[#This Row],[2023-24]:[2029-30]])</f>
        <v>61.302812018456414</v>
      </c>
    </row>
    <row r="47" spans="1:12">
      <c r="A47" s="181" t="str">
        <f>Table1[[#This Row],[Acronym]]</f>
        <v>NES</v>
      </c>
      <c r="B47" s="181" t="str">
        <f>Table1[[#This Row],[BON code]]</f>
        <v>CWW3_010TOT_PR24</v>
      </c>
      <c r="C47" s="181" t="str">
        <f>Table1[[#This Row],[Item Description]]</f>
        <v>EA/NRW environmental programme wastewater (WINEP/NEP) - MCERTs monitoring at emergency sewage pumping station overflows (WINEP/NEP) wastewater capex - Total</v>
      </c>
      <c r="D47" s="188" t="s">
        <v>85</v>
      </c>
      <c r="E47" s="192">
        <f ca="1">IF('F_Input Override'!E47="",'Consolidated Input'!E47,'F_Input Override'!E47)</f>
        <v>0</v>
      </c>
      <c r="F47" s="192">
        <f ca="1">IF('F_Input Override'!F47="",'Consolidated Input'!F47,'F_Input Override'!F47)</f>
        <v>0</v>
      </c>
      <c r="G47" s="192">
        <f>IF('F_Input Override'!G47="",'Consolidated Input'!G47,'F_Input Override'!G47)</f>
        <v>6.7145999999999999</v>
      </c>
      <c r="H47" s="192">
        <f>IF('F_Input Override'!H47="",'Consolidated Input'!H47,'F_Input Override'!H47)</f>
        <v>6.7145999999999999</v>
      </c>
      <c r="I47" s="192">
        <f>IF('F_Input Override'!I47="",'Consolidated Input'!I47,'F_Input Override'!I47)</f>
        <v>6.7145999999999999</v>
      </c>
      <c r="J47" s="192">
        <f>IF('F_Input Override'!J47="",'Consolidated Input'!J47,'F_Input Override'!J47)</f>
        <v>6.7145999999999999</v>
      </c>
      <c r="K47" s="189">
        <f>IF('F_Input Override'!K47="",'Consolidated Input'!K47,'F_Input Override'!K47)</f>
        <v>6.7145999999999999</v>
      </c>
      <c r="L47" s="193">
        <f ca="1">SUM(Table3[[#This Row],[2023-24]:[2029-30]])</f>
        <v>33.573</v>
      </c>
    </row>
    <row r="48" spans="1:12">
      <c r="A48" s="181" t="str">
        <f>Table1[[#This Row],[Acronym]]</f>
        <v>NES</v>
      </c>
      <c r="B48" s="181" t="str">
        <f>Table1[[#This Row],[BON code]]</f>
        <v>CWW3_011TOT_PR24</v>
      </c>
      <c r="C48" s="181" t="str">
        <f>Table1[[#This Row],[Item Description]]</f>
        <v>EA/NRW environmental programme wastewater (WINEP/NEP) - MCERTs monitoring at emergency sewage pumping station overflows (WINEP/NEP) wastewater opex - Total</v>
      </c>
      <c r="D48" s="188" t="s">
        <v>85</v>
      </c>
      <c r="E48" s="192">
        <f ca="1">IF('F_Input Override'!E48="",'Consolidated Input'!E48,'F_Input Override'!E48)</f>
        <v>0</v>
      </c>
      <c r="F48" s="192">
        <f ca="1">IF('F_Input Override'!F48="",'Consolidated Input'!F48,'F_Input Override'!F48)</f>
        <v>0</v>
      </c>
      <c r="G48" s="192">
        <f ca="1">IF('F_Input Override'!G48="",'Consolidated Input'!G48,'F_Input Override'!G48)</f>
        <v>0</v>
      </c>
      <c r="H48" s="192">
        <f>IF('F_Input Override'!H48="",'Consolidated Input'!H48,'F_Input Override'!H48)</f>
        <v>1.3772500000000001</v>
      </c>
      <c r="I48" s="192">
        <f>IF('F_Input Override'!I48="",'Consolidated Input'!I48,'F_Input Override'!I48)</f>
        <v>1.3772500000000001</v>
      </c>
      <c r="J48" s="192">
        <f>IF('F_Input Override'!J48="",'Consolidated Input'!J48,'F_Input Override'!J48)</f>
        <v>1.3772500000000001</v>
      </c>
      <c r="K48" s="189">
        <f>IF('F_Input Override'!K48="",'Consolidated Input'!K48,'F_Input Override'!K48)</f>
        <v>1.3772500000000001</v>
      </c>
      <c r="L48" s="193">
        <f ca="1">SUM(Table3[[#This Row],[2023-24]:[2029-30]])</f>
        <v>5.5090000000000003</v>
      </c>
    </row>
    <row r="49" spans="1:12">
      <c r="A49" s="181" t="str">
        <f>Table1[[#This Row],[Acronym]]</f>
        <v>NES</v>
      </c>
      <c r="B49" s="181" t="str">
        <f>Table1[[#This Row],[BON code]]</f>
        <v>CWW3_012TOT_PR24</v>
      </c>
      <c r="C49" s="181" t="str">
        <f>Table1[[#This Row],[Item Description]]</f>
        <v>EA/NRW environmental programme wastewater (WINEP/NEP) - MCERTs monitoring at emergency sewage pumping station overflows (WINEP/NEP) wastewater totex - Total</v>
      </c>
      <c r="D49" s="188" t="s">
        <v>85</v>
      </c>
      <c r="E49" s="192">
        <f ca="1">IF('F_Input Override'!E49="",'Consolidated Input'!E49,'F_Input Override'!E49)</f>
        <v>0</v>
      </c>
      <c r="F49" s="192">
        <f ca="1">IF('F_Input Override'!F49="",'Consolidated Input'!F49,'F_Input Override'!F49)</f>
        <v>0</v>
      </c>
      <c r="G49" s="192">
        <f>IF('F_Input Override'!G49="",'Consolidated Input'!G49,'F_Input Override'!G49)</f>
        <v>6.7145999999999999</v>
      </c>
      <c r="H49" s="192">
        <f>IF('F_Input Override'!H49="",'Consolidated Input'!H49,'F_Input Override'!H49)</f>
        <v>8.0918500000000009</v>
      </c>
      <c r="I49" s="192">
        <f>IF('F_Input Override'!I49="",'Consolidated Input'!I49,'F_Input Override'!I49)</f>
        <v>8.0918500000000009</v>
      </c>
      <c r="J49" s="192">
        <f>IF('F_Input Override'!J49="",'Consolidated Input'!J49,'F_Input Override'!J49)</f>
        <v>8.0918500000000009</v>
      </c>
      <c r="K49" s="189">
        <f>IF('F_Input Override'!K49="",'Consolidated Input'!K49,'F_Input Override'!K49)</f>
        <v>8.0918500000000009</v>
      </c>
      <c r="L49" s="193">
        <f ca="1">SUM(Table3[[#This Row],[2023-24]:[2029-30]])</f>
        <v>39.082000000000008</v>
      </c>
    </row>
    <row r="50" spans="1:12">
      <c r="A50" s="181" t="str">
        <f>Table1[[#This Row],[Acronym]]</f>
        <v>NES</v>
      </c>
      <c r="B50" s="181" t="str">
        <f>Table1[[#This Row],[BON code]]</f>
        <v>CWW12_010TOT_PR24</v>
      </c>
      <c r="C50" s="181" t="str">
        <f>Table1[[#This Row],[Item Description]]</f>
        <v>EA/NRW environmental programme wastewater (WINEP/NEP) - MCERTs monitoring at emergency sewage pumping station overflows (WINEP/NEP) wastewater capex - Total</v>
      </c>
      <c r="D50" s="188" t="s">
        <v>85</v>
      </c>
      <c r="E50" s="192">
        <f ca="1">IF('F_Input Override'!E50="",'Consolidated Input'!E50,'F_Input Override'!E50)</f>
        <v>0</v>
      </c>
      <c r="F50" s="192">
        <f ca="1">IF('F_Input Override'!F50="",'Consolidated Input'!F50,'F_Input Override'!F50)</f>
        <v>0</v>
      </c>
      <c r="G50" s="192">
        <f ca="1">IF('F_Input Override'!G50="",'Consolidated Input'!G50,'F_Input Override'!G50)</f>
        <v>0</v>
      </c>
      <c r="H50" s="192">
        <f ca="1">IF('F_Input Override'!H50="",'Consolidated Input'!H50,'F_Input Override'!H50)</f>
        <v>0</v>
      </c>
      <c r="I50" s="192">
        <f ca="1">IF('F_Input Override'!I50="",'Consolidated Input'!I50,'F_Input Override'!I50)</f>
        <v>0</v>
      </c>
      <c r="J50" s="192">
        <f ca="1">IF('F_Input Override'!J50="",'Consolidated Input'!J50,'F_Input Override'!J50)</f>
        <v>0</v>
      </c>
      <c r="K50" s="189">
        <f ca="1">IF('F_Input Override'!K50="",'Consolidated Input'!K50,'F_Input Override'!K50)</f>
        <v>0</v>
      </c>
      <c r="L50" s="193">
        <f ca="1">SUM(Table3[[#This Row],[2023-24]:[2029-30]])</f>
        <v>0</v>
      </c>
    </row>
    <row r="51" spans="1:12">
      <c r="A51" s="181" t="str">
        <f>Table1[[#This Row],[Acronym]]</f>
        <v>NES</v>
      </c>
      <c r="B51" s="181" t="str">
        <f>Table1[[#This Row],[BON code]]</f>
        <v>CWW12_011TOT_PR24</v>
      </c>
      <c r="C51" s="181" t="str">
        <f>Table1[[#This Row],[Item Description]]</f>
        <v>EA/NRW environmental programme wastewater (WINEP/NEP) - MCERTs monitoring at emergency sewage pumping station overflows (WINEP/NEP) wastewater opex - Total</v>
      </c>
      <c r="D51" s="188" t="s">
        <v>85</v>
      </c>
      <c r="E51" s="192">
        <f ca="1">IF('F_Input Override'!E51="",'Consolidated Input'!E51,'F_Input Override'!E51)</f>
        <v>0</v>
      </c>
      <c r="F51" s="192">
        <f ca="1">IF('F_Input Override'!F51="",'Consolidated Input'!F51,'F_Input Override'!F51)</f>
        <v>0</v>
      </c>
      <c r="G51" s="192">
        <f ca="1">IF('F_Input Override'!G51="",'Consolidated Input'!G51,'F_Input Override'!G51)</f>
        <v>0</v>
      </c>
      <c r="H51" s="192">
        <f ca="1">IF('F_Input Override'!H51="",'Consolidated Input'!H51,'F_Input Override'!H51)</f>
        <v>0</v>
      </c>
      <c r="I51" s="192">
        <f ca="1">IF('F_Input Override'!I51="",'Consolidated Input'!I51,'F_Input Override'!I51)</f>
        <v>0</v>
      </c>
      <c r="J51" s="192">
        <f ca="1">IF('F_Input Override'!J51="",'Consolidated Input'!J51,'F_Input Override'!J51)</f>
        <v>0</v>
      </c>
      <c r="K51" s="189">
        <f ca="1">IF('F_Input Override'!K51="",'Consolidated Input'!K51,'F_Input Override'!K51)</f>
        <v>0</v>
      </c>
      <c r="L51" s="193">
        <f ca="1">SUM(Table3[[#This Row],[2023-24]:[2029-30]])</f>
        <v>0</v>
      </c>
    </row>
    <row r="52" spans="1:12">
      <c r="A52" s="181" t="str">
        <f>Table1[[#This Row],[Acronym]]</f>
        <v>NES</v>
      </c>
      <c r="B52" s="181" t="str">
        <f>Table1[[#This Row],[BON code]]</f>
        <v>CWW12_012TOT_PR24</v>
      </c>
      <c r="C52" s="181" t="str">
        <f>Table1[[#This Row],[Item Description]]</f>
        <v>EA/NRW environmental programme wastewater (WINEP/NEP) - MCERTs monitoring at emergency sewage pumping station overflows (WINEP/NEP) wastewater totex - Total</v>
      </c>
      <c r="D52" s="188" t="s">
        <v>85</v>
      </c>
      <c r="E52" s="192">
        <f ca="1">IF('F_Input Override'!E52="",'Consolidated Input'!E52,'F_Input Override'!E52)</f>
        <v>0</v>
      </c>
      <c r="F52" s="192">
        <f ca="1">IF('F_Input Override'!F52="",'Consolidated Input'!F52,'F_Input Override'!F52)</f>
        <v>0</v>
      </c>
      <c r="G52" s="192">
        <f ca="1">IF('F_Input Override'!G52="",'Consolidated Input'!G52,'F_Input Override'!G52)</f>
        <v>0</v>
      </c>
      <c r="H52" s="192">
        <f ca="1">IF('F_Input Override'!H52="",'Consolidated Input'!H52,'F_Input Override'!H52)</f>
        <v>0</v>
      </c>
      <c r="I52" s="192">
        <f ca="1">IF('F_Input Override'!I52="",'Consolidated Input'!I52,'F_Input Override'!I52)</f>
        <v>0</v>
      </c>
      <c r="J52" s="192">
        <f ca="1">IF('F_Input Override'!J52="",'Consolidated Input'!J52,'F_Input Override'!J52)</f>
        <v>0</v>
      </c>
      <c r="K52" s="189">
        <f ca="1">IF('F_Input Override'!K52="",'Consolidated Input'!K52,'F_Input Override'!K52)</f>
        <v>0</v>
      </c>
      <c r="L52" s="193">
        <f ca="1">SUM(Table3[[#This Row],[2023-24]:[2029-30]])</f>
        <v>0</v>
      </c>
    </row>
    <row r="53" spans="1:12">
      <c r="A53" s="181" t="str">
        <f>Table1[[#This Row],[Acronym]]</f>
        <v>NES</v>
      </c>
      <c r="B53" s="181" t="str">
        <f>Table1[[#This Row],[BON code]]</f>
        <v>CWW17_010TOT_PR24</v>
      </c>
      <c r="C53" s="181" t="str">
        <f>Table1[[#This Row],[Item Description]]</f>
        <v>EA/NRW environmental programme wastewater (WINEP/NEP) - MCERTs monitoring at emergency sewage pumping station overflows (WINEP/NEP) wastewater capex - Total</v>
      </c>
      <c r="D53" s="188" t="s">
        <v>99</v>
      </c>
      <c r="E53" s="192">
        <f ca="1">IF('F_Input Override'!E53="",'Consolidated Input'!E53,'F_Input Override'!E53)</f>
        <v>0</v>
      </c>
      <c r="F53" s="192">
        <f ca="1">IF('F_Input Override'!F53="",'Consolidated Input'!F53,'F_Input Override'!F53)</f>
        <v>0</v>
      </c>
      <c r="G53" s="192">
        <f ca="1">IF('F_Input Override'!G53="",'Consolidated Input'!G53,'F_Input Override'!G53)</f>
        <v>0</v>
      </c>
      <c r="H53" s="192">
        <f ca="1">IF('F_Input Override'!H53="",'Consolidated Input'!H53,'F_Input Override'!H53)</f>
        <v>0</v>
      </c>
      <c r="I53" s="192">
        <f ca="1">IF('F_Input Override'!I53="",'Consolidated Input'!I53,'F_Input Override'!I53)</f>
        <v>0</v>
      </c>
      <c r="J53" s="192">
        <f ca="1">IF('F_Input Override'!J53="",'Consolidated Input'!J53,'F_Input Override'!J53)</f>
        <v>0</v>
      </c>
      <c r="K53" s="189">
        <f ca="1">IF('F_Input Override'!K53="",'Consolidated Input'!K53,'F_Input Override'!K53)</f>
        <v>0</v>
      </c>
      <c r="L53" s="193">
        <f ca="1">SUM(Table3[[#This Row],[2023-24]:[2029-30]])</f>
        <v>0</v>
      </c>
    </row>
    <row r="54" spans="1:12">
      <c r="A54" s="181" t="str">
        <f>Table1[[#This Row],[Acronym]]</f>
        <v>NES</v>
      </c>
      <c r="B54" s="181" t="str">
        <f>Table1[[#This Row],[BON code]]</f>
        <v>CWW17_011TOT_PR24</v>
      </c>
      <c r="C54" s="181" t="str">
        <f>Table1[[#This Row],[Item Description]]</f>
        <v>EA/NRW environmental programme wastewater (WINEP/NEP) - MCERTs monitoring at emergency sewage pumping station overflows (WINEP/NEP) wastewater opex - Total</v>
      </c>
      <c r="D54" s="188" t="s">
        <v>99</v>
      </c>
      <c r="E54" s="192">
        <f ca="1">IF('F_Input Override'!E54="",'Consolidated Input'!E54,'F_Input Override'!E54)</f>
        <v>0</v>
      </c>
      <c r="F54" s="192">
        <f ca="1">IF('F_Input Override'!F54="",'Consolidated Input'!F54,'F_Input Override'!F54)</f>
        <v>0</v>
      </c>
      <c r="G54" s="192">
        <f ca="1">IF('F_Input Override'!G54="",'Consolidated Input'!G54,'F_Input Override'!G54)</f>
        <v>0</v>
      </c>
      <c r="H54" s="192">
        <f ca="1">IF('F_Input Override'!H54="",'Consolidated Input'!H54,'F_Input Override'!H54)</f>
        <v>0</v>
      </c>
      <c r="I54" s="192">
        <f ca="1">IF('F_Input Override'!I54="",'Consolidated Input'!I54,'F_Input Override'!I54)</f>
        <v>0</v>
      </c>
      <c r="J54" s="192">
        <f ca="1">IF('F_Input Override'!J54="",'Consolidated Input'!J54,'F_Input Override'!J54)</f>
        <v>0</v>
      </c>
      <c r="K54" s="189">
        <f ca="1">IF('F_Input Override'!K54="",'Consolidated Input'!K54,'F_Input Override'!K54)</f>
        <v>0</v>
      </c>
      <c r="L54" s="193">
        <f ca="1">SUM(Table3[[#This Row],[2023-24]:[2029-30]])</f>
        <v>0</v>
      </c>
    </row>
    <row r="55" spans="1:12">
      <c r="A55" s="181" t="str">
        <f>Table1[[#This Row],[Acronym]]</f>
        <v>NES</v>
      </c>
      <c r="B55" s="181" t="str">
        <f>Table1[[#This Row],[BON code]]</f>
        <v>CWW17_012TOT_PR24</v>
      </c>
      <c r="C55" s="181" t="str">
        <f>Table1[[#This Row],[Item Description]]</f>
        <v>EA/NRW environmental programme wastewater (WINEP/NEP) - MCERTs monitoring at emergency sewage pumping station overflows (WINEP/NEP) wastewater totex - Total</v>
      </c>
      <c r="D55" s="188" t="s">
        <v>99</v>
      </c>
      <c r="E55" s="192">
        <f ca="1">IF('F_Input Override'!E55="",'Consolidated Input'!E55,'F_Input Override'!E55)</f>
        <v>0</v>
      </c>
      <c r="F55" s="192">
        <f ca="1">IF('F_Input Override'!F55="",'Consolidated Input'!F55,'F_Input Override'!F55)</f>
        <v>0</v>
      </c>
      <c r="G55" s="192">
        <f ca="1">IF('F_Input Override'!G55="",'Consolidated Input'!G55,'F_Input Override'!G55)</f>
        <v>0</v>
      </c>
      <c r="H55" s="192">
        <f ca="1">IF('F_Input Override'!H55="",'Consolidated Input'!H55,'F_Input Override'!H55)</f>
        <v>0</v>
      </c>
      <c r="I55" s="192">
        <f ca="1">IF('F_Input Override'!I55="",'Consolidated Input'!I55,'F_Input Override'!I55)</f>
        <v>0</v>
      </c>
      <c r="J55" s="192">
        <f ca="1">IF('F_Input Override'!J55="",'Consolidated Input'!J55,'F_Input Override'!J55)</f>
        <v>0</v>
      </c>
      <c r="K55" s="189">
        <f ca="1">IF('F_Input Override'!K55="",'Consolidated Input'!K55,'F_Input Override'!K55)</f>
        <v>0</v>
      </c>
      <c r="L55" s="193">
        <f ca="1">SUM(Table3[[#This Row],[2023-24]:[2029-30]])</f>
        <v>0</v>
      </c>
    </row>
    <row r="56" spans="1:12">
      <c r="A56" s="181" t="str">
        <f>Table1[[#This Row],[Acronym]]</f>
        <v>NES</v>
      </c>
      <c r="B56" s="181" t="str">
        <f>Table1[[#This Row],[BON code]]</f>
        <v>CWW20_050_PR24</v>
      </c>
      <c r="C56" s="181" t="str">
        <f>Table1[[#This Row],[Item Description]]</f>
        <v>Network / Storm overflow data - Number of new MCERTs event duration monitors installed at SPS emergency overflows</v>
      </c>
      <c r="D56" s="188" t="s">
        <v>99</v>
      </c>
      <c r="E56" s="192">
        <f ca="1">IF('F_Input Override'!E56="",'Consolidated Input'!E56,'F_Input Override'!E56)</f>
        <v>0</v>
      </c>
      <c r="F56" s="192">
        <f ca="1">IF('F_Input Override'!F56="",'Consolidated Input'!F56,'F_Input Override'!F56)</f>
        <v>0</v>
      </c>
      <c r="G56" s="192">
        <f ca="1">IF('F_Input Override'!G56="",'Consolidated Input'!G56,'F_Input Override'!G56)</f>
        <v>29</v>
      </c>
      <c r="H56" s="192">
        <f ca="1">IF('F_Input Override'!H56="",'Consolidated Input'!H56,'F_Input Override'!H56)</f>
        <v>30</v>
      </c>
      <c r="I56" s="192">
        <f ca="1">IF('F_Input Override'!I56="",'Consolidated Input'!I56,'F_Input Override'!I56)</f>
        <v>30</v>
      </c>
      <c r="J56" s="192">
        <f ca="1">IF('F_Input Override'!J56="",'Consolidated Input'!J56,'F_Input Override'!J56)</f>
        <v>30</v>
      </c>
      <c r="K56" s="189">
        <f ca="1">IF('F_Input Override'!K56="",'Consolidated Input'!K56,'F_Input Override'!K56)</f>
        <v>30</v>
      </c>
      <c r="L56" s="193">
        <f ca="1">SUM(Table3[[#This Row],[2023-24]:[2029-30]])</f>
        <v>149</v>
      </c>
    </row>
    <row r="57" spans="1:12">
      <c r="A57" s="181" t="str">
        <f>Table1[[#This Row],[Acronym]]</f>
        <v>NES</v>
      </c>
      <c r="B57" s="181" t="str">
        <f>Table1[[#This Row],[BON code]]</f>
        <v>CWW20_051_PR24</v>
      </c>
      <c r="C57" s="181" t="str">
        <f>Table1[[#This Row],[Item Description]]</f>
        <v>Network / Storm overflow data - Number of new MCERTs flow monitors (PFF) installed at SPSs with combined emergency and storm overflows.</v>
      </c>
      <c r="D57" s="188" t="s">
        <v>85</v>
      </c>
      <c r="E57" s="192">
        <f ca="1">IF('F_Input Override'!E57="",'Consolidated Input'!E57,'F_Input Override'!E57)</f>
        <v>0</v>
      </c>
      <c r="F57" s="192">
        <f ca="1">IF('F_Input Override'!F57="",'Consolidated Input'!F57,'F_Input Override'!F57)</f>
        <v>0</v>
      </c>
      <c r="G57" s="192">
        <f ca="1">IF('F_Input Override'!G57="",'Consolidated Input'!G57,'F_Input Override'!G57)</f>
        <v>12</v>
      </c>
      <c r="H57" s="192">
        <f ca="1">IF('F_Input Override'!H57="",'Consolidated Input'!H57,'F_Input Override'!H57)</f>
        <v>13</v>
      </c>
      <c r="I57" s="192">
        <f ca="1">IF('F_Input Override'!I57="",'Consolidated Input'!I57,'F_Input Override'!I57)</f>
        <v>13</v>
      </c>
      <c r="J57" s="192">
        <f ca="1">IF('F_Input Override'!J57="",'Consolidated Input'!J57,'F_Input Override'!J57)</f>
        <v>13</v>
      </c>
      <c r="K57" s="189">
        <f ca="1">IF('F_Input Override'!K57="",'Consolidated Input'!K57,'F_Input Override'!K57)</f>
        <v>13</v>
      </c>
      <c r="L57" s="193">
        <f ca="1">SUM(Table3[[#This Row],[2023-24]:[2029-30]])</f>
        <v>64</v>
      </c>
    </row>
    <row r="58" spans="1:12">
      <c r="A58" s="181" t="str">
        <f>Table1[[#This Row],[Acronym]]</f>
        <v>NES</v>
      </c>
      <c r="B58" s="181" t="str">
        <f>Table1[[#This Row],[BON code]]</f>
        <v>CWW20A_050_PR24</v>
      </c>
      <c r="C58" s="181" t="str">
        <f>Table1[[#This Row],[Item Description]]</f>
        <v>Network / Storm overflow data - Number of new MCERTs event duration monitors installed at SPS emergency overflows</v>
      </c>
      <c r="D58" s="188" t="s">
        <v>85</v>
      </c>
      <c r="E58" s="192">
        <f ca="1">IF('F_Input Override'!E58="",'Consolidated Input'!E58,'F_Input Override'!E58)</f>
        <v>0</v>
      </c>
      <c r="F58" s="192">
        <f ca="1">IF('F_Input Override'!F58="",'Consolidated Input'!F58,'F_Input Override'!F58)</f>
        <v>0</v>
      </c>
      <c r="G58" s="192">
        <f ca="1">IF('F_Input Override'!G58="",'Consolidated Input'!G58,'F_Input Override'!G58)</f>
        <v>0</v>
      </c>
      <c r="H58" s="192">
        <f ca="1">IF('F_Input Override'!H58="",'Consolidated Input'!H58,'F_Input Override'!H58)</f>
        <v>0</v>
      </c>
      <c r="I58" s="192">
        <f ca="1">IF('F_Input Override'!I58="",'Consolidated Input'!I58,'F_Input Override'!I58)</f>
        <v>0</v>
      </c>
      <c r="J58" s="192">
        <f ca="1">IF('F_Input Override'!J58="",'Consolidated Input'!J58,'F_Input Override'!J58)</f>
        <v>0</v>
      </c>
      <c r="K58" s="189">
        <f ca="1">IF('F_Input Override'!K58="",'Consolidated Input'!K58,'F_Input Override'!K58)</f>
        <v>0</v>
      </c>
      <c r="L58" s="193">
        <f ca="1">SUM(Table3[[#This Row],[2023-24]:[2029-30]])</f>
        <v>0</v>
      </c>
    </row>
    <row r="59" spans="1:12">
      <c r="A59" s="181" t="str">
        <f>Table1[[#This Row],[Acronym]]</f>
        <v>NES</v>
      </c>
      <c r="B59" s="181" t="str">
        <f>Table1[[#This Row],[BON code]]</f>
        <v>CWW20A_051_PR24</v>
      </c>
      <c r="C59" s="181" t="str">
        <f>Table1[[#This Row],[Item Description]]</f>
        <v>Network / Storm overflow data - Number of new MCERTs flow monitors (PFF) installed at SPSs with combined emergency and storm overflows.</v>
      </c>
      <c r="D59" s="188" t="s">
        <v>85</v>
      </c>
      <c r="E59" s="192">
        <f ca="1">IF('F_Input Override'!E59="",'Consolidated Input'!E59,'F_Input Override'!E59)</f>
        <v>0</v>
      </c>
      <c r="F59" s="192">
        <f ca="1">IF('F_Input Override'!F59="",'Consolidated Input'!F59,'F_Input Override'!F59)</f>
        <v>0</v>
      </c>
      <c r="G59" s="192">
        <f ca="1">IF('F_Input Override'!G59="",'Consolidated Input'!G59,'F_Input Override'!G59)</f>
        <v>0</v>
      </c>
      <c r="H59" s="192">
        <f ca="1">IF('F_Input Override'!H59="",'Consolidated Input'!H59,'F_Input Override'!H59)</f>
        <v>0</v>
      </c>
      <c r="I59" s="192">
        <f ca="1">IF('F_Input Override'!I59="",'Consolidated Input'!I59,'F_Input Override'!I59)</f>
        <v>0</v>
      </c>
      <c r="J59" s="192">
        <f ca="1">IF('F_Input Override'!J59="",'Consolidated Input'!J59,'F_Input Override'!J59)</f>
        <v>0</v>
      </c>
      <c r="K59" s="189">
        <f ca="1">IF('F_Input Override'!K59="",'Consolidated Input'!K59,'F_Input Override'!K59)</f>
        <v>0</v>
      </c>
      <c r="L59" s="193">
        <f ca="1">SUM(Table3[[#This Row],[2023-24]:[2029-30]])</f>
        <v>0</v>
      </c>
    </row>
    <row r="60" spans="1:12">
      <c r="A60" s="181" t="str">
        <f>Table1[[#This Row],[Acronym]]</f>
        <v>NES</v>
      </c>
      <c r="B60" s="181" t="str">
        <f>Table1[[#This Row],[BON code]]</f>
        <v>CWW1A_015TOT_PR24</v>
      </c>
      <c r="C60" s="181" t="str">
        <f>Table1[[#This Row],[Item Description]]</f>
        <v>Net totex - Total</v>
      </c>
      <c r="D60" s="188" t="s">
        <v>85</v>
      </c>
      <c r="E60" s="192">
        <f ca="1">IF('F_Input Override'!E60="",'Consolidated Input'!E60,'F_Input Override'!E60)</f>
        <v>0</v>
      </c>
      <c r="F60" s="192">
        <f ca="1">IF('F_Input Override'!F60="",'Consolidated Input'!F60,'F_Input Override'!F60)</f>
        <v>0</v>
      </c>
      <c r="G60" s="192">
        <f ca="1">IF('F_Input Override'!G60="",'Consolidated Input'!G60,'F_Input Override'!G60)</f>
        <v>637.49235151146331</v>
      </c>
      <c r="H60" s="192">
        <f ca="1">IF('F_Input Override'!H60="",'Consolidated Input'!H60,'F_Input Override'!H60)</f>
        <v>649.43938105100824</v>
      </c>
      <c r="I60" s="192">
        <f ca="1">IF('F_Input Override'!I60="",'Consolidated Input'!I60,'F_Input Override'!I60)</f>
        <v>633.75696696428611</v>
      </c>
      <c r="J60" s="192">
        <f ca="1">IF('F_Input Override'!J60="",'Consolidated Input'!J60,'F_Input Override'!J60)</f>
        <v>617.35869124562396</v>
      </c>
      <c r="K60" s="189">
        <f ca="1">IF('F_Input Override'!K60="",'Consolidated Input'!K60,'F_Input Override'!K60)</f>
        <v>590.04476795521828</v>
      </c>
      <c r="L60" s="193">
        <f ca="1">SUM(Table3[[#This Row],[2023-24]:[2029-30]])</f>
        <v>3128.0921587275998</v>
      </c>
    </row>
    <row r="61" spans="1:12">
      <c r="A61" s="181" t="str">
        <f>Table1[[#This Row],[Acronym]]</f>
        <v>SVE</v>
      </c>
      <c r="B61" s="181" t="str">
        <f>Table1[[#This Row],[BON code]]</f>
        <v>CWW3_010TOT_PR24</v>
      </c>
      <c r="C61" s="181" t="str">
        <f>Table1[[#This Row],[Item Description]]</f>
        <v>EA/NRW environmental programme wastewater (WINEP/NEP) - MCERTs monitoring at emergency sewage pumping station overflows (WINEP/NEP) wastewater capex - Total</v>
      </c>
      <c r="D61" s="188" t="s">
        <v>85</v>
      </c>
      <c r="E61" s="192">
        <f ca="1">IF('F_Input Override'!E61="",'Consolidated Input'!E61,'F_Input Override'!E61)</f>
        <v>0</v>
      </c>
      <c r="F61" s="192">
        <f ca="1">IF('F_Input Override'!F61="",'Consolidated Input'!F61,'F_Input Override'!F61)</f>
        <v>0</v>
      </c>
      <c r="G61" s="192">
        <f ca="1">IF('F_Input Override'!G61="",'Consolidated Input'!G61,'F_Input Override'!G61)</f>
        <v>2.4222169876894881</v>
      </c>
      <c r="H61" s="192">
        <f ca="1">IF('F_Input Override'!H61="",'Consolidated Input'!H61,'F_Input Override'!H61)</f>
        <v>2.4970623405963779</v>
      </c>
      <c r="I61" s="192">
        <f ca="1">IF('F_Input Override'!I61="",'Consolidated Input'!I61,'F_Input Override'!I61)</f>
        <v>3.8897476747409718</v>
      </c>
      <c r="J61" s="192">
        <f ca="1">IF('F_Input Override'!J61="",'Consolidated Input'!J61,'F_Input Override'!J61)</f>
        <v>7.0000714619806184</v>
      </c>
      <c r="K61" s="189">
        <f ca="1">IF('F_Input Override'!K61="",'Consolidated Input'!K61,'F_Input Override'!K61)</f>
        <v>9.6531095508949765</v>
      </c>
      <c r="L61" s="193">
        <f ca="1">SUM(Table3[[#This Row],[2023-24]:[2029-30]])</f>
        <v>25.462208015902434</v>
      </c>
    </row>
    <row r="62" spans="1:12">
      <c r="A62" s="181" t="str">
        <f>Table1[[#This Row],[Acronym]]</f>
        <v>SVE</v>
      </c>
      <c r="B62" s="181" t="str">
        <f>Table1[[#This Row],[BON code]]</f>
        <v>CWW3_011TOT_PR24</v>
      </c>
      <c r="C62" s="181" t="str">
        <f>Table1[[#This Row],[Item Description]]</f>
        <v>EA/NRW environmental programme wastewater (WINEP/NEP) - MCERTs monitoring at emergency sewage pumping station overflows (WINEP/NEP) wastewater opex - Total</v>
      </c>
      <c r="D62" s="188" t="s">
        <v>85</v>
      </c>
      <c r="E62" s="192">
        <f ca="1">IF('F_Input Override'!E62="",'Consolidated Input'!E62,'F_Input Override'!E62)</f>
        <v>0</v>
      </c>
      <c r="F62" s="192">
        <f ca="1">IF('F_Input Override'!F62="",'Consolidated Input'!F62,'F_Input Override'!F62)</f>
        <v>0</v>
      </c>
      <c r="G62" s="192">
        <f ca="1">IF('F_Input Override'!G62="",'Consolidated Input'!G62,'F_Input Override'!G62)</f>
        <v>2.3422693943730269E-2</v>
      </c>
      <c r="H62" s="192">
        <f ca="1">IF('F_Input Override'!H62="",'Consolidated Input'!H62,'F_Input Override'!H62)</f>
        <v>9.861570446027397E-2</v>
      </c>
      <c r="I62" s="192">
        <f ca="1">IF('F_Input Override'!I62="",'Consolidated Input'!I62,'F_Input Override'!I62)</f>
        <v>0.122151844582109</v>
      </c>
      <c r="J62" s="192">
        <f ca="1">IF('F_Input Override'!J62="",'Consolidated Input'!J62,'F_Input Override'!J62)</f>
        <v>0.18052658330507129</v>
      </c>
      <c r="K62" s="189">
        <f ca="1">IF('F_Input Override'!K62="",'Consolidated Input'!K62,'F_Input Override'!K62)</f>
        <v>0.31020580326515701</v>
      </c>
      <c r="L62" s="193">
        <f ca="1">SUM(Table3[[#This Row],[2023-24]:[2029-30]])</f>
        <v>0.73492262955634158</v>
      </c>
    </row>
    <row r="63" spans="1:12">
      <c r="A63" s="181" t="str">
        <f>Table1[[#This Row],[Acronym]]</f>
        <v>SVE</v>
      </c>
      <c r="B63" s="181" t="str">
        <f>Table1[[#This Row],[BON code]]</f>
        <v>CWW3_012TOT_PR24</v>
      </c>
      <c r="C63" s="181" t="str">
        <f>Table1[[#This Row],[Item Description]]</f>
        <v>EA/NRW environmental programme wastewater (WINEP/NEP) - MCERTs monitoring at emergency sewage pumping station overflows (WINEP/NEP) wastewater totex - Total</v>
      </c>
      <c r="D63" s="188" t="s">
        <v>85</v>
      </c>
      <c r="E63" s="192">
        <f ca="1">IF('F_Input Override'!E63="",'Consolidated Input'!E63,'F_Input Override'!E63)</f>
        <v>0</v>
      </c>
      <c r="F63" s="192">
        <f ca="1">IF('F_Input Override'!F63="",'Consolidated Input'!F63,'F_Input Override'!F63)</f>
        <v>0</v>
      </c>
      <c r="G63" s="192">
        <f ca="1">IF('F_Input Override'!G63="",'Consolidated Input'!G63,'F_Input Override'!G63)</f>
        <v>2.4456396816332191</v>
      </c>
      <c r="H63" s="192">
        <f ca="1">IF('F_Input Override'!H63="",'Consolidated Input'!H63,'F_Input Override'!H63)</f>
        <v>2.5956780450566521</v>
      </c>
      <c r="I63" s="192">
        <f ca="1">IF('F_Input Override'!I63="",'Consolidated Input'!I63,'F_Input Override'!I63)</f>
        <v>4.0118995193230811</v>
      </c>
      <c r="J63" s="192">
        <f ca="1">IF('F_Input Override'!J63="",'Consolidated Input'!J63,'F_Input Override'!J63)</f>
        <v>7.1805980452856897</v>
      </c>
      <c r="K63" s="189">
        <f ca="1">IF('F_Input Override'!K63="",'Consolidated Input'!K63,'F_Input Override'!K63)</f>
        <v>9.963315354160132</v>
      </c>
      <c r="L63" s="193">
        <f ca="1">SUM(Table3[[#This Row],[2023-24]:[2029-30]])</f>
        <v>26.19713064545877</v>
      </c>
    </row>
    <row r="64" spans="1:12">
      <c r="A64" s="181" t="str">
        <f>Table1[[#This Row],[Acronym]]</f>
        <v>SVE</v>
      </c>
      <c r="B64" s="181" t="str">
        <f>Table1[[#This Row],[BON code]]</f>
        <v>CWW12_010TOT_PR24</v>
      </c>
      <c r="C64" s="181" t="str">
        <f>Table1[[#This Row],[Item Description]]</f>
        <v>EA/NRW environmental programme wastewater (WINEP/NEP) - MCERTs monitoring at emergency sewage pumping station overflows (WINEP/NEP) wastewater capex - Total</v>
      </c>
      <c r="D64" s="188" t="s">
        <v>85</v>
      </c>
      <c r="E64" s="192">
        <f ca="1">IF('F_Input Override'!E64="",'Consolidated Input'!E64,'F_Input Override'!E64)</f>
        <v>0</v>
      </c>
      <c r="F64" s="192">
        <f ca="1">IF('F_Input Override'!F64="",'Consolidated Input'!F64,'F_Input Override'!F64)</f>
        <v>5.643126094345547E-2</v>
      </c>
      <c r="G64" s="192">
        <f ca="1">IF('F_Input Override'!G64="",'Consolidated Input'!G64,'F_Input Override'!G64)</f>
        <v>0</v>
      </c>
      <c r="H64" s="192">
        <f ca="1">IF('F_Input Override'!H64="",'Consolidated Input'!H64,'F_Input Override'!H64)</f>
        <v>0</v>
      </c>
      <c r="I64" s="192">
        <f ca="1">IF('F_Input Override'!I64="",'Consolidated Input'!I64,'F_Input Override'!I64)</f>
        <v>0</v>
      </c>
      <c r="J64" s="192">
        <f ca="1">IF('F_Input Override'!J64="",'Consolidated Input'!J64,'F_Input Override'!J64)</f>
        <v>0</v>
      </c>
      <c r="K64" s="189">
        <f ca="1">IF('F_Input Override'!K64="",'Consolidated Input'!K64,'F_Input Override'!K64)</f>
        <v>0</v>
      </c>
      <c r="L64" s="193">
        <f ca="1">SUM(Table3[[#This Row],[2023-24]:[2029-30]])</f>
        <v>5.643126094345547E-2</v>
      </c>
    </row>
    <row r="65" spans="1:12">
      <c r="A65" s="181" t="str">
        <f>Table1[[#This Row],[Acronym]]</f>
        <v>SVE</v>
      </c>
      <c r="B65" s="181" t="str">
        <f>Table1[[#This Row],[BON code]]</f>
        <v>CWW12_011TOT_PR24</v>
      </c>
      <c r="C65" s="181" t="str">
        <f>Table1[[#This Row],[Item Description]]</f>
        <v>EA/NRW environmental programme wastewater (WINEP/NEP) - MCERTs monitoring at emergency sewage pumping station overflows (WINEP/NEP) wastewater opex - Total</v>
      </c>
      <c r="D65" s="188" t="s">
        <v>85</v>
      </c>
      <c r="E65" s="192">
        <f ca="1">IF('F_Input Override'!E65="",'Consolidated Input'!E65,'F_Input Override'!E65)</f>
        <v>0</v>
      </c>
      <c r="F65" s="192">
        <f ca="1">IF('F_Input Override'!F65="",'Consolidated Input'!F65,'F_Input Override'!F65)</f>
        <v>0</v>
      </c>
      <c r="G65" s="192">
        <f ca="1">IF('F_Input Override'!G65="",'Consolidated Input'!G65,'F_Input Override'!G65)</f>
        <v>0</v>
      </c>
      <c r="H65" s="192">
        <f ca="1">IF('F_Input Override'!H65="",'Consolidated Input'!H65,'F_Input Override'!H65)</f>
        <v>0</v>
      </c>
      <c r="I65" s="192">
        <f ca="1">IF('F_Input Override'!I65="",'Consolidated Input'!I65,'F_Input Override'!I65)</f>
        <v>0</v>
      </c>
      <c r="J65" s="192">
        <f ca="1">IF('F_Input Override'!J65="",'Consolidated Input'!J65,'F_Input Override'!J65)</f>
        <v>0</v>
      </c>
      <c r="K65" s="189">
        <f ca="1">IF('F_Input Override'!K65="",'Consolidated Input'!K65,'F_Input Override'!K65)</f>
        <v>0</v>
      </c>
      <c r="L65" s="193">
        <f ca="1">SUM(Table3[[#This Row],[2023-24]:[2029-30]])</f>
        <v>0</v>
      </c>
    </row>
    <row r="66" spans="1:12">
      <c r="A66" s="181" t="str">
        <f>Table1[[#This Row],[Acronym]]</f>
        <v>SVE</v>
      </c>
      <c r="B66" s="181" t="str">
        <f>Table1[[#This Row],[BON code]]</f>
        <v>CWW12_012TOT_PR24</v>
      </c>
      <c r="C66" s="181" t="str">
        <f>Table1[[#This Row],[Item Description]]</f>
        <v>EA/NRW environmental programme wastewater (WINEP/NEP) - MCERTs monitoring at emergency sewage pumping station overflows (WINEP/NEP) wastewater totex - Total</v>
      </c>
      <c r="D66" s="188" t="s">
        <v>99</v>
      </c>
      <c r="E66" s="192">
        <f ca="1">IF('F_Input Override'!E66="",'Consolidated Input'!E66,'F_Input Override'!E66)</f>
        <v>0</v>
      </c>
      <c r="F66" s="192">
        <f ca="1">IF('F_Input Override'!F66="",'Consolidated Input'!F66,'F_Input Override'!F66)</f>
        <v>5.643126094345547E-2</v>
      </c>
      <c r="G66" s="192">
        <f ca="1">IF('F_Input Override'!G66="",'Consolidated Input'!G66,'F_Input Override'!G66)</f>
        <v>0</v>
      </c>
      <c r="H66" s="192">
        <f ca="1">IF('F_Input Override'!H66="",'Consolidated Input'!H66,'F_Input Override'!H66)</f>
        <v>0</v>
      </c>
      <c r="I66" s="192">
        <f ca="1">IF('F_Input Override'!I66="",'Consolidated Input'!I66,'F_Input Override'!I66)</f>
        <v>0</v>
      </c>
      <c r="J66" s="192">
        <f ca="1">IF('F_Input Override'!J66="",'Consolidated Input'!J66,'F_Input Override'!J66)</f>
        <v>0</v>
      </c>
      <c r="K66" s="189">
        <f ca="1">IF('F_Input Override'!K66="",'Consolidated Input'!K66,'F_Input Override'!K66)</f>
        <v>0</v>
      </c>
      <c r="L66" s="193">
        <f ca="1">SUM(Table3[[#This Row],[2023-24]:[2029-30]])</f>
        <v>5.643126094345547E-2</v>
      </c>
    </row>
    <row r="67" spans="1:12">
      <c r="A67" s="181" t="str">
        <f>Table1[[#This Row],[Acronym]]</f>
        <v>SVE</v>
      </c>
      <c r="B67" s="181" t="str">
        <f>Table1[[#This Row],[BON code]]</f>
        <v>CWW17_010TOT_PR24</v>
      </c>
      <c r="C67" s="181" t="str">
        <f>Table1[[#This Row],[Item Description]]</f>
        <v>EA/NRW environmental programme wastewater (WINEP/NEP) - MCERTs monitoring at emergency sewage pumping station overflows (WINEP/NEP) wastewater capex - Total</v>
      </c>
      <c r="D67" s="188" t="s">
        <v>99</v>
      </c>
      <c r="E67" s="192">
        <f ca="1">IF('F_Input Override'!E67="",'Consolidated Input'!E67,'F_Input Override'!E67)</f>
        <v>0</v>
      </c>
      <c r="F67" s="192">
        <f ca="1">IF('F_Input Override'!F67="",'Consolidated Input'!F67,'F_Input Override'!F67)</f>
        <v>0</v>
      </c>
      <c r="G67" s="192">
        <f ca="1">IF('F_Input Override'!G67="",'Consolidated Input'!G67,'F_Input Override'!G67)</f>
        <v>0</v>
      </c>
      <c r="H67" s="192">
        <f ca="1">IF('F_Input Override'!H67="",'Consolidated Input'!H67,'F_Input Override'!H67)</f>
        <v>0</v>
      </c>
      <c r="I67" s="192">
        <f ca="1">IF('F_Input Override'!I67="",'Consolidated Input'!I67,'F_Input Override'!I67)</f>
        <v>0</v>
      </c>
      <c r="J67" s="192">
        <f ca="1">IF('F_Input Override'!J67="",'Consolidated Input'!J67,'F_Input Override'!J67)</f>
        <v>0</v>
      </c>
      <c r="K67" s="189">
        <f ca="1">IF('F_Input Override'!K67="",'Consolidated Input'!K67,'F_Input Override'!K67)</f>
        <v>0</v>
      </c>
      <c r="L67" s="193">
        <f ca="1">SUM(Table3[[#This Row],[2023-24]:[2029-30]])</f>
        <v>0</v>
      </c>
    </row>
    <row r="68" spans="1:12">
      <c r="A68" s="181" t="str">
        <f>Table1[[#This Row],[Acronym]]</f>
        <v>SVE</v>
      </c>
      <c r="B68" s="181" t="str">
        <f>Table1[[#This Row],[BON code]]</f>
        <v>CWW17_011TOT_PR24</v>
      </c>
      <c r="C68" s="181" t="str">
        <f>Table1[[#This Row],[Item Description]]</f>
        <v>EA/NRW environmental programme wastewater (WINEP/NEP) - MCERTs monitoring at emergency sewage pumping station overflows (WINEP/NEP) wastewater opex - Total</v>
      </c>
      <c r="D68" s="188" t="s">
        <v>99</v>
      </c>
      <c r="E68" s="192">
        <f ca="1">IF('F_Input Override'!E68="",'Consolidated Input'!E68,'F_Input Override'!E68)</f>
        <v>0</v>
      </c>
      <c r="F68" s="192">
        <f ca="1">IF('F_Input Override'!F68="",'Consolidated Input'!F68,'F_Input Override'!F68)</f>
        <v>0</v>
      </c>
      <c r="G68" s="192">
        <f ca="1">IF('F_Input Override'!G68="",'Consolidated Input'!G68,'F_Input Override'!G68)</f>
        <v>0</v>
      </c>
      <c r="H68" s="192">
        <f ca="1">IF('F_Input Override'!H68="",'Consolidated Input'!H68,'F_Input Override'!H68)</f>
        <v>0</v>
      </c>
      <c r="I68" s="192">
        <f ca="1">IF('F_Input Override'!I68="",'Consolidated Input'!I68,'F_Input Override'!I68)</f>
        <v>0</v>
      </c>
      <c r="J68" s="192">
        <f ca="1">IF('F_Input Override'!J68="",'Consolidated Input'!J68,'F_Input Override'!J68)</f>
        <v>0</v>
      </c>
      <c r="K68" s="189">
        <f ca="1">IF('F_Input Override'!K68="",'Consolidated Input'!K68,'F_Input Override'!K68)</f>
        <v>0</v>
      </c>
      <c r="L68" s="193">
        <f ca="1">SUM(Table3[[#This Row],[2023-24]:[2029-30]])</f>
        <v>0</v>
      </c>
    </row>
    <row r="69" spans="1:12">
      <c r="A69" s="181" t="str">
        <f>Table1[[#This Row],[Acronym]]</f>
        <v>SVE</v>
      </c>
      <c r="B69" s="181" t="str">
        <f>Table1[[#This Row],[BON code]]</f>
        <v>CWW17_012TOT_PR24</v>
      </c>
      <c r="C69" s="181" t="str">
        <f>Table1[[#This Row],[Item Description]]</f>
        <v>EA/NRW environmental programme wastewater (WINEP/NEP) - MCERTs monitoring at emergency sewage pumping station overflows (WINEP/NEP) wastewater totex - Total</v>
      </c>
      <c r="D69" s="188" t="s">
        <v>99</v>
      </c>
      <c r="E69" s="192">
        <f ca="1">IF('F_Input Override'!E69="",'Consolidated Input'!E69,'F_Input Override'!E69)</f>
        <v>0</v>
      </c>
      <c r="F69" s="192">
        <f ca="1">IF('F_Input Override'!F69="",'Consolidated Input'!F69,'F_Input Override'!F69)</f>
        <v>0</v>
      </c>
      <c r="G69" s="192">
        <f ca="1">IF('F_Input Override'!G69="",'Consolidated Input'!G69,'F_Input Override'!G69)</f>
        <v>0</v>
      </c>
      <c r="H69" s="192">
        <f ca="1">IF('F_Input Override'!H69="",'Consolidated Input'!H69,'F_Input Override'!H69)</f>
        <v>0</v>
      </c>
      <c r="I69" s="192">
        <f ca="1">IF('F_Input Override'!I69="",'Consolidated Input'!I69,'F_Input Override'!I69)</f>
        <v>0</v>
      </c>
      <c r="J69" s="192">
        <f ca="1">IF('F_Input Override'!J69="",'Consolidated Input'!J69,'F_Input Override'!J69)</f>
        <v>0</v>
      </c>
      <c r="K69" s="189">
        <f ca="1">IF('F_Input Override'!K69="",'Consolidated Input'!K69,'F_Input Override'!K69)</f>
        <v>0</v>
      </c>
      <c r="L69" s="193">
        <f ca="1">SUM(Table3[[#This Row],[2023-24]:[2029-30]])</f>
        <v>0</v>
      </c>
    </row>
    <row r="70" spans="1:12">
      <c r="A70" s="181" t="str">
        <f>Table1[[#This Row],[Acronym]]</f>
        <v>SVE</v>
      </c>
      <c r="B70" s="181" t="str">
        <f>Table1[[#This Row],[BON code]]</f>
        <v>CWW20_050_PR24</v>
      </c>
      <c r="C70" s="181" t="str">
        <f>Table1[[#This Row],[Item Description]]</f>
        <v>Network / Storm overflow data - Number of new MCERTs event duration monitors installed at SPS emergency overflows</v>
      </c>
      <c r="D70" s="188" t="s">
        <v>85</v>
      </c>
      <c r="E70" s="192">
        <f ca="1">IF('F_Input Override'!E70="",'Consolidated Input'!E70,'F_Input Override'!E70)</f>
        <v>0</v>
      </c>
      <c r="F70" s="192">
        <f ca="1">IF('F_Input Override'!F70="",'Consolidated Input'!F70,'F_Input Override'!F70)</f>
        <v>0</v>
      </c>
      <c r="G70" s="192">
        <f ca="1">IF('F_Input Override'!G70="",'Consolidated Input'!G70,'F_Input Override'!G70)</f>
        <v>73</v>
      </c>
      <c r="H70" s="192">
        <f ca="1">IF('F_Input Override'!H70="",'Consolidated Input'!H70,'F_Input Override'!H70)</f>
        <v>73</v>
      </c>
      <c r="I70" s="192">
        <f ca="1">IF('F_Input Override'!I70="",'Consolidated Input'!I70,'F_Input Override'!I70)</f>
        <v>73</v>
      </c>
      <c r="J70" s="192">
        <f ca="1">IF('F_Input Override'!J70="",'Consolidated Input'!J70,'F_Input Override'!J70)</f>
        <v>73</v>
      </c>
      <c r="K70" s="189">
        <f ca="1">IF('F_Input Override'!K70="",'Consolidated Input'!K70,'F_Input Override'!K70)</f>
        <v>74</v>
      </c>
      <c r="L70" s="193">
        <f ca="1">SUM(Table3[[#This Row],[2023-24]:[2029-30]])</f>
        <v>366</v>
      </c>
    </row>
    <row r="71" spans="1:12">
      <c r="A71" s="181" t="str">
        <f>Table1[[#This Row],[Acronym]]</f>
        <v>SVE</v>
      </c>
      <c r="B71" s="181" t="str">
        <f>Table1[[#This Row],[BON code]]</f>
        <v>CWW20_051_PR24</v>
      </c>
      <c r="C71" s="181" t="str">
        <f>Table1[[#This Row],[Item Description]]</f>
        <v>Network / Storm overflow data - Number of new MCERTs flow monitors (PFF) installed at SPSs with combined emergency and storm overflows.</v>
      </c>
      <c r="D71" s="188" t="s">
        <v>85</v>
      </c>
      <c r="E71" s="192">
        <f ca="1">IF('F_Input Override'!E71="",'Consolidated Input'!E71,'F_Input Override'!E71)</f>
        <v>0</v>
      </c>
      <c r="F71" s="192">
        <f ca="1">IF('F_Input Override'!F71="",'Consolidated Input'!F71,'F_Input Override'!F71)</f>
        <v>0</v>
      </c>
      <c r="G71" s="192">
        <f ca="1">IF('F_Input Override'!G71="",'Consolidated Input'!G71,'F_Input Override'!G71)</f>
        <v>46</v>
      </c>
      <c r="H71" s="192">
        <f ca="1">IF('F_Input Override'!H71="",'Consolidated Input'!H71,'F_Input Override'!H71)</f>
        <v>48</v>
      </c>
      <c r="I71" s="192">
        <f ca="1">IF('F_Input Override'!I71="",'Consolidated Input'!I71,'F_Input Override'!I71)</f>
        <v>48</v>
      </c>
      <c r="J71" s="192">
        <f ca="1">IF('F_Input Override'!J71="",'Consolidated Input'!J71,'F_Input Override'!J71)</f>
        <v>48</v>
      </c>
      <c r="K71" s="189">
        <f ca="1">IF('F_Input Override'!K71="",'Consolidated Input'!K71,'F_Input Override'!K71)</f>
        <v>48</v>
      </c>
      <c r="L71" s="193">
        <f ca="1">SUM(Table3[[#This Row],[2023-24]:[2029-30]])</f>
        <v>238</v>
      </c>
    </row>
    <row r="72" spans="1:12">
      <c r="A72" s="181" t="str">
        <f>Table1[[#This Row],[Acronym]]</f>
        <v>SVE</v>
      </c>
      <c r="B72" s="181" t="str">
        <f>Table1[[#This Row],[BON code]]</f>
        <v>CWW20A_050_PR24</v>
      </c>
      <c r="C72" s="181" t="str">
        <f>Table1[[#This Row],[Item Description]]</f>
        <v>Network / Storm overflow data - Number of new MCERTs event duration monitors installed at SPS emergency overflows</v>
      </c>
      <c r="D72" s="188" t="s">
        <v>85</v>
      </c>
      <c r="E72" s="192">
        <f ca="1">IF('F_Input Override'!E72="",'Consolidated Input'!E72,'F_Input Override'!E72)</f>
        <v>0</v>
      </c>
      <c r="F72" s="192">
        <f ca="1">IF('F_Input Override'!F72="",'Consolidated Input'!F72,'F_Input Override'!F72)</f>
        <v>0</v>
      </c>
      <c r="G72" s="192">
        <f ca="1">IF('F_Input Override'!G72="",'Consolidated Input'!G72,'F_Input Override'!G72)</f>
        <v>0</v>
      </c>
      <c r="H72" s="192">
        <f ca="1">IF('F_Input Override'!H72="",'Consolidated Input'!H72,'F_Input Override'!H72)</f>
        <v>0</v>
      </c>
      <c r="I72" s="192">
        <f ca="1">IF('F_Input Override'!I72="",'Consolidated Input'!I72,'F_Input Override'!I72)</f>
        <v>0</v>
      </c>
      <c r="J72" s="192">
        <f ca="1">IF('F_Input Override'!J72="",'Consolidated Input'!J72,'F_Input Override'!J72)</f>
        <v>0</v>
      </c>
      <c r="K72" s="189">
        <f ca="1">IF('F_Input Override'!K72="",'Consolidated Input'!K72,'F_Input Override'!K72)</f>
        <v>0</v>
      </c>
      <c r="L72" s="193">
        <f ca="1">SUM(Table3[[#This Row],[2023-24]:[2029-30]])</f>
        <v>0</v>
      </c>
    </row>
    <row r="73" spans="1:12">
      <c r="A73" s="181" t="str">
        <f>Table1[[#This Row],[Acronym]]</f>
        <v>SVE</v>
      </c>
      <c r="B73" s="181" t="str">
        <f>Table1[[#This Row],[BON code]]</f>
        <v>CWW20A_051_PR24</v>
      </c>
      <c r="C73" s="181" t="str">
        <f>Table1[[#This Row],[Item Description]]</f>
        <v>Network / Storm overflow data - Number of new MCERTs flow monitors (PFF) installed at SPSs with combined emergency and storm overflows.</v>
      </c>
      <c r="D73" s="188" t="s">
        <v>85</v>
      </c>
      <c r="E73" s="192">
        <f ca="1">IF('F_Input Override'!E73="",'Consolidated Input'!E73,'F_Input Override'!E73)</f>
        <v>0</v>
      </c>
      <c r="F73" s="192">
        <f ca="1">IF('F_Input Override'!F73="",'Consolidated Input'!F73,'F_Input Override'!F73)</f>
        <v>0</v>
      </c>
      <c r="G73" s="192">
        <f ca="1">IF('F_Input Override'!G73="",'Consolidated Input'!G73,'F_Input Override'!G73)</f>
        <v>0</v>
      </c>
      <c r="H73" s="192">
        <f ca="1">IF('F_Input Override'!H73="",'Consolidated Input'!H73,'F_Input Override'!H73)</f>
        <v>0</v>
      </c>
      <c r="I73" s="192">
        <f ca="1">IF('F_Input Override'!I73="",'Consolidated Input'!I73,'F_Input Override'!I73)</f>
        <v>0</v>
      </c>
      <c r="J73" s="192">
        <f ca="1">IF('F_Input Override'!J73="",'Consolidated Input'!J73,'F_Input Override'!J73)</f>
        <v>0</v>
      </c>
      <c r="K73" s="189">
        <f ca="1">IF('F_Input Override'!K73="",'Consolidated Input'!K73,'F_Input Override'!K73)</f>
        <v>0</v>
      </c>
      <c r="L73" s="193">
        <f ca="1">SUM(Table3[[#This Row],[2023-24]:[2029-30]])</f>
        <v>0</v>
      </c>
    </row>
    <row r="74" spans="1:12">
      <c r="A74" s="181" t="str">
        <f>Table1[[#This Row],[Acronym]]</f>
        <v>SVE</v>
      </c>
      <c r="B74" s="181" t="str">
        <f>Table1[[#This Row],[BON code]]</f>
        <v>CWW1A_015TOT_PR24</v>
      </c>
      <c r="C74" s="181" t="str">
        <f>Table1[[#This Row],[Item Description]]</f>
        <v>Net totex - Total</v>
      </c>
      <c r="D74" s="188" t="s">
        <v>85</v>
      </c>
      <c r="E74" s="192">
        <f ca="1">IF('F_Input Override'!E74="",'Consolidated Input'!E74,'F_Input Override'!E74)</f>
        <v>0</v>
      </c>
      <c r="F74" s="192">
        <f ca="1">IF('F_Input Override'!F74="",'Consolidated Input'!F74,'F_Input Override'!F74)</f>
        <v>0</v>
      </c>
      <c r="G74" s="192">
        <f ca="1">IF('F_Input Override'!G74="",'Consolidated Input'!G74,'F_Input Override'!G74)</f>
        <v>1627.130482039277</v>
      </c>
      <c r="H74" s="192">
        <f ca="1">IF('F_Input Override'!H74="",'Consolidated Input'!H74,'F_Input Override'!H74)</f>
        <v>1799.6345533549929</v>
      </c>
      <c r="I74" s="192">
        <f ca="1">IF('F_Input Override'!I74="",'Consolidated Input'!I74,'F_Input Override'!I74)</f>
        <v>1751.178437326055</v>
      </c>
      <c r="J74" s="192">
        <f ca="1">IF('F_Input Override'!J74="",'Consolidated Input'!J74,'F_Input Override'!J74)</f>
        <v>1716.7333477224111</v>
      </c>
      <c r="K74" s="189">
        <f ca="1">IF('F_Input Override'!K74="",'Consolidated Input'!K74,'F_Input Override'!K74)</f>
        <v>1480.0957061431859</v>
      </c>
      <c r="L74" s="193">
        <f ca="1">SUM(Table3[[#This Row],[2023-24]:[2029-30]])</f>
        <v>8374.7725265859226</v>
      </c>
    </row>
    <row r="75" spans="1:12">
      <c r="A75" s="181" t="str">
        <f>Table1[[#This Row],[Acronym]]</f>
        <v>SWB</v>
      </c>
      <c r="B75" s="181" t="str">
        <f>Table1[[#This Row],[BON code]]</f>
        <v>CWW3_010TOT_PR24</v>
      </c>
      <c r="C75" s="181" t="str">
        <f>Table1[[#This Row],[Item Description]]</f>
        <v>EA/NRW environmental programme wastewater (WINEP/NEP) - MCERTs monitoring at emergency sewage pumping station overflows (WINEP/NEP) wastewater capex - Total</v>
      </c>
      <c r="D75" s="188" t="s">
        <v>85</v>
      </c>
      <c r="E75" s="192">
        <f ca="1">IF('F_Input Override'!E75="",'Consolidated Input'!E75,'F_Input Override'!E75)</f>
        <v>0</v>
      </c>
      <c r="F75" s="192">
        <f ca="1">IF('F_Input Override'!F75="",'Consolidated Input'!F75,'F_Input Override'!F75)</f>
        <v>0</v>
      </c>
      <c r="G75" s="192">
        <f ca="1">IF('F_Input Override'!G75="",'Consolidated Input'!G75,'F_Input Override'!G75)</f>
        <v>2.04</v>
      </c>
      <c r="H75" s="192">
        <f ca="1">IF('F_Input Override'!H75="",'Consolidated Input'!H75,'F_Input Override'!H75)</f>
        <v>2.04</v>
      </c>
      <c r="I75" s="192">
        <f ca="1">IF('F_Input Override'!I75="",'Consolidated Input'!I75,'F_Input Override'!I75)</f>
        <v>2.04</v>
      </c>
      <c r="J75" s="192">
        <f ca="1">IF('F_Input Override'!J75="",'Consolidated Input'!J75,'F_Input Override'!J75)</f>
        <v>2.04</v>
      </c>
      <c r="K75" s="189">
        <f ca="1">IF('F_Input Override'!K75="",'Consolidated Input'!K75,'F_Input Override'!K75)</f>
        <v>2.04</v>
      </c>
      <c r="L75" s="193">
        <f ca="1">SUM(Table3[[#This Row],[2023-24]:[2029-30]])</f>
        <v>10.199999999999999</v>
      </c>
    </row>
    <row r="76" spans="1:12">
      <c r="A76" s="181" t="str">
        <f>Table1[[#This Row],[Acronym]]</f>
        <v>SWB</v>
      </c>
      <c r="B76" s="181" t="str">
        <f>Table1[[#This Row],[BON code]]</f>
        <v>CWW3_011TOT_PR24</v>
      </c>
      <c r="C76" s="181" t="str">
        <f>Table1[[#This Row],[Item Description]]</f>
        <v>EA/NRW environmental programme wastewater (WINEP/NEP) - MCERTs monitoring at emergency sewage pumping station overflows (WINEP/NEP) wastewater opex - Total</v>
      </c>
      <c r="D76" s="188" t="s">
        <v>85</v>
      </c>
      <c r="E76" s="192">
        <f ca="1">IF('F_Input Override'!E76="",'Consolidated Input'!E76,'F_Input Override'!E76)</f>
        <v>0</v>
      </c>
      <c r="F76" s="192">
        <f ca="1">IF('F_Input Override'!F76="",'Consolidated Input'!F76,'F_Input Override'!F76)</f>
        <v>0</v>
      </c>
      <c r="G76" s="192">
        <f ca="1">IF('F_Input Override'!G76="",'Consolidated Input'!G76,'F_Input Override'!G76)</f>
        <v>0</v>
      </c>
      <c r="H76" s="192">
        <f ca="1">IF('F_Input Override'!H76="",'Consolidated Input'!H76,'F_Input Override'!H76)</f>
        <v>0</v>
      </c>
      <c r="I76" s="192">
        <f ca="1">IF('F_Input Override'!I76="",'Consolidated Input'!I76,'F_Input Override'!I76)</f>
        <v>0</v>
      </c>
      <c r="J76" s="192">
        <f ca="1">IF('F_Input Override'!J76="",'Consolidated Input'!J76,'F_Input Override'!J76)</f>
        <v>0</v>
      </c>
      <c r="K76" s="189">
        <f ca="1">IF('F_Input Override'!K76="",'Consolidated Input'!K76,'F_Input Override'!K76)</f>
        <v>0</v>
      </c>
      <c r="L76" s="193">
        <f ca="1">SUM(Table3[[#This Row],[2023-24]:[2029-30]])</f>
        <v>0</v>
      </c>
    </row>
    <row r="77" spans="1:12">
      <c r="A77" s="181" t="str">
        <f>Table1[[#This Row],[Acronym]]</f>
        <v>SWB</v>
      </c>
      <c r="B77" s="181" t="str">
        <f>Table1[[#This Row],[BON code]]</f>
        <v>CWW3_012TOT_PR24</v>
      </c>
      <c r="C77" s="181" t="str">
        <f>Table1[[#This Row],[Item Description]]</f>
        <v>EA/NRW environmental programme wastewater (WINEP/NEP) - MCERTs monitoring at emergency sewage pumping station overflows (WINEP/NEP) wastewater totex - Total</v>
      </c>
      <c r="D77" s="188" t="s">
        <v>85</v>
      </c>
      <c r="E77" s="192">
        <f ca="1">IF('F_Input Override'!E77="",'Consolidated Input'!E77,'F_Input Override'!E77)</f>
        <v>0</v>
      </c>
      <c r="F77" s="192">
        <f ca="1">IF('F_Input Override'!F77="",'Consolidated Input'!F77,'F_Input Override'!F77)</f>
        <v>0</v>
      </c>
      <c r="G77" s="192">
        <f ca="1">IF('F_Input Override'!G77="",'Consolidated Input'!G77,'F_Input Override'!G77)</f>
        <v>2.04</v>
      </c>
      <c r="H77" s="192">
        <f ca="1">IF('F_Input Override'!H77="",'Consolidated Input'!H77,'F_Input Override'!H77)</f>
        <v>2.04</v>
      </c>
      <c r="I77" s="192">
        <f ca="1">IF('F_Input Override'!I77="",'Consolidated Input'!I77,'F_Input Override'!I77)</f>
        <v>2.04</v>
      </c>
      <c r="J77" s="192">
        <f ca="1">IF('F_Input Override'!J77="",'Consolidated Input'!J77,'F_Input Override'!J77)</f>
        <v>2.04</v>
      </c>
      <c r="K77" s="189">
        <f ca="1">IF('F_Input Override'!K77="",'Consolidated Input'!K77,'F_Input Override'!K77)</f>
        <v>2.04</v>
      </c>
      <c r="L77" s="193">
        <f ca="1">SUM(Table3[[#This Row],[2023-24]:[2029-30]])</f>
        <v>10.199999999999999</v>
      </c>
    </row>
    <row r="78" spans="1:12">
      <c r="A78" s="181" t="str">
        <f>Table1[[#This Row],[Acronym]]</f>
        <v>SWB</v>
      </c>
      <c r="B78" s="181" t="str">
        <f>Table1[[#This Row],[BON code]]</f>
        <v>CWW12_010TOT_PR24</v>
      </c>
      <c r="C78" s="181" t="str">
        <f>Table1[[#This Row],[Item Description]]</f>
        <v>EA/NRW environmental programme wastewater (WINEP/NEP) - MCERTs monitoring at emergency sewage pumping station overflows (WINEP/NEP) wastewater capex - Total</v>
      </c>
      <c r="D78" s="188" t="s">
        <v>85</v>
      </c>
      <c r="E78" s="192">
        <f ca="1">IF('F_Input Override'!E78="",'Consolidated Input'!E78,'F_Input Override'!E78)</f>
        <v>0</v>
      </c>
      <c r="F78" s="192">
        <f ca="1">IF('F_Input Override'!F78="",'Consolidated Input'!F78,'F_Input Override'!F78)</f>
        <v>0</v>
      </c>
      <c r="G78" s="192">
        <f ca="1">IF('F_Input Override'!G78="",'Consolidated Input'!G78,'F_Input Override'!G78)</f>
        <v>0</v>
      </c>
      <c r="H78" s="192">
        <f ca="1">IF('F_Input Override'!H78="",'Consolidated Input'!H78,'F_Input Override'!H78)</f>
        <v>0</v>
      </c>
      <c r="I78" s="192">
        <f ca="1">IF('F_Input Override'!I78="",'Consolidated Input'!I78,'F_Input Override'!I78)</f>
        <v>0</v>
      </c>
      <c r="J78" s="192">
        <f ca="1">IF('F_Input Override'!J78="",'Consolidated Input'!J78,'F_Input Override'!J78)</f>
        <v>0</v>
      </c>
      <c r="K78" s="189">
        <f ca="1">IF('F_Input Override'!K78="",'Consolidated Input'!K78,'F_Input Override'!K78)</f>
        <v>0</v>
      </c>
      <c r="L78" s="193">
        <f ca="1">SUM(Table3[[#This Row],[2023-24]:[2029-30]])</f>
        <v>0</v>
      </c>
    </row>
    <row r="79" spans="1:12">
      <c r="A79" s="181" t="str">
        <f>Table1[[#This Row],[Acronym]]</f>
        <v>SWB</v>
      </c>
      <c r="B79" s="181" t="str">
        <f>Table1[[#This Row],[BON code]]</f>
        <v>CWW12_011TOT_PR24</v>
      </c>
      <c r="C79" s="181" t="str">
        <f>Table1[[#This Row],[Item Description]]</f>
        <v>EA/NRW environmental programme wastewater (WINEP/NEP) - MCERTs monitoring at emergency sewage pumping station overflows (WINEP/NEP) wastewater opex - Total</v>
      </c>
      <c r="D79" s="188" t="s">
        <v>99</v>
      </c>
      <c r="E79" s="192">
        <f ca="1">IF('F_Input Override'!E79="",'Consolidated Input'!E79,'F_Input Override'!E79)</f>
        <v>0</v>
      </c>
      <c r="F79" s="192">
        <f ca="1">IF('F_Input Override'!F79="",'Consolidated Input'!F79,'F_Input Override'!F79)</f>
        <v>0</v>
      </c>
      <c r="G79" s="192">
        <f ca="1">IF('F_Input Override'!G79="",'Consolidated Input'!G79,'F_Input Override'!G79)</f>
        <v>0</v>
      </c>
      <c r="H79" s="192">
        <f ca="1">IF('F_Input Override'!H79="",'Consolidated Input'!H79,'F_Input Override'!H79)</f>
        <v>0</v>
      </c>
      <c r="I79" s="192">
        <f ca="1">IF('F_Input Override'!I79="",'Consolidated Input'!I79,'F_Input Override'!I79)</f>
        <v>0</v>
      </c>
      <c r="J79" s="192">
        <f ca="1">IF('F_Input Override'!J79="",'Consolidated Input'!J79,'F_Input Override'!J79)</f>
        <v>0</v>
      </c>
      <c r="K79" s="189">
        <f ca="1">IF('F_Input Override'!K79="",'Consolidated Input'!K79,'F_Input Override'!K79)</f>
        <v>0</v>
      </c>
      <c r="L79" s="193">
        <f ca="1">SUM(Table3[[#This Row],[2023-24]:[2029-30]])</f>
        <v>0</v>
      </c>
    </row>
    <row r="80" spans="1:12">
      <c r="A80" s="181" t="str">
        <f>Table1[[#This Row],[Acronym]]</f>
        <v>SWB</v>
      </c>
      <c r="B80" s="181" t="str">
        <f>Table1[[#This Row],[BON code]]</f>
        <v>CWW12_012TOT_PR24</v>
      </c>
      <c r="C80" s="181" t="str">
        <f>Table1[[#This Row],[Item Description]]</f>
        <v>EA/NRW environmental programme wastewater (WINEP/NEP) - MCERTs monitoring at emergency sewage pumping station overflows (WINEP/NEP) wastewater totex - Total</v>
      </c>
      <c r="D80" s="188" t="s">
        <v>99</v>
      </c>
      <c r="E80" s="192">
        <f ca="1">IF('F_Input Override'!E80="",'Consolidated Input'!E80,'F_Input Override'!E80)</f>
        <v>0</v>
      </c>
      <c r="F80" s="192">
        <f ca="1">IF('F_Input Override'!F80="",'Consolidated Input'!F80,'F_Input Override'!F80)</f>
        <v>0</v>
      </c>
      <c r="G80" s="192">
        <f ca="1">IF('F_Input Override'!G80="",'Consolidated Input'!G80,'F_Input Override'!G80)</f>
        <v>0</v>
      </c>
      <c r="H80" s="192">
        <f ca="1">IF('F_Input Override'!H80="",'Consolidated Input'!H80,'F_Input Override'!H80)</f>
        <v>0</v>
      </c>
      <c r="I80" s="192">
        <f ca="1">IF('F_Input Override'!I80="",'Consolidated Input'!I80,'F_Input Override'!I80)</f>
        <v>0</v>
      </c>
      <c r="J80" s="192">
        <f ca="1">IF('F_Input Override'!J80="",'Consolidated Input'!J80,'F_Input Override'!J80)</f>
        <v>0</v>
      </c>
      <c r="K80" s="189">
        <f ca="1">IF('F_Input Override'!K80="",'Consolidated Input'!K80,'F_Input Override'!K80)</f>
        <v>0</v>
      </c>
      <c r="L80" s="193">
        <f ca="1">SUM(Table3[[#This Row],[2023-24]:[2029-30]])</f>
        <v>0</v>
      </c>
    </row>
    <row r="81" spans="1:12">
      <c r="A81" s="181" t="str">
        <f>Table1[[#This Row],[Acronym]]</f>
        <v>SWB</v>
      </c>
      <c r="B81" s="181" t="str">
        <f>Table1[[#This Row],[BON code]]</f>
        <v>CWW17_010TOT_PR24</v>
      </c>
      <c r="C81" s="181" t="str">
        <f>Table1[[#This Row],[Item Description]]</f>
        <v>EA/NRW environmental programme wastewater (WINEP/NEP) - MCERTs monitoring at emergency sewage pumping station overflows (WINEP/NEP) wastewater capex - Total</v>
      </c>
      <c r="D81" s="188" t="s">
        <v>99</v>
      </c>
      <c r="E81" s="192">
        <f ca="1">IF('F_Input Override'!E81="",'Consolidated Input'!E81,'F_Input Override'!E81)</f>
        <v>0</v>
      </c>
      <c r="F81" s="192">
        <f ca="1">IF('F_Input Override'!F81="",'Consolidated Input'!F81,'F_Input Override'!F81)</f>
        <v>0</v>
      </c>
      <c r="G81" s="192">
        <f ca="1">IF('F_Input Override'!G81="",'Consolidated Input'!G81,'F_Input Override'!G81)</f>
        <v>0</v>
      </c>
      <c r="H81" s="192">
        <f ca="1">IF('F_Input Override'!H81="",'Consolidated Input'!H81,'F_Input Override'!H81)</f>
        <v>0</v>
      </c>
      <c r="I81" s="192">
        <f ca="1">IF('F_Input Override'!I81="",'Consolidated Input'!I81,'F_Input Override'!I81)</f>
        <v>0</v>
      </c>
      <c r="J81" s="192">
        <f ca="1">IF('F_Input Override'!J81="",'Consolidated Input'!J81,'F_Input Override'!J81)</f>
        <v>0</v>
      </c>
      <c r="K81" s="189">
        <f ca="1">IF('F_Input Override'!K81="",'Consolidated Input'!K81,'F_Input Override'!K81)</f>
        <v>0</v>
      </c>
      <c r="L81" s="193">
        <f ca="1">SUM(Table3[[#This Row],[2023-24]:[2029-30]])</f>
        <v>0</v>
      </c>
    </row>
    <row r="82" spans="1:12">
      <c r="A82" s="181" t="str">
        <f>Table1[[#This Row],[Acronym]]</f>
        <v>SWB</v>
      </c>
      <c r="B82" s="181" t="str">
        <f>Table1[[#This Row],[BON code]]</f>
        <v>CWW17_011TOT_PR24</v>
      </c>
      <c r="C82" s="181" t="str">
        <f>Table1[[#This Row],[Item Description]]</f>
        <v>EA/NRW environmental programme wastewater (WINEP/NEP) - MCERTs monitoring at emergency sewage pumping station overflows (WINEP/NEP) wastewater opex - Total</v>
      </c>
      <c r="D82" s="188" t="s">
        <v>99</v>
      </c>
      <c r="E82" s="192">
        <f ca="1">IF('F_Input Override'!E82="",'Consolidated Input'!E82,'F_Input Override'!E82)</f>
        <v>0</v>
      </c>
      <c r="F82" s="192">
        <f ca="1">IF('F_Input Override'!F82="",'Consolidated Input'!F82,'F_Input Override'!F82)</f>
        <v>0</v>
      </c>
      <c r="G82" s="192">
        <f ca="1">IF('F_Input Override'!G82="",'Consolidated Input'!G82,'F_Input Override'!G82)</f>
        <v>0</v>
      </c>
      <c r="H82" s="192">
        <f ca="1">IF('F_Input Override'!H82="",'Consolidated Input'!H82,'F_Input Override'!H82)</f>
        <v>0</v>
      </c>
      <c r="I82" s="192">
        <f ca="1">IF('F_Input Override'!I82="",'Consolidated Input'!I82,'F_Input Override'!I82)</f>
        <v>0</v>
      </c>
      <c r="J82" s="192">
        <f ca="1">IF('F_Input Override'!J82="",'Consolidated Input'!J82,'F_Input Override'!J82)</f>
        <v>0</v>
      </c>
      <c r="K82" s="189">
        <f ca="1">IF('F_Input Override'!K82="",'Consolidated Input'!K82,'F_Input Override'!K82)</f>
        <v>0</v>
      </c>
      <c r="L82" s="193">
        <f ca="1">SUM(Table3[[#This Row],[2023-24]:[2029-30]])</f>
        <v>0</v>
      </c>
    </row>
    <row r="83" spans="1:12">
      <c r="A83" s="181" t="str">
        <f>Table1[[#This Row],[Acronym]]</f>
        <v>SWB</v>
      </c>
      <c r="B83" s="181" t="str">
        <f>Table1[[#This Row],[BON code]]</f>
        <v>CWW17_012TOT_PR24</v>
      </c>
      <c r="C83" s="181" t="str">
        <f>Table1[[#This Row],[Item Description]]</f>
        <v>EA/NRW environmental programme wastewater (WINEP/NEP) - MCERTs monitoring at emergency sewage pumping station overflows (WINEP/NEP) wastewater totex - Total</v>
      </c>
      <c r="D83" s="188" t="s">
        <v>85</v>
      </c>
      <c r="E83" s="192">
        <f ca="1">IF('F_Input Override'!E83="",'Consolidated Input'!E83,'F_Input Override'!E83)</f>
        <v>0</v>
      </c>
      <c r="F83" s="192">
        <f ca="1">IF('F_Input Override'!F83="",'Consolidated Input'!F83,'F_Input Override'!F83)</f>
        <v>0</v>
      </c>
      <c r="G83" s="192">
        <f ca="1">IF('F_Input Override'!G83="",'Consolidated Input'!G83,'F_Input Override'!G83)</f>
        <v>0</v>
      </c>
      <c r="H83" s="192">
        <f ca="1">IF('F_Input Override'!H83="",'Consolidated Input'!H83,'F_Input Override'!H83)</f>
        <v>0</v>
      </c>
      <c r="I83" s="192">
        <f ca="1">IF('F_Input Override'!I83="",'Consolidated Input'!I83,'F_Input Override'!I83)</f>
        <v>0</v>
      </c>
      <c r="J83" s="192">
        <f ca="1">IF('F_Input Override'!J83="",'Consolidated Input'!J83,'F_Input Override'!J83)</f>
        <v>0</v>
      </c>
      <c r="K83" s="189">
        <f ca="1">IF('F_Input Override'!K83="",'Consolidated Input'!K83,'F_Input Override'!K83)</f>
        <v>0</v>
      </c>
      <c r="L83" s="193">
        <f ca="1">SUM(Table3[[#This Row],[2023-24]:[2029-30]])</f>
        <v>0</v>
      </c>
    </row>
    <row r="84" spans="1:12">
      <c r="A84" s="181" t="str">
        <f>Table1[[#This Row],[Acronym]]</f>
        <v>SWB</v>
      </c>
      <c r="B84" s="181" t="str">
        <f>Table1[[#This Row],[BON code]]</f>
        <v>CWW20_050_PR24</v>
      </c>
      <c r="C84" s="181" t="str">
        <f>Table1[[#This Row],[Item Description]]</f>
        <v>Network / Storm overflow data - Number of new MCERTs event duration monitors installed at SPS emergency overflows</v>
      </c>
      <c r="D84" s="188" t="s">
        <v>85</v>
      </c>
      <c r="E84" s="192">
        <f ca="1">IF('F_Input Override'!E84="",'Consolidated Input'!E84,'F_Input Override'!E84)</f>
        <v>0</v>
      </c>
      <c r="F84" s="192">
        <f ca="1">IF('F_Input Override'!F84="",'Consolidated Input'!F84,'F_Input Override'!F84)</f>
        <v>0</v>
      </c>
      <c r="G84" s="192">
        <f ca="1">IF('F_Input Override'!G84="",'Consolidated Input'!G84,'F_Input Override'!G84)</f>
        <v>0</v>
      </c>
      <c r="H84" s="192">
        <f ca="1">IF('F_Input Override'!H84="",'Consolidated Input'!H84,'F_Input Override'!H84)</f>
        <v>0</v>
      </c>
      <c r="I84" s="192">
        <f ca="1">IF('F_Input Override'!I84="",'Consolidated Input'!I84,'F_Input Override'!I84)</f>
        <v>0</v>
      </c>
      <c r="J84" s="192">
        <f ca="1">IF('F_Input Override'!J84="",'Consolidated Input'!J84,'F_Input Override'!J84)</f>
        <v>0</v>
      </c>
      <c r="K84" s="189">
        <f ca="1">IF('F_Input Override'!K84="",'Consolidated Input'!K84,'F_Input Override'!K84)</f>
        <v>193</v>
      </c>
      <c r="L84" s="193">
        <f ca="1">SUM(Table3[[#This Row],[2023-24]:[2029-30]])</f>
        <v>193</v>
      </c>
    </row>
    <row r="85" spans="1:12">
      <c r="A85" s="181" t="str">
        <f>Table1[[#This Row],[Acronym]]</f>
        <v>SWB</v>
      </c>
      <c r="B85" s="181" t="str">
        <f>Table1[[#This Row],[BON code]]</f>
        <v>CWW20_051_PR24</v>
      </c>
      <c r="C85" s="181" t="str">
        <f>Table1[[#This Row],[Item Description]]</f>
        <v>Network / Storm overflow data - Number of new MCERTs flow monitors (PFF) installed at SPSs with combined emergency and storm overflows.</v>
      </c>
      <c r="D85" s="188" t="s">
        <v>85</v>
      </c>
      <c r="E85" s="192">
        <f ca="1">IF('F_Input Override'!E85="",'Consolidated Input'!E85,'F_Input Override'!E85)</f>
        <v>0</v>
      </c>
      <c r="F85" s="192">
        <f ca="1">IF('F_Input Override'!F85="",'Consolidated Input'!F85,'F_Input Override'!F85)</f>
        <v>0</v>
      </c>
      <c r="G85" s="192">
        <f ca="1">IF('F_Input Override'!G85="",'Consolidated Input'!G85,'F_Input Override'!G85)</f>
        <v>0</v>
      </c>
      <c r="H85" s="192">
        <f ca="1">IF('F_Input Override'!H85="",'Consolidated Input'!H85,'F_Input Override'!H85)</f>
        <v>0</v>
      </c>
      <c r="I85" s="192">
        <f ca="1">IF('F_Input Override'!I85="",'Consolidated Input'!I85,'F_Input Override'!I85)</f>
        <v>0</v>
      </c>
      <c r="J85" s="192">
        <f ca="1">IF('F_Input Override'!J85="",'Consolidated Input'!J85,'F_Input Override'!J85)</f>
        <v>0</v>
      </c>
      <c r="K85" s="189">
        <f ca="1">IF('F_Input Override'!K85="",'Consolidated Input'!K85,'F_Input Override'!K85)</f>
        <v>185</v>
      </c>
      <c r="L85" s="193">
        <f ca="1">SUM(Table3[[#This Row],[2023-24]:[2029-30]])</f>
        <v>185</v>
      </c>
    </row>
    <row r="86" spans="1:12">
      <c r="A86" s="181" t="str">
        <f>Table1[[#This Row],[Acronym]]</f>
        <v>SWB</v>
      </c>
      <c r="B86" s="181" t="str">
        <f>Table1[[#This Row],[BON code]]</f>
        <v>CWW20A_050_PR24</v>
      </c>
      <c r="C86" s="181" t="str">
        <f>Table1[[#This Row],[Item Description]]</f>
        <v>Network / Storm overflow data - Number of new MCERTs event duration monitors installed at SPS emergency overflows</v>
      </c>
      <c r="D86" s="188" t="s">
        <v>85</v>
      </c>
      <c r="E86" s="192">
        <f ca="1">IF('F_Input Override'!E86="",'Consolidated Input'!E86,'F_Input Override'!E86)</f>
        <v>0</v>
      </c>
      <c r="F86" s="192">
        <f ca="1">IF('F_Input Override'!F86="",'Consolidated Input'!F86,'F_Input Override'!F86)</f>
        <v>0</v>
      </c>
      <c r="G86" s="192">
        <f ca="1">IF('F_Input Override'!G86="",'Consolidated Input'!G86,'F_Input Override'!G86)</f>
        <v>0</v>
      </c>
      <c r="H86" s="192">
        <f ca="1">IF('F_Input Override'!H86="",'Consolidated Input'!H86,'F_Input Override'!H86)</f>
        <v>0</v>
      </c>
      <c r="I86" s="192">
        <f ca="1">IF('F_Input Override'!I86="",'Consolidated Input'!I86,'F_Input Override'!I86)</f>
        <v>0</v>
      </c>
      <c r="J86" s="192">
        <f ca="1">IF('F_Input Override'!J86="",'Consolidated Input'!J86,'F_Input Override'!J86)</f>
        <v>0</v>
      </c>
      <c r="K86" s="189">
        <f ca="1">IF('F_Input Override'!K86="",'Consolidated Input'!K86,'F_Input Override'!K86)</f>
        <v>0</v>
      </c>
      <c r="L86" s="193">
        <f ca="1">SUM(Table3[[#This Row],[2023-24]:[2029-30]])</f>
        <v>0</v>
      </c>
    </row>
    <row r="87" spans="1:12">
      <c r="A87" s="181" t="str">
        <f>Table1[[#This Row],[Acronym]]</f>
        <v>SWB</v>
      </c>
      <c r="B87" s="181" t="str">
        <f>Table1[[#This Row],[BON code]]</f>
        <v>CWW20A_051_PR24</v>
      </c>
      <c r="C87" s="181" t="str">
        <f>Table1[[#This Row],[Item Description]]</f>
        <v>Network / Storm overflow data - Number of new MCERTs flow monitors (PFF) installed at SPSs with combined emergency and storm overflows.</v>
      </c>
      <c r="D87" s="188" t="s">
        <v>85</v>
      </c>
      <c r="E87" s="192">
        <f ca="1">IF('F_Input Override'!E87="",'Consolidated Input'!E87,'F_Input Override'!E87)</f>
        <v>0</v>
      </c>
      <c r="F87" s="192">
        <f ca="1">IF('F_Input Override'!F87="",'Consolidated Input'!F87,'F_Input Override'!F87)</f>
        <v>0</v>
      </c>
      <c r="G87" s="192">
        <f ca="1">IF('F_Input Override'!G87="",'Consolidated Input'!G87,'F_Input Override'!G87)</f>
        <v>0</v>
      </c>
      <c r="H87" s="192">
        <f ca="1">IF('F_Input Override'!H87="",'Consolidated Input'!H87,'F_Input Override'!H87)</f>
        <v>0</v>
      </c>
      <c r="I87" s="192">
        <f ca="1">IF('F_Input Override'!I87="",'Consolidated Input'!I87,'F_Input Override'!I87)</f>
        <v>0</v>
      </c>
      <c r="J87" s="192">
        <f ca="1">IF('F_Input Override'!J87="",'Consolidated Input'!J87,'F_Input Override'!J87)</f>
        <v>0</v>
      </c>
      <c r="K87" s="189">
        <f ca="1">IF('F_Input Override'!K87="",'Consolidated Input'!K87,'F_Input Override'!K87)</f>
        <v>0</v>
      </c>
      <c r="L87" s="193">
        <f ca="1">SUM(Table3[[#This Row],[2023-24]:[2029-30]])</f>
        <v>0</v>
      </c>
    </row>
    <row r="88" spans="1:12">
      <c r="A88" s="181" t="str">
        <f>Table1[[#This Row],[Acronym]]</f>
        <v>SWB</v>
      </c>
      <c r="B88" s="181" t="str">
        <f>Table1[[#This Row],[BON code]]</f>
        <v>CWW1A_015TOT_PR24</v>
      </c>
      <c r="C88" s="181" t="str">
        <f>Table1[[#This Row],[Item Description]]</f>
        <v>Net totex - Total</v>
      </c>
      <c r="D88" s="188" t="s">
        <v>85</v>
      </c>
      <c r="E88" s="192">
        <f ca="1">IF('F_Input Override'!E88="",'Consolidated Input'!E88,'F_Input Override'!E88)</f>
        <v>0</v>
      </c>
      <c r="F88" s="192">
        <f ca="1">IF('F_Input Override'!F88="",'Consolidated Input'!F88,'F_Input Override'!F88)</f>
        <v>0</v>
      </c>
      <c r="G88" s="192">
        <f ca="1">IF('F_Input Override'!G88="",'Consolidated Input'!G88,'F_Input Override'!G88)</f>
        <v>424.43672704840031</v>
      </c>
      <c r="H88" s="192">
        <f ca="1">IF('F_Input Override'!H88="",'Consolidated Input'!H88,'F_Input Override'!H88)</f>
        <v>452.43411651686932</v>
      </c>
      <c r="I88" s="192">
        <f ca="1">IF('F_Input Override'!I88="",'Consolidated Input'!I88,'F_Input Override'!I88)</f>
        <v>438.9042052475661</v>
      </c>
      <c r="J88" s="192">
        <f ca="1">IF('F_Input Override'!J88="",'Consolidated Input'!J88,'F_Input Override'!J88)</f>
        <v>443.81161410521469</v>
      </c>
      <c r="K88" s="189">
        <f ca="1">IF('F_Input Override'!K88="",'Consolidated Input'!K88,'F_Input Override'!K88)</f>
        <v>366.29748727458627</v>
      </c>
      <c r="L88" s="193">
        <f ca="1">SUM(Table3[[#This Row],[2023-24]:[2029-30]])</f>
        <v>2125.8841501926368</v>
      </c>
    </row>
    <row r="89" spans="1:12">
      <c r="A89" s="181" t="str">
        <f>Table1[[#This Row],[Acronym]]</f>
        <v>SRN</v>
      </c>
      <c r="B89" s="181" t="str">
        <f>Table1[[#This Row],[BON code]]</f>
        <v>CWW3_010TOT_PR24</v>
      </c>
      <c r="C89" s="181" t="str">
        <f>Table1[[#This Row],[Item Description]]</f>
        <v>EA/NRW environmental programme wastewater (WINEP/NEP) - MCERTs monitoring at emergency sewage pumping station overflows (WINEP/NEP) wastewater capex - Total</v>
      </c>
      <c r="D89" s="188" t="s">
        <v>85</v>
      </c>
      <c r="E89" s="192">
        <f ca="1">IF('F_Input Override'!E89="",'Consolidated Input'!E89,'F_Input Override'!E89)</f>
        <v>0</v>
      </c>
      <c r="F89" s="192">
        <f ca="1">IF('F_Input Override'!F89="",'Consolidated Input'!F89,'F_Input Override'!F89)</f>
        <v>0</v>
      </c>
      <c r="G89" s="192">
        <f>IF('F_Input Override'!G89="",'Consolidated Input'!G89,'F_Input Override'!G89)</f>
        <v>11.581689154439571</v>
      </c>
      <c r="H89" s="192">
        <f>IF('F_Input Override'!H89="",'Consolidated Input'!H89,'F_Input Override'!H89)</f>
        <v>13.318708743004086</v>
      </c>
      <c r="I89" s="192">
        <f>IF('F_Input Override'!I89="",'Consolidated Input'!I89,'F_Input Override'!I89)</f>
        <v>13.624966570866739</v>
      </c>
      <c r="J89" s="192">
        <f>IF('F_Input Override'!J89="",'Consolidated Input'!J89,'F_Input Override'!J89)</f>
        <v>14.976241567085161</v>
      </c>
      <c r="K89" s="189">
        <f>IF('F_Input Override'!K89="",'Consolidated Input'!K89,'F_Input Override'!K89)</f>
        <v>39.23139396460445</v>
      </c>
      <c r="L89" s="193">
        <f ca="1">SUM(Table3[[#This Row],[2023-24]:[2029-30]])</f>
        <v>92.733000000000004</v>
      </c>
    </row>
    <row r="90" spans="1:12">
      <c r="A90" s="181" t="str">
        <f>Table1[[#This Row],[Acronym]]</f>
        <v>SRN</v>
      </c>
      <c r="B90" s="181" t="str">
        <f>Table1[[#This Row],[BON code]]</f>
        <v>CWW3_011TOT_PR24</v>
      </c>
      <c r="C90" s="181" t="str">
        <f>Table1[[#This Row],[Item Description]]</f>
        <v>EA/NRW environmental programme wastewater (WINEP/NEP) - MCERTs monitoring at emergency sewage pumping station overflows (WINEP/NEP) wastewater opex - Total</v>
      </c>
      <c r="D90" s="188" t="s">
        <v>85</v>
      </c>
      <c r="E90" s="192">
        <f ca="1">IF('F_Input Override'!E90="",'Consolidated Input'!E90,'F_Input Override'!E90)</f>
        <v>0</v>
      </c>
      <c r="F90" s="192">
        <f ca="1">IF('F_Input Override'!F90="",'Consolidated Input'!F90,'F_Input Override'!F90)</f>
        <v>0</v>
      </c>
      <c r="G90" s="192">
        <f>IF('F_Input Override'!G90="",'Consolidated Input'!G90,'F_Input Override'!G90)</f>
        <v>0</v>
      </c>
      <c r="H90" s="192">
        <f>IF('F_Input Override'!H90="",'Consolidated Input'!H90,'F_Input Override'!H90)</f>
        <v>0</v>
      </c>
      <c r="I90" s="192">
        <f>IF('F_Input Override'!I90="",'Consolidated Input'!I90,'F_Input Override'!I90)</f>
        <v>0</v>
      </c>
      <c r="J90" s="192">
        <f>IF('F_Input Override'!J90="",'Consolidated Input'!J90,'F_Input Override'!J90)</f>
        <v>0</v>
      </c>
      <c r="K90" s="189">
        <f>IF('F_Input Override'!K90="",'Consolidated Input'!K90,'F_Input Override'!K90)</f>
        <v>0.114</v>
      </c>
      <c r="L90" s="193">
        <f ca="1">SUM(Table3[[#This Row],[2023-24]:[2029-30]])</f>
        <v>0.114</v>
      </c>
    </row>
    <row r="91" spans="1:12">
      <c r="A91" s="181" t="str">
        <f>Table1[[#This Row],[Acronym]]</f>
        <v>SRN</v>
      </c>
      <c r="B91" s="181" t="str">
        <f>Table1[[#This Row],[BON code]]</f>
        <v>CWW3_012TOT_PR24</v>
      </c>
      <c r="C91" s="181" t="str">
        <f>Table1[[#This Row],[Item Description]]</f>
        <v>EA/NRW environmental programme wastewater (WINEP/NEP) - MCERTs monitoring at emergency sewage pumping station overflows (WINEP/NEP) wastewater totex - Total</v>
      </c>
      <c r="D91" s="188" t="s">
        <v>85</v>
      </c>
      <c r="E91" s="192">
        <f ca="1">IF('F_Input Override'!E91="",'Consolidated Input'!E91,'F_Input Override'!E91)</f>
        <v>0</v>
      </c>
      <c r="F91" s="192">
        <f ca="1">IF('F_Input Override'!F91="",'Consolidated Input'!F91,'F_Input Override'!F91)</f>
        <v>0</v>
      </c>
      <c r="G91" s="192">
        <f>IF('F_Input Override'!G91="",'Consolidated Input'!G91,'F_Input Override'!G91)</f>
        <v>11.583953408718866</v>
      </c>
      <c r="H91" s="192">
        <f>IF('F_Input Override'!H91="",'Consolidated Input'!H91,'F_Input Override'!H91)</f>
        <v>13.3213125897197</v>
      </c>
      <c r="I91" s="192">
        <f>IF('F_Input Override'!I91="",'Consolidated Input'!I91,'F_Input Override'!I91)</f>
        <v>13.627630291888082</v>
      </c>
      <c r="J91" s="192">
        <f>IF('F_Input Override'!J91="",'Consolidated Input'!J91,'F_Input Override'!J91)</f>
        <v>14.979169466340947</v>
      </c>
      <c r="K91" s="189">
        <f>IF('F_Input Override'!K91="",'Consolidated Input'!K91,'F_Input Override'!K91)</f>
        <v>39.334934243332413</v>
      </c>
      <c r="L91" s="193">
        <f ca="1">SUM(Table3[[#This Row],[2023-24]:[2029-30]])</f>
        <v>92.847000000000008</v>
      </c>
    </row>
    <row r="92" spans="1:12">
      <c r="A92" s="181" t="str">
        <f>Table1[[#This Row],[Acronym]]</f>
        <v>SRN</v>
      </c>
      <c r="B92" s="181" t="str">
        <f>Table1[[#This Row],[BON code]]</f>
        <v>CWW12_010TOT_PR24</v>
      </c>
      <c r="C92" s="181" t="str">
        <f>Table1[[#This Row],[Item Description]]</f>
        <v>EA/NRW environmental programme wastewater (WINEP/NEP) - MCERTs monitoring at emergency sewage pumping station overflows (WINEP/NEP) wastewater capex - Total</v>
      </c>
      <c r="D92" s="188" t="s">
        <v>99</v>
      </c>
      <c r="E92" s="192">
        <f ca="1">IF('F_Input Override'!E92="",'Consolidated Input'!E92,'F_Input Override'!E92)</f>
        <v>0</v>
      </c>
      <c r="F92" s="192">
        <f ca="1">IF('F_Input Override'!F92="",'Consolidated Input'!F92,'F_Input Override'!F92)</f>
        <v>0</v>
      </c>
      <c r="G92" s="192">
        <f ca="1">IF('F_Input Override'!G92="",'Consolidated Input'!G92,'F_Input Override'!G92)</f>
        <v>0</v>
      </c>
      <c r="H92" s="192">
        <f ca="1">IF('F_Input Override'!H92="",'Consolidated Input'!H92,'F_Input Override'!H92)</f>
        <v>0</v>
      </c>
      <c r="I92" s="192">
        <f ca="1">IF('F_Input Override'!I92="",'Consolidated Input'!I92,'F_Input Override'!I92)</f>
        <v>0</v>
      </c>
      <c r="J92" s="192">
        <f ca="1">IF('F_Input Override'!J92="",'Consolidated Input'!J92,'F_Input Override'!J92)</f>
        <v>0</v>
      </c>
      <c r="K92" s="189">
        <f ca="1">IF('F_Input Override'!K92="",'Consolidated Input'!K92,'F_Input Override'!K92)</f>
        <v>0</v>
      </c>
      <c r="L92" s="193">
        <f ca="1">SUM(Table3[[#This Row],[2023-24]:[2029-30]])</f>
        <v>0</v>
      </c>
    </row>
    <row r="93" spans="1:12">
      <c r="A93" s="181" t="str">
        <f>Table1[[#This Row],[Acronym]]</f>
        <v>SRN</v>
      </c>
      <c r="B93" s="181" t="str">
        <f>Table1[[#This Row],[BON code]]</f>
        <v>CWW12_011TOT_PR24</v>
      </c>
      <c r="C93" s="181" t="str">
        <f>Table1[[#This Row],[Item Description]]</f>
        <v>EA/NRW environmental programme wastewater (WINEP/NEP) - MCERTs monitoring at emergency sewage pumping station overflows (WINEP/NEP) wastewater opex - Total</v>
      </c>
      <c r="D93" s="188" t="s">
        <v>99</v>
      </c>
      <c r="E93" s="192">
        <f ca="1">IF('F_Input Override'!E93="",'Consolidated Input'!E93,'F_Input Override'!E93)</f>
        <v>0</v>
      </c>
      <c r="F93" s="192">
        <f ca="1">IF('F_Input Override'!F93="",'Consolidated Input'!F93,'F_Input Override'!F93)</f>
        <v>0</v>
      </c>
      <c r="G93" s="192">
        <f ca="1">IF('F_Input Override'!G93="",'Consolidated Input'!G93,'F_Input Override'!G93)</f>
        <v>0</v>
      </c>
      <c r="H93" s="192">
        <f ca="1">IF('F_Input Override'!H93="",'Consolidated Input'!H93,'F_Input Override'!H93)</f>
        <v>0</v>
      </c>
      <c r="I93" s="192">
        <f ca="1">IF('F_Input Override'!I93="",'Consolidated Input'!I93,'F_Input Override'!I93)</f>
        <v>0</v>
      </c>
      <c r="J93" s="192">
        <f ca="1">IF('F_Input Override'!J93="",'Consolidated Input'!J93,'F_Input Override'!J93)</f>
        <v>0</v>
      </c>
      <c r="K93" s="189">
        <f ca="1">IF('F_Input Override'!K93="",'Consolidated Input'!K93,'F_Input Override'!K93)</f>
        <v>0</v>
      </c>
      <c r="L93" s="193">
        <f ca="1">SUM(Table3[[#This Row],[2023-24]:[2029-30]])</f>
        <v>0</v>
      </c>
    </row>
    <row r="94" spans="1:12">
      <c r="A94" s="181" t="str">
        <f>Table1[[#This Row],[Acronym]]</f>
        <v>SRN</v>
      </c>
      <c r="B94" s="181" t="str">
        <f>Table1[[#This Row],[BON code]]</f>
        <v>CWW12_012TOT_PR24</v>
      </c>
      <c r="C94" s="181" t="str">
        <f>Table1[[#This Row],[Item Description]]</f>
        <v>EA/NRW environmental programme wastewater (WINEP/NEP) - MCERTs monitoring at emergency sewage pumping station overflows (WINEP/NEP) wastewater totex - Total</v>
      </c>
      <c r="D94" s="188" t="s">
        <v>99</v>
      </c>
      <c r="E94" s="192">
        <f ca="1">IF('F_Input Override'!E94="",'Consolidated Input'!E94,'F_Input Override'!E94)</f>
        <v>0</v>
      </c>
      <c r="F94" s="192">
        <f ca="1">IF('F_Input Override'!F94="",'Consolidated Input'!F94,'F_Input Override'!F94)</f>
        <v>0</v>
      </c>
      <c r="G94" s="192">
        <f ca="1">IF('F_Input Override'!G94="",'Consolidated Input'!G94,'F_Input Override'!G94)</f>
        <v>0</v>
      </c>
      <c r="H94" s="192">
        <f ca="1">IF('F_Input Override'!H94="",'Consolidated Input'!H94,'F_Input Override'!H94)</f>
        <v>0</v>
      </c>
      <c r="I94" s="192">
        <f ca="1">IF('F_Input Override'!I94="",'Consolidated Input'!I94,'F_Input Override'!I94)</f>
        <v>0</v>
      </c>
      <c r="J94" s="192">
        <f ca="1">IF('F_Input Override'!J94="",'Consolidated Input'!J94,'F_Input Override'!J94)</f>
        <v>0</v>
      </c>
      <c r="K94" s="189">
        <f ca="1">IF('F_Input Override'!K94="",'Consolidated Input'!K94,'F_Input Override'!K94)</f>
        <v>0</v>
      </c>
      <c r="L94" s="193">
        <f ca="1">SUM(Table3[[#This Row],[2023-24]:[2029-30]])</f>
        <v>0</v>
      </c>
    </row>
    <row r="95" spans="1:12">
      <c r="A95" s="181" t="str">
        <f>Table1[[#This Row],[Acronym]]</f>
        <v>SRN</v>
      </c>
      <c r="B95" s="181" t="str">
        <f>Table1[[#This Row],[BON code]]</f>
        <v>CWW17_010TOT_PR24</v>
      </c>
      <c r="C95" s="181" t="str">
        <f>Table1[[#This Row],[Item Description]]</f>
        <v>EA/NRW environmental programme wastewater (WINEP/NEP) - MCERTs monitoring at emergency sewage pumping station overflows (WINEP/NEP) wastewater capex - Total</v>
      </c>
      <c r="D95" s="188" t="s">
        <v>99</v>
      </c>
      <c r="E95" s="192">
        <f ca="1">IF('F_Input Override'!E95="",'Consolidated Input'!E95,'F_Input Override'!E95)</f>
        <v>0</v>
      </c>
      <c r="F95" s="192">
        <f ca="1">IF('F_Input Override'!F95="",'Consolidated Input'!F95,'F_Input Override'!F95)</f>
        <v>0</v>
      </c>
      <c r="G95" s="192">
        <f ca="1">IF('F_Input Override'!G95="",'Consolidated Input'!G95,'F_Input Override'!G95)</f>
        <v>0</v>
      </c>
      <c r="H95" s="192">
        <f ca="1">IF('F_Input Override'!H95="",'Consolidated Input'!H95,'F_Input Override'!H95)</f>
        <v>0</v>
      </c>
      <c r="I95" s="192">
        <f ca="1">IF('F_Input Override'!I95="",'Consolidated Input'!I95,'F_Input Override'!I95)</f>
        <v>0</v>
      </c>
      <c r="J95" s="192">
        <f ca="1">IF('F_Input Override'!J95="",'Consolidated Input'!J95,'F_Input Override'!J95)</f>
        <v>0</v>
      </c>
      <c r="K95" s="189">
        <f ca="1">IF('F_Input Override'!K95="",'Consolidated Input'!K95,'F_Input Override'!K95)</f>
        <v>0</v>
      </c>
      <c r="L95" s="193">
        <f ca="1">SUM(Table3[[#This Row],[2023-24]:[2029-30]])</f>
        <v>0</v>
      </c>
    </row>
    <row r="96" spans="1:12">
      <c r="A96" s="181" t="str">
        <f>Table1[[#This Row],[Acronym]]</f>
        <v>SRN</v>
      </c>
      <c r="B96" s="181" t="str">
        <f>Table1[[#This Row],[BON code]]</f>
        <v>CWW17_011TOT_PR24</v>
      </c>
      <c r="C96" s="181" t="str">
        <f>Table1[[#This Row],[Item Description]]</f>
        <v>EA/NRW environmental programme wastewater (WINEP/NEP) - MCERTs monitoring at emergency sewage pumping station overflows (WINEP/NEP) wastewater opex - Total</v>
      </c>
      <c r="D96" s="188" t="s">
        <v>85</v>
      </c>
      <c r="E96" s="192">
        <f ca="1">IF('F_Input Override'!E96="",'Consolidated Input'!E96,'F_Input Override'!E96)</f>
        <v>0</v>
      </c>
      <c r="F96" s="192">
        <f ca="1">IF('F_Input Override'!F96="",'Consolidated Input'!F96,'F_Input Override'!F96)</f>
        <v>0</v>
      </c>
      <c r="G96" s="192">
        <f ca="1">IF('F_Input Override'!G96="",'Consolidated Input'!G96,'F_Input Override'!G96)</f>
        <v>0</v>
      </c>
      <c r="H96" s="192">
        <f ca="1">IF('F_Input Override'!H96="",'Consolidated Input'!H96,'F_Input Override'!H96)</f>
        <v>0</v>
      </c>
      <c r="I96" s="192">
        <f ca="1">IF('F_Input Override'!I96="",'Consolidated Input'!I96,'F_Input Override'!I96)</f>
        <v>0</v>
      </c>
      <c r="J96" s="192">
        <f ca="1">IF('F_Input Override'!J96="",'Consolidated Input'!J96,'F_Input Override'!J96)</f>
        <v>0</v>
      </c>
      <c r="K96" s="189">
        <f ca="1">IF('F_Input Override'!K96="",'Consolidated Input'!K96,'F_Input Override'!K96)</f>
        <v>0</v>
      </c>
      <c r="L96" s="193">
        <f ca="1">SUM(Table3[[#This Row],[2023-24]:[2029-30]])</f>
        <v>0</v>
      </c>
    </row>
    <row r="97" spans="1:12">
      <c r="A97" s="181" t="str">
        <f>Table1[[#This Row],[Acronym]]</f>
        <v>SRN</v>
      </c>
      <c r="B97" s="181" t="str">
        <f>Table1[[#This Row],[BON code]]</f>
        <v>CWW17_012TOT_PR24</v>
      </c>
      <c r="C97" s="181" t="str">
        <f>Table1[[#This Row],[Item Description]]</f>
        <v>EA/NRW environmental programme wastewater (WINEP/NEP) - MCERTs monitoring at emergency sewage pumping station overflows (WINEP/NEP) wastewater totex - Total</v>
      </c>
      <c r="D97" s="188" t="s">
        <v>85</v>
      </c>
      <c r="E97" s="192">
        <f ca="1">IF('F_Input Override'!E97="",'Consolidated Input'!E97,'F_Input Override'!E97)</f>
        <v>0</v>
      </c>
      <c r="F97" s="192">
        <f ca="1">IF('F_Input Override'!F97="",'Consolidated Input'!F97,'F_Input Override'!F97)</f>
        <v>0</v>
      </c>
      <c r="G97" s="192">
        <f ca="1">IF('F_Input Override'!G97="",'Consolidated Input'!G97,'F_Input Override'!G97)</f>
        <v>0</v>
      </c>
      <c r="H97" s="192">
        <f ca="1">IF('F_Input Override'!H97="",'Consolidated Input'!H97,'F_Input Override'!H97)</f>
        <v>0</v>
      </c>
      <c r="I97" s="192">
        <f ca="1">IF('F_Input Override'!I97="",'Consolidated Input'!I97,'F_Input Override'!I97)</f>
        <v>0</v>
      </c>
      <c r="J97" s="192">
        <f ca="1">IF('F_Input Override'!J97="",'Consolidated Input'!J97,'F_Input Override'!J97)</f>
        <v>0</v>
      </c>
      <c r="K97" s="189">
        <f ca="1">IF('F_Input Override'!K97="",'Consolidated Input'!K97,'F_Input Override'!K97)</f>
        <v>0</v>
      </c>
      <c r="L97" s="193">
        <f ca="1">SUM(Table3[[#This Row],[2023-24]:[2029-30]])</f>
        <v>0</v>
      </c>
    </row>
    <row r="98" spans="1:12">
      <c r="A98" s="181" t="str">
        <f>Table1[[#This Row],[Acronym]]</f>
        <v>SRN</v>
      </c>
      <c r="B98" s="181" t="str">
        <f>Table1[[#This Row],[BON code]]</f>
        <v>CWW20_050_PR24</v>
      </c>
      <c r="C98" s="181" t="str">
        <f>Table1[[#This Row],[Item Description]]</f>
        <v>Network / Storm overflow data - Number of new MCERTs event duration monitors installed at SPS emergency overflows</v>
      </c>
      <c r="D98" s="188" t="s">
        <v>85</v>
      </c>
      <c r="E98" s="192">
        <f ca="1">IF('F_Input Override'!E98="",'Consolidated Input'!E98,'F_Input Override'!E98)</f>
        <v>0</v>
      </c>
      <c r="F98" s="192">
        <f ca="1">IF('F_Input Override'!F98="",'Consolidated Input'!F98,'F_Input Override'!F98)</f>
        <v>0</v>
      </c>
      <c r="G98" s="192">
        <f ca="1">IF('F_Input Override'!G98="",'Consolidated Input'!G98,'F_Input Override'!G98)</f>
        <v>0</v>
      </c>
      <c r="H98" s="192">
        <f ca="1">IF('F_Input Override'!H98="",'Consolidated Input'!H98,'F_Input Override'!H98)</f>
        <v>10</v>
      </c>
      <c r="I98" s="192">
        <f ca="1">IF('F_Input Override'!I98="",'Consolidated Input'!I98,'F_Input Override'!I98)</f>
        <v>10</v>
      </c>
      <c r="J98" s="192">
        <f ca="1">IF('F_Input Override'!J98="",'Consolidated Input'!J98,'F_Input Override'!J98)</f>
        <v>10</v>
      </c>
      <c r="K98" s="189">
        <f ca="1">IF('F_Input Override'!K98="",'Consolidated Input'!K98,'F_Input Override'!K98)</f>
        <v>0</v>
      </c>
      <c r="L98" s="193">
        <f ca="1">SUM(Table3[[#This Row],[2023-24]:[2029-30]])</f>
        <v>30</v>
      </c>
    </row>
    <row r="99" spans="1:12">
      <c r="A99" s="181" t="str">
        <f>Table1[[#This Row],[Acronym]]</f>
        <v>SRN</v>
      </c>
      <c r="B99" s="181" t="str">
        <f>Table1[[#This Row],[BON code]]</f>
        <v>CWW20_051_PR24</v>
      </c>
      <c r="C99" s="181" t="str">
        <f>Table1[[#This Row],[Item Description]]</f>
        <v>Network / Storm overflow data - Number of new MCERTs flow monitors (PFF) installed at SPSs with combined emergency and storm overflows.</v>
      </c>
      <c r="D99" s="188" t="s">
        <v>85</v>
      </c>
      <c r="E99" s="192">
        <f ca="1">IF('F_Input Override'!E99="",'Consolidated Input'!E99,'F_Input Override'!E99)</f>
        <v>0</v>
      </c>
      <c r="F99" s="192">
        <f ca="1">IF('F_Input Override'!F99="",'Consolidated Input'!F99,'F_Input Override'!F99)</f>
        <v>0</v>
      </c>
      <c r="G99" s="192">
        <f ca="1">IF('F_Input Override'!G99="",'Consolidated Input'!G99,'F_Input Override'!G99)</f>
        <v>0</v>
      </c>
      <c r="H99" s="192">
        <f ca="1">IF('F_Input Override'!H99="",'Consolidated Input'!H99,'F_Input Override'!H99)</f>
        <v>20</v>
      </c>
      <c r="I99" s="192">
        <f ca="1">IF('F_Input Override'!I99="",'Consolidated Input'!I99,'F_Input Override'!I99)</f>
        <v>30</v>
      </c>
      <c r="J99" s="192">
        <f ca="1">IF('F_Input Override'!J99="",'Consolidated Input'!J99,'F_Input Override'!J99)</f>
        <v>30</v>
      </c>
      <c r="K99" s="189">
        <f ca="1">IF('F_Input Override'!K99="",'Consolidated Input'!K99,'F_Input Override'!K99)</f>
        <v>18</v>
      </c>
      <c r="L99" s="193">
        <f ca="1">SUM(Table3[[#This Row],[2023-24]:[2029-30]])</f>
        <v>98</v>
      </c>
    </row>
    <row r="100" spans="1:12">
      <c r="A100" s="181" t="str">
        <f>Table1[[#This Row],[Acronym]]</f>
        <v>SRN</v>
      </c>
      <c r="B100" s="181" t="str">
        <f>Table1[[#This Row],[BON code]]</f>
        <v>CWW20A_050_PR24</v>
      </c>
      <c r="C100" s="181" t="str">
        <f>Table1[[#This Row],[Item Description]]</f>
        <v>Network / Storm overflow data - Number of new MCERTs event duration monitors installed at SPS emergency overflows</v>
      </c>
      <c r="D100" s="188" t="s">
        <v>85</v>
      </c>
      <c r="E100" s="192">
        <f ca="1">IF('F_Input Override'!E100="",'Consolidated Input'!E100,'F_Input Override'!E100)</f>
        <v>0</v>
      </c>
      <c r="F100" s="192">
        <f ca="1">IF('F_Input Override'!F100="",'Consolidated Input'!F100,'F_Input Override'!F100)</f>
        <v>0</v>
      </c>
      <c r="G100" s="192">
        <f ca="1">IF('F_Input Override'!G100="",'Consolidated Input'!G100,'F_Input Override'!G100)</f>
        <v>0</v>
      </c>
      <c r="H100" s="192">
        <f ca="1">IF('F_Input Override'!H100="",'Consolidated Input'!H100,'F_Input Override'!H100)</f>
        <v>0</v>
      </c>
      <c r="I100" s="192">
        <f ca="1">IF('F_Input Override'!I100="",'Consolidated Input'!I100,'F_Input Override'!I100)</f>
        <v>0</v>
      </c>
      <c r="J100" s="192">
        <f ca="1">IF('F_Input Override'!J100="",'Consolidated Input'!J100,'F_Input Override'!J100)</f>
        <v>0</v>
      </c>
      <c r="K100" s="189">
        <f ca="1">IF('F_Input Override'!K100="",'Consolidated Input'!K100,'F_Input Override'!K100)</f>
        <v>0</v>
      </c>
      <c r="L100" s="193">
        <f ca="1">SUM(Table3[[#This Row],[2023-24]:[2029-30]])</f>
        <v>0</v>
      </c>
    </row>
    <row r="101" spans="1:12">
      <c r="A101" s="181" t="str">
        <f>Table1[[#This Row],[Acronym]]</f>
        <v>SRN</v>
      </c>
      <c r="B101" s="181" t="str">
        <f>Table1[[#This Row],[BON code]]</f>
        <v>CWW20A_051_PR24</v>
      </c>
      <c r="C101" s="181" t="str">
        <f>Table1[[#This Row],[Item Description]]</f>
        <v>Network / Storm overflow data - Number of new MCERTs flow monitors (PFF) installed at SPSs with combined emergency and storm overflows.</v>
      </c>
      <c r="D101" s="188" t="s">
        <v>85</v>
      </c>
      <c r="E101" s="192">
        <f ca="1">IF('F_Input Override'!E101="",'Consolidated Input'!E101,'F_Input Override'!E101)</f>
        <v>0</v>
      </c>
      <c r="F101" s="192">
        <f ca="1">IF('F_Input Override'!F101="",'Consolidated Input'!F101,'F_Input Override'!F101)</f>
        <v>0</v>
      </c>
      <c r="G101" s="192">
        <f ca="1">IF('F_Input Override'!G101="",'Consolidated Input'!G101,'F_Input Override'!G101)</f>
        <v>0</v>
      </c>
      <c r="H101" s="192">
        <f ca="1">IF('F_Input Override'!H101="",'Consolidated Input'!H101,'F_Input Override'!H101)</f>
        <v>0</v>
      </c>
      <c r="I101" s="192">
        <f ca="1">IF('F_Input Override'!I101="",'Consolidated Input'!I101,'F_Input Override'!I101)</f>
        <v>0</v>
      </c>
      <c r="J101" s="192">
        <f ca="1">IF('F_Input Override'!J101="",'Consolidated Input'!J101,'F_Input Override'!J101)</f>
        <v>0</v>
      </c>
      <c r="K101" s="189">
        <f ca="1">IF('F_Input Override'!K101="",'Consolidated Input'!K101,'F_Input Override'!K101)</f>
        <v>0</v>
      </c>
      <c r="L101" s="193">
        <f ca="1">SUM(Table3[[#This Row],[2023-24]:[2029-30]])</f>
        <v>0</v>
      </c>
    </row>
    <row r="102" spans="1:12">
      <c r="A102" s="181" t="str">
        <f>Table1[[#This Row],[Acronym]]</f>
        <v>SRN</v>
      </c>
      <c r="B102" s="181" t="str">
        <f>Table1[[#This Row],[BON code]]</f>
        <v>CWW1A_015TOT_PR24</v>
      </c>
      <c r="C102" s="181" t="str">
        <f>Table1[[#This Row],[Item Description]]</f>
        <v>Net totex - Total</v>
      </c>
      <c r="D102" s="188" t="s">
        <v>85</v>
      </c>
      <c r="E102" s="192">
        <f ca="1">IF('F_Input Override'!E102="",'Consolidated Input'!E102,'F_Input Override'!E102)</f>
        <v>0</v>
      </c>
      <c r="F102" s="192">
        <f ca="1">IF('F_Input Override'!F102="",'Consolidated Input'!F102,'F_Input Override'!F102)</f>
        <v>0</v>
      </c>
      <c r="G102" s="192">
        <f ca="1">IF('F_Input Override'!G102="",'Consolidated Input'!G102,'F_Input Override'!G102)</f>
        <v>919.95056665257835</v>
      </c>
      <c r="H102" s="192">
        <f ca="1">IF('F_Input Override'!H102="",'Consolidated Input'!H102,'F_Input Override'!H102)</f>
        <v>1259.3054253890721</v>
      </c>
      <c r="I102" s="192">
        <f ca="1">IF('F_Input Override'!I102="",'Consolidated Input'!I102,'F_Input Override'!I102)</f>
        <v>1000.932312638522</v>
      </c>
      <c r="J102" s="192">
        <f ca="1">IF('F_Input Override'!J102="",'Consolidated Input'!J102,'F_Input Override'!J102)</f>
        <v>1075.9677056653011</v>
      </c>
      <c r="K102" s="189">
        <f ca="1">IF('F_Input Override'!K102="",'Consolidated Input'!K102,'F_Input Override'!K102)</f>
        <v>779.11368189552627</v>
      </c>
      <c r="L102" s="193">
        <f ca="1">SUM(Table3[[#This Row],[2023-24]:[2029-30]])</f>
        <v>5035.2696922410005</v>
      </c>
    </row>
    <row r="103" spans="1:12">
      <c r="A103" s="181" t="str">
        <f>Table1[[#This Row],[Acronym]]</f>
        <v>TMS</v>
      </c>
      <c r="B103" s="181" t="str">
        <f>Table1[[#This Row],[BON code]]</f>
        <v>CWW3_010TOT_PR24</v>
      </c>
      <c r="C103" s="181" t="str">
        <f>Table1[[#This Row],[Item Description]]</f>
        <v>EA/NRW environmental programme wastewater (WINEP/NEP) - MCERTs monitoring at emergency sewage pumping station overflows (WINEP/NEP) wastewater capex - Total</v>
      </c>
      <c r="D103" s="188" t="s">
        <v>85</v>
      </c>
      <c r="E103" s="192">
        <f ca="1">IF('F_Input Override'!E103="",'Consolidated Input'!E103,'F_Input Override'!E103)</f>
        <v>0</v>
      </c>
      <c r="F103" s="192">
        <f ca="1">IF('F_Input Override'!F103="",'Consolidated Input'!F103,'F_Input Override'!F103)</f>
        <v>0</v>
      </c>
      <c r="G103" s="192">
        <f ca="1">IF('F_Input Override'!G103="",'Consolidated Input'!G103,'F_Input Override'!G103)</f>
        <v>4.6950000000000003</v>
      </c>
      <c r="H103" s="192">
        <f ca="1">IF('F_Input Override'!H103="",'Consolidated Input'!H103,'F_Input Override'!H103)</f>
        <v>4.7160000000000002</v>
      </c>
      <c r="I103" s="192">
        <f ca="1">IF('F_Input Override'!I103="",'Consolidated Input'!I103,'F_Input Override'!I103)</f>
        <v>1.1839999999999999</v>
      </c>
      <c r="J103" s="192">
        <f ca="1">IF('F_Input Override'!J103="",'Consolidated Input'!J103,'F_Input Override'!J103)</f>
        <v>0.59499999999999997</v>
      </c>
      <c r="K103" s="189">
        <f ca="1">IF('F_Input Override'!K103="",'Consolidated Input'!K103,'F_Input Override'!K103)</f>
        <v>0.59799999999999998</v>
      </c>
      <c r="L103" s="193">
        <f ca="1">SUM(Table3[[#This Row],[2023-24]:[2029-30]])</f>
        <v>11.788000000000002</v>
      </c>
    </row>
    <row r="104" spans="1:12">
      <c r="A104" s="181" t="str">
        <f>Table1[[#This Row],[Acronym]]</f>
        <v>TMS</v>
      </c>
      <c r="B104" s="181" t="str">
        <f>Table1[[#This Row],[BON code]]</f>
        <v>CWW3_011TOT_PR24</v>
      </c>
      <c r="C104" s="181" t="str">
        <f>Table1[[#This Row],[Item Description]]</f>
        <v>EA/NRW environmental programme wastewater (WINEP/NEP) - MCERTs monitoring at emergency sewage pumping station overflows (WINEP/NEP) wastewater opex - Total</v>
      </c>
      <c r="D104" s="188" t="s">
        <v>85</v>
      </c>
      <c r="E104" s="192">
        <f ca="1">IF('F_Input Override'!E104="",'Consolidated Input'!E104,'F_Input Override'!E104)</f>
        <v>0</v>
      </c>
      <c r="F104" s="192">
        <f ca="1">IF('F_Input Override'!F104="",'Consolidated Input'!F104,'F_Input Override'!F104)</f>
        <v>0</v>
      </c>
      <c r="G104" s="192">
        <f ca="1">IF('F_Input Override'!G104="",'Consolidated Input'!G104,'F_Input Override'!G104)</f>
        <v>0</v>
      </c>
      <c r="H104" s="192">
        <f ca="1">IF('F_Input Override'!H104="",'Consolidated Input'!H104,'F_Input Override'!H104)</f>
        <v>0</v>
      </c>
      <c r="I104" s="192">
        <f ca="1">IF('F_Input Override'!I104="",'Consolidated Input'!I104,'F_Input Override'!I104)</f>
        <v>0</v>
      </c>
      <c r="J104" s="192">
        <f ca="1">IF('F_Input Override'!J104="",'Consolidated Input'!J104,'F_Input Override'!J104)</f>
        <v>0</v>
      </c>
      <c r="K104" s="189">
        <f ca="1">IF('F_Input Override'!K104="",'Consolidated Input'!K104,'F_Input Override'!K104)</f>
        <v>0</v>
      </c>
      <c r="L104" s="193">
        <f ca="1">SUM(Table3[[#This Row],[2023-24]:[2029-30]])</f>
        <v>0</v>
      </c>
    </row>
    <row r="105" spans="1:12">
      <c r="A105" s="181" t="str">
        <f>Table1[[#This Row],[Acronym]]</f>
        <v>TMS</v>
      </c>
      <c r="B105" s="181" t="str">
        <f>Table1[[#This Row],[BON code]]</f>
        <v>CWW3_012TOT_PR24</v>
      </c>
      <c r="C105" s="181" t="str">
        <f>Table1[[#This Row],[Item Description]]</f>
        <v>EA/NRW environmental programme wastewater (WINEP/NEP) - MCERTs monitoring at emergency sewage pumping station overflows (WINEP/NEP) wastewater totex - Total</v>
      </c>
      <c r="D105" s="188" t="s">
        <v>99</v>
      </c>
      <c r="E105" s="192">
        <f ca="1">IF('F_Input Override'!E105="",'Consolidated Input'!E105,'F_Input Override'!E105)</f>
        <v>0</v>
      </c>
      <c r="F105" s="192">
        <f ca="1">IF('F_Input Override'!F105="",'Consolidated Input'!F105,'F_Input Override'!F105)</f>
        <v>0</v>
      </c>
      <c r="G105" s="192">
        <f ca="1">IF('F_Input Override'!G105="",'Consolidated Input'!G105,'F_Input Override'!G105)</f>
        <v>4.6950000000000003</v>
      </c>
      <c r="H105" s="192">
        <f ca="1">IF('F_Input Override'!H105="",'Consolidated Input'!H105,'F_Input Override'!H105)</f>
        <v>4.7160000000000002</v>
      </c>
      <c r="I105" s="192">
        <f ca="1">IF('F_Input Override'!I105="",'Consolidated Input'!I105,'F_Input Override'!I105)</f>
        <v>1.1839999999999999</v>
      </c>
      <c r="J105" s="192">
        <f ca="1">IF('F_Input Override'!J105="",'Consolidated Input'!J105,'F_Input Override'!J105)</f>
        <v>0.59499999999999997</v>
      </c>
      <c r="K105" s="189">
        <f ca="1">IF('F_Input Override'!K105="",'Consolidated Input'!K105,'F_Input Override'!K105)</f>
        <v>0.59799999999999998</v>
      </c>
      <c r="L105" s="193">
        <f ca="1">SUM(Table3[[#This Row],[2023-24]:[2029-30]])</f>
        <v>11.788000000000002</v>
      </c>
    </row>
    <row r="106" spans="1:12">
      <c r="A106" s="181" t="str">
        <f>Table1[[#This Row],[Acronym]]</f>
        <v>TMS</v>
      </c>
      <c r="B106" s="181" t="str">
        <f>Table1[[#This Row],[BON code]]</f>
        <v>CWW12_010TOT_PR24</v>
      </c>
      <c r="C106" s="181" t="str">
        <f>Table1[[#This Row],[Item Description]]</f>
        <v>EA/NRW environmental programme wastewater (WINEP/NEP) - MCERTs monitoring at emergency sewage pumping station overflows (WINEP/NEP) wastewater capex - Total</v>
      </c>
      <c r="D106" s="188" t="s">
        <v>99</v>
      </c>
      <c r="E106" s="192">
        <f ca="1">IF('F_Input Override'!E106="",'Consolidated Input'!E106,'F_Input Override'!E106)</f>
        <v>0</v>
      </c>
      <c r="F106" s="192">
        <f ca="1">IF('F_Input Override'!F106="",'Consolidated Input'!F106,'F_Input Override'!F106)</f>
        <v>0</v>
      </c>
      <c r="G106" s="192">
        <f ca="1">IF('F_Input Override'!G106="",'Consolidated Input'!G106,'F_Input Override'!G106)</f>
        <v>0</v>
      </c>
      <c r="H106" s="192">
        <f ca="1">IF('F_Input Override'!H106="",'Consolidated Input'!H106,'F_Input Override'!H106)</f>
        <v>0</v>
      </c>
      <c r="I106" s="192">
        <f ca="1">IF('F_Input Override'!I106="",'Consolidated Input'!I106,'F_Input Override'!I106)</f>
        <v>0</v>
      </c>
      <c r="J106" s="192">
        <f ca="1">IF('F_Input Override'!J106="",'Consolidated Input'!J106,'F_Input Override'!J106)</f>
        <v>0</v>
      </c>
      <c r="K106" s="189">
        <f ca="1">IF('F_Input Override'!K106="",'Consolidated Input'!K106,'F_Input Override'!K106)</f>
        <v>0</v>
      </c>
      <c r="L106" s="193">
        <f ca="1">SUM(Table3[[#This Row],[2023-24]:[2029-30]])</f>
        <v>0</v>
      </c>
    </row>
    <row r="107" spans="1:12">
      <c r="A107" s="181" t="str">
        <f>Table1[[#This Row],[Acronym]]</f>
        <v>TMS</v>
      </c>
      <c r="B107" s="181" t="str">
        <f>Table1[[#This Row],[BON code]]</f>
        <v>CWW12_011TOT_PR24</v>
      </c>
      <c r="C107" s="181" t="str">
        <f>Table1[[#This Row],[Item Description]]</f>
        <v>EA/NRW environmental programme wastewater (WINEP/NEP) - MCERTs monitoring at emergency sewage pumping station overflows (WINEP/NEP) wastewater opex - Total</v>
      </c>
      <c r="D107" s="188" t="s">
        <v>99</v>
      </c>
      <c r="E107" s="192">
        <f ca="1">IF('F_Input Override'!E107="",'Consolidated Input'!E107,'F_Input Override'!E107)</f>
        <v>0</v>
      </c>
      <c r="F107" s="192">
        <f ca="1">IF('F_Input Override'!F107="",'Consolidated Input'!F107,'F_Input Override'!F107)</f>
        <v>0</v>
      </c>
      <c r="G107" s="192">
        <f ca="1">IF('F_Input Override'!G107="",'Consolidated Input'!G107,'F_Input Override'!G107)</f>
        <v>0</v>
      </c>
      <c r="H107" s="192">
        <f ca="1">IF('F_Input Override'!H107="",'Consolidated Input'!H107,'F_Input Override'!H107)</f>
        <v>0</v>
      </c>
      <c r="I107" s="192">
        <f ca="1">IF('F_Input Override'!I107="",'Consolidated Input'!I107,'F_Input Override'!I107)</f>
        <v>0</v>
      </c>
      <c r="J107" s="192">
        <f ca="1">IF('F_Input Override'!J107="",'Consolidated Input'!J107,'F_Input Override'!J107)</f>
        <v>0</v>
      </c>
      <c r="K107" s="189">
        <f ca="1">IF('F_Input Override'!K107="",'Consolidated Input'!K107,'F_Input Override'!K107)</f>
        <v>0</v>
      </c>
      <c r="L107" s="193">
        <f ca="1">SUM(Table3[[#This Row],[2023-24]:[2029-30]])</f>
        <v>0</v>
      </c>
    </row>
    <row r="108" spans="1:12">
      <c r="A108" s="181" t="str">
        <f>Table1[[#This Row],[Acronym]]</f>
        <v>TMS</v>
      </c>
      <c r="B108" s="181" t="str">
        <f>Table1[[#This Row],[BON code]]</f>
        <v>CWW12_012TOT_PR24</v>
      </c>
      <c r="C108" s="181" t="str">
        <f>Table1[[#This Row],[Item Description]]</f>
        <v>EA/NRW environmental programme wastewater (WINEP/NEP) - MCERTs monitoring at emergency sewage pumping station overflows (WINEP/NEP) wastewater totex - Total</v>
      </c>
      <c r="D108" s="188" t="s">
        <v>99</v>
      </c>
      <c r="E108" s="192">
        <f ca="1">IF('F_Input Override'!E108="",'Consolidated Input'!E108,'F_Input Override'!E108)</f>
        <v>0</v>
      </c>
      <c r="F108" s="192">
        <f ca="1">IF('F_Input Override'!F108="",'Consolidated Input'!F108,'F_Input Override'!F108)</f>
        <v>0</v>
      </c>
      <c r="G108" s="192">
        <f ca="1">IF('F_Input Override'!G108="",'Consolidated Input'!G108,'F_Input Override'!G108)</f>
        <v>0</v>
      </c>
      <c r="H108" s="192">
        <f ca="1">IF('F_Input Override'!H108="",'Consolidated Input'!H108,'F_Input Override'!H108)</f>
        <v>0</v>
      </c>
      <c r="I108" s="192">
        <f ca="1">IF('F_Input Override'!I108="",'Consolidated Input'!I108,'F_Input Override'!I108)</f>
        <v>0</v>
      </c>
      <c r="J108" s="192">
        <f ca="1">IF('F_Input Override'!J108="",'Consolidated Input'!J108,'F_Input Override'!J108)</f>
        <v>0</v>
      </c>
      <c r="K108" s="189">
        <f ca="1">IF('F_Input Override'!K108="",'Consolidated Input'!K108,'F_Input Override'!K108)</f>
        <v>0</v>
      </c>
      <c r="L108" s="193">
        <f ca="1">SUM(Table3[[#This Row],[2023-24]:[2029-30]])</f>
        <v>0</v>
      </c>
    </row>
    <row r="109" spans="1:12">
      <c r="A109" s="181" t="str">
        <f>Table1[[#This Row],[Acronym]]</f>
        <v>TMS</v>
      </c>
      <c r="B109" s="181" t="str">
        <f>Table1[[#This Row],[BON code]]</f>
        <v>CWW17_010TOT_PR24</v>
      </c>
      <c r="C109" s="181" t="str">
        <f>Table1[[#This Row],[Item Description]]</f>
        <v>EA/NRW environmental programme wastewater (WINEP/NEP) - MCERTs monitoring at emergency sewage pumping station overflows (WINEP/NEP) wastewater capex - Total</v>
      </c>
      <c r="D109" s="188" t="s">
        <v>85</v>
      </c>
      <c r="E109" s="192">
        <f ca="1">IF('F_Input Override'!E109="",'Consolidated Input'!E109,'F_Input Override'!E109)</f>
        <v>0</v>
      </c>
      <c r="F109" s="192">
        <f ca="1">IF('F_Input Override'!F109="",'Consolidated Input'!F109,'F_Input Override'!F109)</f>
        <v>0</v>
      </c>
      <c r="G109" s="192">
        <f ca="1">IF('F_Input Override'!G109="",'Consolidated Input'!G109,'F_Input Override'!G109)</f>
        <v>0</v>
      </c>
      <c r="H109" s="192">
        <f ca="1">IF('F_Input Override'!H109="",'Consolidated Input'!H109,'F_Input Override'!H109)</f>
        <v>0</v>
      </c>
      <c r="I109" s="192">
        <f ca="1">IF('F_Input Override'!I109="",'Consolidated Input'!I109,'F_Input Override'!I109)</f>
        <v>0</v>
      </c>
      <c r="J109" s="192">
        <f ca="1">IF('F_Input Override'!J109="",'Consolidated Input'!J109,'F_Input Override'!J109)</f>
        <v>0</v>
      </c>
      <c r="K109" s="189">
        <f ca="1">IF('F_Input Override'!K109="",'Consolidated Input'!K109,'F_Input Override'!K109)</f>
        <v>0</v>
      </c>
      <c r="L109" s="193">
        <f ca="1">SUM(Table3[[#This Row],[2023-24]:[2029-30]])</f>
        <v>0</v>
      </c>
    </row>
    <row r="110" spans="1:12">
      <c r="A110" s="181" t="str">
        <f>Table1[[#This Row],[Acronym]]</f>
        <v>TMS</v>
      </c>
      <c r="B110" s="181" t="str">
        <f>Table1[[#This Row],[BON code]]</f>
        <v>CWW17_011TOT_PR24</v>
      </c>
      <c r="C110" s="181" t="str">
        <f>Table1[[#This Row],[Item Description]]</f>
        <v>EA/NRW environmental programme wastewater (WINEP/NEP) - MCERTs monitoring at emergency sewage pumping station overflows (WINEP/NEP) wastewater opex - Total</v>
      </c>
      <c r="D110" s="188" t="s">
        <v>85</v>
      </c>
      <c r="E110" s="192">
        <f ca="1">IF('F_Input Override'!E110="",'Consolidated Input'!E110,'F_Input Override'!E110)</f>
        <v>0</v>
      </c>
      <c r="F110" s="192">
        <f ca="1">IF('F_Input Override'!F110="",'Consolidated Input'!F110,'F_Input Override'!F110)</f>
        <v>0</v>
      </c>
      <c r="G110" s="192">
        <f ca="1">IF('F_Input Override'!G110="",'Consolidated Input'!G110,'F_Input Override'!G110)</f>
        <v>0</v>
      </c>
      <c r="H110" s="192">
        <f ca="1">IF('F_Input Override'!H110="",'Consolidated Input'!H110,'F_Input Override'!H110)</f>
        <v>0</v>
      </c>
      <c r="I110" s="192">
        <f ca="1">IF('F_Input Override'!I110="",'Consolidated Input'!I110,'F_Input Override'!I110)</f>
        <v>0</v>
      </c>
      <c r="J110" s="192">
        <f ca="1">IF('F_Input Override'!J110="",'Consolidated Input'!J110,'F_Input Override'!J110)</f>
        <v>0</v>
      </c>
      <c r="K110" s="189">
        <f ca="1">IF('F_Input Override'!K110="",'Consolidated Input'!K110,'F_Input Override'!K110)</f>
        <v>0</v>
      </c>
      <c r="L110" s="193">
        <f ca="1">SUM(Table3[[#This Row],[2023-24]:[2029-30]])</f>
        <v>0</v>
      </c>
    </row>
    <row r="111" spans="1:12">
      <c r="A111" s="181" t="str">
        <f>Table1[[#This Row],[Acronym]]</f>
        <v>TMS</v>
      </c>
      <c r="B111" s="181" t="str">
        <f>Table1[[#This Row],[BON code]]</f>
        <v>CWW17_012TOT_PR24</v>
      </c>
      <c r="C111" s="181" t="str">
        <f>Table1[[#This Row],[Item Description]]</f>
        <v>EA/NRW environmental programme wastewater (WINEP/NEP) - MCERTs monitoring at emergency sewage pumping station overflows (WINEP/NEP) wastewater totex - Total</v>
      </c>
      <c r="D111" s="188" t="s">
        <v>85</v>
      </c>
      <c r="E111" s="192">
        <f ca="1">IF('F_Input Override'!E111="",'Consolidated Input'!E111,'F_Input Override'!E111)</f>
        <v>0</v>
      </c>
      <c r="F111" s="192">
        <f ca="1">IF('F_Input Override'!F111="",'Consolidated Input'!F111,'F_Input Override'!F111)</f>
        <v>0</v>
      </c>
      <c r="G111" s="192">
        <f ca="1">IF('F_Input Override'!G111="",'Consolidated Input'!G111,'F_Input Override'!G111)</f>
        <v>0</v>
      </c>
      <c r="H111" s="192">
        <f ca="1">IF('F_Input Override'!H111="",'Consolidated Input'!H111,'F_Input Override'!H111)</f>
        <v>0</v>
      </c>
      <c r="I111" s="192">
        <f ca="1">IF('F_Input Override'!I111="",'Consolidated Input'!I111,'F_Input Override'!I111)</f>
        <v>0</v>
      </c>
      <c r="J111" s="192">
        <f ca="1">IF('F_Input Override'!J111="",'Consolidated Input'!J111,'F_Input Override'!J111)</f>
        <v>0</v>
      </c>
      <c r="K111" s="189">
        <f ca="1">IF('F_Input Override'!K111="",'Consolidated Input'!K111,'F_Input Override'!K111)</f>
        <v>0</v>
      </c>
      <c r="L111" s="193">
        <f ca="1">SUM(Table3[[#This Row],[2023-24]:[2029-30]])</f>
        <v>0</v>
      </c>
    </row>
    <row r="112" spans="1:12">
      <c r="A112" s="181" t="str">
        <f>Table1[[#This Row],[Acronym]]</f>
        <v>TMS</v>
      </c>
      <c r="B112" s="181" t="str">
        <f>Table1[[#This Row],[BON code]]</f>
        <v>CWW20_050_PR24</v>
      </c>
      <c r="C112" s="181" t="str">
        <f>Table1[[#This Row],[Item Description]]</f>
        <v>Network / Storm overflow data - Number of new MCERTs event duration monitors installed at SPS emergency overflows</v>
      </c>
      <c r="D112" s="188" t="s">
        <v>85</v>
      </c>
      <c r="E112" s="192">
        <f ca="1">IF('F_Input Override'!E112="",'Consolidated Input'!E112,'F_Input Override'!E112)</f>
        <v>0</v>
      </c>
      <c r="F112" s="192">
        <f ca="1">IF('F_Input Override'!F112="",'Consolidated Input'!F112,'F_Input Override'!F112)</f>
        <v>0</v>
      </c>
      <c r="G112" s="192">
        <f ca="1">IF('F_Input Override'!G112="",'Consolidated Input'!G112,'F_Input Override'!G112)</f>
        <v>0</v>
      </c>
      <c r="H112" s="192">
        <f ca="1">IF('F_Input Override'!H112="",'Consolidated Input'!H112,'F_Input Override'!H112)</f>
        <v>0</v>
      </c>
      <c r="I112" s="192">
        <f ca="1">IF('F_Input Override'!I112="",'Consolidated Input'!I112,'F_Input Override'!I112)</f>
        <v>0</v>
      </c>
      <c r="J112" s="192">
        <f ca="1">IF('F_Input Override'!J112="",'Consolidated Input'!J112,'F_Input Override'!J112)</f>
        <v>0</v>
      </c>
      <c r="K112" s="189">
        <f ca="1">IF('F_Input Override'!K112="",'Consolidated Input'!K112,'F_Input Override'!K112)</f>
        <v>74</v>
      </c>
      <c r="L112" s="193">
        <f ca="1">SUM(Table3[[#This Row],[2023-24]:[2029-30]])</f>
        <v>74</v>
      </c>
    </row>
    <row r="113" spans="1:12">
      <c r="A113" s="181" t="str">
        <f>Table1[[#This Row],[Acronym]]</f>
        <v>TMS</v>
      </c>
      <c r="B113" s="181" t="str">
        <f>Table1[[#This Row],[BON code]]</f>
        <v>CWW20_051_PR24</v>
      </c>
      <c r="C113" s="181" t="str">
        <f>Table1[[#This Row],[Item Description]]</f>
        <v>Network / Storm overflow data - Number of new MCERTs flow monitors (PFF) installed at SPSs with combined emergency and storm overflows.</v>
      </c>
      <c r="D113" s="188" t="s">
        <v>85</v>
      </c>
      <c r="E113" s="192">
        <f ca="1">IF('F_Input Override'!E113="",'Consolidated Input'!E113,'F_Input Override'!E113)</f>
        <v>0</v>
      </c>
      <c r="F113" s="192">
        <f ca="1">IF('F_Input Override'!F113="",'Consolidated Input'!F113,'F_Input Override'!F113)</f>
        <v>0</v>
      </c>
      <c r="G113" s="192">
        <f ca="1">IF('F_Input Override'!G113="",'Consolidated Input'!G113,'F_Input Override'!G113)</f>
        <v>0</v>
      </c>
      <c r="H113" s="192">
        <f ca="1">IF('F_Input Override'!H113="",'Consolidated Input'!H113,'F_Input Override'!H113)</f>
        <v>232</v>
      </c>
      <c r="I113" s="192">
        <f ca="1">IF('F_Input Override'!I113="",'Consolidated Input'!I113,'F_Input Override'!I113)</f>
        <v>0</v>
      </c>
      <c r="J113" s="192">
        <f ca="1">IF('F_Input Override'!J113="",'Consolidated Input'!J113,'F_Input Override'!J113)</f>
        <v>0</v>
      </c>
      <c r="K113" s="189">
        <f ca="1">IF('F_Input Override'!K113="",'Consolidated Input'!K113,'F_Input Override'!K113)</f>
        <v>65</v>
      </c>
      <c r="L113" s="193">
        <f ca="1">SUM(Table3[[#This Row],[2023-24]:[2029-30]])</f>
        <v>297</v>
      </c>
    </row>
    <row r="114" spans="1:12">
      <c r="A114" s="181" t="str">
        <f>Table1[[#This Row],[Acronym]]</f>
        <v>TMS</v>
      </c>
      <c r="B114" s="181" t="str">
        <f>Table1[[#This Row],[BON code]]</f>
        <v>CWW20A_050_PR24</v>
      </c>
      <c r="C114" s="181" t="str">
        <f>Table1[[#This Row],[Item Description]]</f>
        <v>Network / Storm overflow data - Number of new MCERTs event duration monitors installed at SPS emergency overflows</v>
      </c>
      <c r="D114" s="188" t="s">
        <v>85</v>
      </c>
      <c r="E114" s="192">
        <f ca="1">IF('F_Input Override'!E114="",'Consolidated Input'!E114,'F_Input Override'!E114)</f>
        <v>0</v>
      </c>
      <c r="F114" s="192">
        <f ca="1">IF('F_Input Override'!F114="",'Consolidated Input'!F114,'F_Input Override'!F114)</f>
        <v>0</v>
      </c>
      <c r="G114" s="192">
        <f ca="1">IF('F_Input Override'!G114="",'Consolidated Input'!G114,'F_Input Override'!G114)</f>
        <v>0</v>
      </c>
      <c r="H114" s="192">
        <f ca="1">IF('F_Input Override'!H114="",'Consolidated Input'!H114,'F_Input Override'!H114)</f>
        <v>0</v>
      </c>
      <c r="I114" s="192">
        <f ca="1">IF('F_Input Override'!I114="",'Consolidated Input'!I114,'F_Input Override'!I114)</f>
        <v>0</v>
      </c>
      <c r="J114" s="192">
        <f ca="1">IF('F_Input Override'!J114="",'Consolidated Input'!J114,'F_Input Override'!J114)</f>
        <v>0</v>
      </c>
      <c r="K114" s="189">
        <f ca="1">IF('F_Input Override'!K114="",'Consolidated Input'!K114,'F_Input Override'!K114)</f>
        <v>0</v>
      </c>
      <c r="L114" s="193">
        <f ca="1">SUM(Table3[[#This Row],[2023-24]:[2029-30]])</f>
        <v>0</v>
      </c>
    </row>
    <row r="115" spans="1:12">
      <c r="A115" s="181" t="str">
        <f>Table1[[#This Row],[Acronym]]</f>
        <v>TMS</v>
      </c>
      <c r="B115" s="181" t="str">
        <f>Table1[[#This Row],[BON code]]</f>
        <v>CWW20A_051_PR24</v>
      </c>
      <c r="C115" s="181" t="str">
        <f>Table1[[#This Row],[Item Description]]</f>
        <v>Network / Storm overflow data - Number of new MCERTs flow monitors (PFF) installed at SPSs with combined emergency and storm overflows.</v>
      </c>
      <c r="D115" s="188" t="s">
        <v>85</v>
      </c>
      <c r="E115" s="192">
        <f ca="1">IF('F_Input Override'!E115="",'Consolidated Input'!E115,'F_Input Override'!E115)</f>
        <v>0</v>
      </c>
      <c r="F115" s="192">
        <f ca="1">IF('F_Input Override'!F115="",'Consolidated Input'!F115,'F_Input Override'!F115)</f>
        <v>0</v>
      </c>
      <c r="G115" s="192">
        <f ca="1">IF('F_Input Override'!G115="",'Consolidated Input'!G115,'F_Input Override'!G115)</f>
        <v>0</v>
      </c>
      <c r="H115" s="192">
        <f ca="1">IF('F_Input Override'!H115="",'Consolidated Input'!H115,'F_Input Override'!H115)</f>
        <v>0</v>
      </c>
      <c r="I115" s="192">
        <f ca="1">IF('F_Input Override'!I115="",'Consolidated Input'!I115,'F_Input Override'!I115)</f>
        <v>0</v>
      </c>
      <c r="J115" s="192">
        <f ca="1">IF('F_Input Override'!J115="",'Consolidated Input'!J115,'F_Input Override'!J115)</f>
        <v>0</v>
      </c>
      <c r="K115" s="189">
        <f ca="1">IF('F_Input Override'!K115="",'Consolidated Input'!K115,'F_Input Override'!K115)</f>
        <v>0</v>
      </c>
      <c r="L115" s="193">
        <f ca="1">SUM(Table3[[#This Row],[2023-24]:[2029-30]])</f>
        <v>0</v>
      </c>
    </row>
    <row r="116" spans="1:12">
      <c r="A116" s="181" t="str">
        <f>Table1[[#This Row],[Acronym]]</f>
        <v>TMS</v>
      </c>
      <c r="B116" s="181" t="str">
        <f>Table1[[#This Row],[BON code]]</f>
        <v>CWW1A_015TOT_PR24</v>
      </c>
      <c r="C116" s="181" t="str">
        <f>Table1[[#This Row],[Item Description]]</f>
        <v>Net totex - Total</v>
      </c>
      <c r="D116" s="188" t="s">
        <v>85</v>
      </c>
      <c r="E116" s="192">
        <f ca="1">IF('F_Input Override'!E116="",'Consolidated Input'!E116,'F_Input Override'!E116)</f>
        <v>0</v>
      </c>
      <c r="F116" s="192">
        <f ca="1">IF('F_Input Override'!F116="",'Consolidated Input'!F116,'F_Input Override'!F116)</f>
        <v>0</v>
      </c>
      <c r="G116" s="192">
        <f ca="1">IF('F_Input Override'!G116="",'Consolidated Input'!G116,'F_Input Override'!G116)</f>
        <v>2156.088348550431</v>
      </c>
      <c r="H116" s="192">
        <f ca="1">IF('F_Input Override'!H116="",'Consolidated Input'!H116,'F_Input Override'!H116)</f>
        <v>2269.5018217217062</v>
      </c>
      <c r="I116" s="192">
        <f ca="1">IF('F_Input Override'!I116="",'Consolidated Input'!I116,'F_Input Override'!I116)</f>
        <v>2162.2729400750991</v>
      </c>
      <c r="J116" s="192">
        <f ca="1">IF('F_Input Override'!J116="",'Consolidated Input'!J116,'F_Input Override'!J116)</f>
        <v>2632.1222877084529</v>
      </c>
      <c r="K116" s="189">
        <f ca="1">IF('F_Input Override'!K116="",'Consolidated Input'!K116,'F_Input Override'!K116)</f>
        <v>3555.488399766793</v>
      </c>
      <c r="L116" s="193">
        <f ca="1">SUM(Table3[[#This Row],[2023-24]:[2029-30]])</f>
        <v>12775.473797822482</v>
      </c>
    </row>
    <row r="117" spans="1:12">
      <c r="A117" s="181" t="str">
        <f>Table1[[#This Row],[Acronym]]</f>
        <v>NWT</v>
      </c>
      <c r="B117" s="181" t="str">
        <f>Table1[[#This Row],[BON code]]</f>
        <v>CWW3_010TOT_PR24</v>
      </c>
      <c r="C117" s="181" t="str">
        <f>Table1[[#This Row],[Item Description]]</f>
        <v>EA/NRW environmental programme wastewater (WINEP/NEP) - MCERTs monitoring at emergency sewage pumping station overflows (WINEP/NEP) wastewater capex - Total</v>
      </c>
      <c r="D117" s="188" t="s">
        <v>85</v>
      </c>
      <c r="E117" s="192">
        <f ca="1">IF('F_Input Override'!E117="",'Consolidated Input'!E117,'F_Input Override'!E117)</f>
        <v>0</v>
      </c>
      <c r="F117" s="192">
        <f ca="1">IF('F_Input Override'!F117="",'Consolidated Input'!F117,'F_Input Override'!F117)</f>
        <v>0</v>
      </c>
      <c r="G117" s="192">
        <f>IF('F_Input Override'!G117="",'Consolidated Input'!G117,'F_Input Override'!G117)</f>
        <v>4.0075982999999997</v>
      </c>
      <c r="H117" s="192">
        <f>IF('F_Input Override'!H117="",'Consolidated Input'!H117,'F_Input Override'!H117)</f>
        <v>4.0807054000000003</v>
      </c>
      <c r="I117" s="192">
        <f>IF('F_Input Override'!I117="",'Consolidated Input'!I117,'F_Input Override'!I117)</f>
        <v>4.0275366000000004</v>
      </c>
      <c r="J117" s="192">
        <f>IF('F_Input Override'!J117="",'Consolidated Input'!J117,'F_Input Override'!J117)</f>
        <v>21.134598</v>
      </c>
      <c r="K117" s="189">
        <f>IF('F_Input Override'!K117="",'Consolidated Input'!K117,'F_Input Override'!K117)</f>
        <v>33.2105617</v>
      </c>
      <c r="L117" s="193">
        <f ca="1">SUM(Table3[[#This Row],[2023-24]:[2029-30]])</f>
        <v>66.460999999999999</v>
      </c>
    </row>
    <row r="118" spans="1:12">
      <c r="A118" s="181" t="str">
        <f>Table1[[#This Row],[Acronym]]</f>
        <v>NWT</v>
      </c>
      <c r="B118" s="181" t="str">
        <f>Table1[[#This Row],[BON code]]</f>
        <v>CWW3_011TOT_PR24</v>
      </c>
      <c r="C118" s="181" t="str">
        <f>Table1[[#This Row],[Item Description]]</f>
        <v>EA/NRW environmental programme wastewater (WINEP/NEP) - MCERTs monitoring at emergency sewage pumping station overflows (WINEP/NEP) wastewater opex - Total</v>
      </c>
      <c r="D118" s="188" t="s">
        <v>99</v>
      </c>
      <c r="E118" s="192">
        <f ca="1">IF('F_Input Override'!E118="",'Consolidated Input'!E118,'F_Input Override'!E118)</f>
        <v>0</v>
      </c>
      <c r="F118" s="192">
        <f ca="1">IF('F_Input Override'!F118="",'Consolidated Input'!F118,'F_Input Override'!F118)</f>
        <v>0</v>
      </c>
      <c r="G118" s="192">
        <f>IF('F_Input Override'!G118="",'Consolidated Input'!G118,'F_Input Override'!G118)</f>
        <v>0.69400000000000006</v>
      </c>
      <c r="H118" s="192">
        <f>IF('F_Input Override'!H118="",'Consolidated Input'!H118,'F_Input Override'!H118)</f>
        <v>0.69400000000000006</v>
      </c>
      <c r="I118" s="192">
        <f>IF('F_Input Override'!I118="",'Consolidated Input'!I118,'F_Input Override'!I118)</f>
        <v>0.69400000000000006</v>
      </c>
      <c r="J118" s="192">
        <f>IF('F_Input Override'!J118="",'Consolidated Input'!J118,'F_Input Override'!J118)</f>
        <v>0.69400000000000006</v>
      </c>
      <c r="K118" s="189">
        <f>IF('F_Input Override'!K118="",'Consolidated Input'!K118,'F_Input Override'!K118)</f>
        <v>0.69400000000000006</v>
      </c>
      <c r="L118" s="193">
        <f ca="1">SUM(Table3[[#This Row],[2023-24]:[2029-30]])</f>
        <v>3.47</v>
      </c>
    </row>
    <row r="119" spans="1:12">
      <c r="A119" s="181" t="str">
        <f>Table1[[#This Row],[Acronym]]</f>
        <v>NWT</v>
      </c>
      <c r="B119" s="181" t="str">
        <f>Table1[[#This Row],[BON code]]</f>
        <v>CWW3_012TOT_PR24</v>
      </c>
      <c r="C119" s="181" t="str">
        <f>Table1[[#This Row],[Item Description]]</f>
        <v>EA/NRW environmental programme wastewater (WINEP/NEP) - MCERTs monitoring at emergency sewage pumping station overflows (WINEP/NEP) wastewater totex - Total</v>
      </c>
      <c r="D119" s="188" t="s">
        <v>99</v>
      </c>
      <c r="E119" s="192">
        <f ca="1">IF('F_Input Override'!E119="",'Consolidated Input'!E119,'F_Input Override'!E119)</f>
        <v>0</v>
      </c>
      <c r="F119" s="192">
        <f ca="1">IF('F_Input Override'!F119="",'Consolidated Input'!F119,'F_Input Override'!F119)</f>
        <v>0</v>
      </c>
      <c r="G119" s="192">
        <f>IF('F_Input Override'!G119="",'Consolidated Input'!G119,'F_Input Override'!G119)</f>
        <v>4.7015982999999997</v>
      </c>
      <c r="H119" s="192">
        <f>IF('F_Input Override'!H119="",'Consolidated Input'!H119,'F_Input Override'!H119)</f>
        <v>4.7747054000000002</v>
      </c>
      <c r="I119" s="192">
        <f>IF('F_Input Override'!I119="",'Consolidated Input'!I119,'F_Input Override'!I119)</f>
        <v>4.7215366000000003</v>
      </c>
      <c r="J119" s="192">
        <f>IF('F_Input Override'!J119="",'Consolidated Input'!J119,'F_Input Override'!J119)</f>
        <v>21.828598</v>
      </c>
      <c r="K119" s="189">
        <f>IF('F_Input Override'!K119="",'Consolidated Input'!K119,'F_Input Override'!K119)</f>
        <v>33.904561700000002</v>
      </c>
      <c r="L119" s="193">
        <f ca="1">SUM(Table3[[#This Row],[2023-24]:[2029-30]])</f>
        <v>69.930999999999997</v>
      </c>
    </row>
    <row r="120" spans="1:12">
      <c r="A120" s="181" t="str">
        <f>Table1[[#This Row],[Acronym]]</f>
        <v>NWT</v>
      </c>
      <c r="B120" s="181" t="str">
        <f>Table1[[#This Row],[BON code]]</f>
        <v>CWW12_010TOT_PR24</v>
      </c>
      <c r="C120" s="181" t="str">
        <f>Table1[[#This Row],[Item Description]]</f>
        <v>EA/NRW environmental programme wastewater (WINEP/NEP) - MCERTs monitoring at emergency sewage pumping station overflows (WINEP/NEP) wastewater capex - Total</v>
      </c>
      <c r="D120" s="188" t="s">
        <v>99</v>
      </c>
      <c r="E120" s="192">
        <f ca="1">IF('F_Input Override'!E120="",'Consolidated Input'!E120,'F_Input Override'!E120)</f>
        <v>0</v>
      </c>
      <c r="F120" s="192">
        <f ca="1">IF('F_Input Override'!F120="",'Consolidated Input'!F120,'F_Input Override'!F120)</f>
        <v>0</v>
      </c>
      <c r="G120" s="192">
        <f ca="1">IF('F_Input Override'!G120="",'Consolidated Input'!G120,'F_Input Override'!G120)</f>
        <v>0</v>
      </c>
      <c r="H120" s="192">
        <f ca="1">IF('F_Input Override'!H120="",'Consolidated Input'!H120,'F_Input Override'!H120)</f>
        <v>0</v>
      </c>
      <c r="I120" s="192">
        <f ca="1">IF('F_Input Override'!I120="",'Consolidated Input'!I120,'F_Input Override'!I120)</f>
        <v>0</v>
      </c>
      <c r="J120" s="192">
        <f ca="1">IF('F_Input Override'!J120="",'Consolidated Input'!J120,'F_Input Override'!J120)</f>
        <v>0</v>
      </c>
      <c r="K120" s="189">
        <f ca="1">IF('F_Input Override'!K120="",'Consolidated Input'!K120,'F_Input Override'!K120)</f>
        <v>0</v>
      </c>
      <c r="L120" s="193">
        <f ca="1">SUM(Table3[[#This Row],[2023-24]:[2029-30]])</f>
        <v>0</v>
      </c>
    </row>
    <row r="121" spans="1:12">
      <c r="A121" s="181" t="str">
        <f>Table1[[#This Row],[Acronym]]</f>
        <v>NWT</v>
      </c>
      <c r="B121" s="181" t="str">
        <f>Table1[[#This Row],[BON code]]</f>
        <v>CWW12_011TOT_PR24</v>
      </c>
      <c r="C121" s="181" t="str">
        <f>Table1[[#This Row],[Item Description]]</f>
        <v>EA/NRW environmental programme wastewater (WINEP/NEP) - MCERTs monitoring at emergency sewage pumping station overflows (WINEP/NEP) wastewater opex - Total</v>
      </c>
      <c r="D121" s="188" t="s">
        <v>99</v>
      </c>
      <c r="E121" s="192">
        <f ca="1">IF('F_Input Override'!E121="",'Consolidated Input'!E121,'F_Input Override'!E121)</f>
        <v>0</v>
      </c>
      <c r="F121" s="192">
        <f ca="1">IF('F_Input Override'!F121="",'Consolidated Input'!F121,'F_Input Override'!F121)</f>
        <v>0</v>
      </c>
      <c r="G121" s="192">
        <f ca="1">IF('F_Input Override'!G121="",'Consolidated Input'!G121,'F_Input Override'!G121)</f>
        <v>0</v>
      </c>
      <c r="H121" s="192">
        <f ca="1">IF('F_Input Override'!H121="",'Consolidated Input'!H121,'F_Input Override'!H121)</f>
        <v>0</v>
      </c>
      <c r="I121" s="192">
        <f ca="1">IF('F_Input Override'!I121="",'Consolidated Input'!I121,'F_Input Override'!I121)</f>
        <v>0</v>
      </c>
      <c r="J121" s="192">
        <f ca="1">IF('F_Input Override'!J121="",'Consolidated Input'!J121,'F_Input Override'!J121)</f>
        <v>0</v>
      </c>
      <c r="K121" s="189">
        <f ca="1">IF('F_Input Override'!K121="",'Consolidated Input'!K121,'F_Input Override'!K121)</f>
        <v>0</v>
      </c>
      <c r="L121" s="193">
        <f ca="1">SUM(Table3[[#This Row],[2023-24]:[2029-30]])</f>
        <v>0</v>
      </c>
    </row>
    <row r="122" spans="1:12">
      <c r="A122" s="181" t="str">
        <f>Table1[[#This Row],[Acronym]]</f>
        <v>NWT</v>
      </c>
      <c r="B122" s="181" t="str">
        <f>Table1[[#This Row],[BON code]]</f>
        <v>CWW12_012TOT_PR24</v>
      </c>
      <c r="C122" s="181" t="str">
        <f>Table1[[#This Row],[Item Description]]</f>
        <v>EA/NRW environmental programme wastewater (WINEP/NEP) - MCERTs monitoring at emergency sewage pumping station overflows (WINEP/NEP) wastewater totex - Total</v>
      </c>
      <c r="D122" s="188" t="s">
        <v>85</v>
      </c>
      <c r="E122" s="192">
        <f ca="1">IF('F_Input Override'!E122="",'Consolidated Input'!E122,'F_Input Override'!E122)</f>
        <v>0</v>
      </c>
      <c r="F122" s="192">
        <f ca="1">IF('F_Input Override'!F122="",'Consolidated Input'!F122,'F_Input Override'!F122)</f>
        <v>0</v>
      </c>
      <c r="G122" s="192">
        <f ca="1">IF('F_Input Override'!G122="",'Consolidated Input'!G122,'F_Input Override'!G122)</f>
        <v>0</v>
      </c>
      <c r="H122" s="192">
        <f ca="1">IF('F_Input Override'!H122="",'Consolidated Input'!H122,'F_Input Override'!H122)</f>
        <v>0</v>
      </c>
      <c r="I122" s="192">
        <f ca="1">IF('F_Input Override'!I122="",'Consolidated Input'!I122,'F_Input Override'!I122)</f>
        <v>0</v>
      </c>
      <c r="J122" s="192">
        <f ca="1">IF('F_Input Override'!J122="",'Consolidated Input'!J122,'F_Input Override'!J122)</f>
        <v>0</v>
      </c>
      <c r="K122" s="189">
        <f ca="1">IF('F_Input Override'!K122="",'Consolidated Input'!K122,'F_Input Override'!K122)</f>
        <v>0</v>
      </c>
      <c r="L122" s="193">
        <f ca="1">SUM(Table3[[#This Row],[2023-24]:[2029-30]])</f>
        <v>0</v>
      </c>
    </row>
    <row r="123" spans="1:12">
      <c r="A123" s="181" t="str">
        <f>Table1[[#This Row],[Acronym]]</f>
        <v>NWT</v>
      </c>
      <c r="B123" s="181" t="str">
        <f>Table1[[#This Row],[BON code]]</f>
        <v>CWW17_010TOT_PR24</v>
      </c>
      <c r="C123" s="181" t="str">
        <f>Table1[[#This Row],[Item Description]]</f>
        <v>EA/NRW environmental programme wastewater (WINEP/NEP) - MCERTs monitoring at emergency sewage pumping station overflows (WINEP/NEP) wastewater capex - Total</v>
      </c>
      <c r="D123" s="188" t="s">
        <v>85</v>
      </c>
      <c r="E123" s="192">
        <f ca="1">IF('F_Input Override'!E123="",'Consolidated Input'!E123,'F_Input Override'!E123)</f>
        <v>0</v>
      </c>
      <c r="F123" s="192">
        <f ca="1">IF('F_Input Override'!F123="",'Consolidated Input'!F123,'F_Input Override'!F123)</f>
        <v>0</v>
      </c>
      <c r="G123" s="192">
        <f ca="1">IF('F_Input Override'!G123="",'Consolidated Input'!G123,'F_Input Override'!G123)</f>
        <v>0</v>
      </c>
      <c r="H123" s="192">
        <f ca="1">IF('F_Input Override'!H123="",'Consolidated Input'!H123,'F_Input Override'!H123)</f>
        <v>0</v>
      </c>
      <c r="I123" s="192">
        <f ca="1">IF('F_Input Override'!I123="",'Consolidated Input'!I123,'F_Input Override'!I123)</f>
        <v>0</v>
      </c>
      <c r="J123" s="192">
        <f ca="1">IF('F_Input Override'!J123="",'Consolidated Input'!J123,'F_Input Override'!J123)</f>
        <v>0</v>
      </c>
      <c r="K123" s="189">
        <f ca="1">IF('F_Input Override'!K123="",'Consolidated Input'!K123,'F_Input Override'!K123)</f>
        <v>0</v>
      </c>
      <c r="L123" s="193">
        <f ca="1">SUM(Table3[[#This Row],[2023-24]:[2029-30]])</f>
        <v>0</v>
      </c>
    </row>
    <row r="124" spans="1:12">
      <c r="A124" s="181" t="str">
        <f>Table1[[#This Row],[Acronym]]</f>
        <v>NWT</v>
      </c>
      <c r="B124" s="181" t="str">
        <f>Table1[[#This Row],[BON code]]</f>
        <v>CWW17_011TOT_PR24</v>
      </c>
      <c r="C124" s="181" t="str">
        <f>Table1[[#This Row],[Item Description]]</f>
        <v>EA/NRW environmental programme wastewater (WINEP/NEP) - MCERTs monitoring at emergency sewage pumping station overflows (WINEP/NEP) wastewater opex - Total</v>
      </c>
      <c r="D124" s="188" t="s">
        <v>85</v>
      </c>
      <c r="E124" s="192">
        <f ca="1">IF('F_Input Override'!E124="",'Consolidated Input'!E124,'F_Input Override'!E124)</f>
        <v>0</v>
      </c>
      <c r="F124" s="192">
        <f ca="1">IF('F_Input Override'!F124="",'Consolidated Input'!F124,'F_Input Override'!F124)</f>
        <v>0</v>
      </c>
      <c r="G124" s="192">
        <f ca="1">IF('F_Input Override'!G124="",'Consolidated Input'!G124,'F_Input Override'!G124)</f>
        <v>0</v>
      </c>
      <c r="H124" s="192">
        <f ca="1">IF('F_Input Override'!H124="",'Consolidated Input'!H124,'F_Input Override'!H124)</f>
        <v>0</v>
      </c>
      <c r="I124" s="192">
        <f ca="1">IF('F_Input Override'!I124="",'Consolidated Input'!I124,'F_Input Override'!I124)</f>
        <v>0</v>
      </c>
      <c r="J124" s="192">
        <f ca="1">IF('F_Input Override'!J124="",'Consolidated Input'!J124,'F_Input Override'!J124)</f>
        <v>0</v>
      </c>
      <c r="K124" s="189">
        <f ca="1">IF('F_Input Override'!K124="",'Consolidated Input'!K124,'F_Input Override'!K124)</f>
        <v>0</v>
      </c>
      <c r="L124" s="193">
        <f ca="1">SUM(Table3[[#This Row],[2023-24]:[2029-30]])</f>
        <v>0</v>
      </c>
    </row>
    <row r="125" spans="1:12">
      <c r="A125" s="181" t="str">
        <f>Table1[[#This Row],[Acronym]]</f>
        <v>NWT</v>
      </c>
      <c r="B125" s="181" t="str">
        <f>Table1[[#This Row],[BON code]]</f>
        <v>CWW17_012TOT_PR24</v>
      </c>
      <c r="C125" s="181" t="str">
        <f>Table1[[#This Row],[Item Description]]</f>
        <v>EA/NRW environmental programme wastewater (WINEP/NEP) - MCERTs monitoring at emergency sewage pumping station overflows (WINEP/NEP) wastewater totex - Total</v>
      </c>
      <c r="D125" s="188" t="s">
        <v>85</v>
      </c>
      <c r="E125" s="192">
        <f ca="1">IF('F_Input Override'!E125="",'Consolidated Input'!E125,'F_Input Override'!E125)</f>
        <v>0</v>
      </c>
      <c r="F125" s="192">
        <f ca="1">IF('F_Input Override'!F125="",'Consolidated Input'!F125,'F_Input Override'!F125)</f>
        <v>0</v>
      </c>
      <c r="G125" s="192">
        <f ca="1">IF('F_Input Override'!G125="",'Consolidated Input'!G125,'F_Input Override'!G125)</f>
        <v>0</v>
      </c>
      <c r="H125" s="192">
        <f ca="1">IF('F_Input Override'!H125="",'Consolidated Input'!H125,'F_Input Override'!H125)</f>
        <v>0</v>
      </c>
      <c r="I125" s="192">
        <f ca="1">IF('F_Input Override'!I125="",'Consolidated Input'!I125,'F_Input Override'!I125)</f>
        <v>0</v>
      </c>
      <c r="J125" s="192">
        <f ca="1">IF('F_Input Override'!J125="",'Consolidated Input'!J125,'F_Input Override'!J125)</f>
        <v>0</v>
      </c>
      <c r="K125" s="189">
        <f ca="1">IF('F_Input Override'!K125="",'Consolidated Input'!K125,'F_Input Override'!K125)</f>
        <v>0</v>
      </c>
      <c r="L125" s="193">
        <f ca="1">SUM(Table3[[#This Row],[2023-24]:[2029-30]])</f>
        <v>0</v>
      </c>
    </row>
    <row r="126" spans="1:12">
      <c r="A126" s="181" t="str">
        <f>Table1[[#This Row],[Acronym]]</f>
        <v>NWT</v>
      </c>
      <c r="B126" s="181" t="str">
        <f>Table1[[#This Row],[BON code]]</f>
        <v>CWW20_050_PR24</v>
      </c>
      <c r="C126" s="181" t="str">
        <f>Table1[[#This Row],[Item Description]]</f>
        <v>Network / Storm overflow data - Number of new MCERTs event duration monitors installed at SPS emergency overflows</v>
      </c>
      <c r="D126" s="188" t="s">
        <v>85</v>
      </c>
      <c r="E126" s="192">
        <f ca="1">IF('F_Input Override'!E126="",'Consolidated Input'!E126,'F_Input Override'!E126)</f>
        <v>0</v>
      </c>
      <c r="F126" s="192">
        <f ca="1">IF('F_Input Override'!F126="",'Consolidated Input'!F126,'F_Input Override'!F126)</f>
        <v>0</v>
      </c>
      <c r="G126" s="192">
        <f ca="1">IF('F_Input Override'!G126="",'Consolidated Input'!G126,'F_Input Override'!G126)</f>
        <v>0</v>
      </c>
      <c r="H126" s="192">
        <f ca="1">IF('F_Input Override'!H126="",'Consolidated Input'!H126,'F_Input Override'!H126)</f>
        <v>0</v>
      </c>
      <c r="I126" s="192">
        <f ca="1">IF('F_Input Override'!I126="",'Consolidated Input'!I126,'F_Input Override'!I126)</f>
        <v>0</v>
      </c>
      <c r="J126" s="192">
        <f ca="1">IF('F_Input Override'!J126="",'Consolidated Input'!J126,'F_Input Override'!J126)</f>
        <v>0</v>
      </c>
      <c r="K126" s="189">
        <f ca="1">IF('F_Input Override'!K126="",'Consolidated Input'!K126,'F_Input Override'!K126)</f>
        <v>237</v>
      </c>
      <c r="L126" s="193">
        <f ca="1">SUM(Table3[[#This Row],[2023-24]:[2029-30]])</f>
        <v>237</v>
      </c>
    </row>
    <row r="127" spans="1:12">
      <c r="A127" s="181" t="str">
        <f>Table1[[#This Row],[Acronym]]</f>
        <v>NWT</v>
      </c>
      <c r="B127" s="181" t="str">
        <f>Table1[[#This Row],[BON code]]</f>
        <v>CWW20_051_PR24</v>
      </c>
      <c r="C127" s="181" t="str">
        <f>Table1[[#This Row],[Item Description]]</f>
        <v>Network / Storm overflow data - Number of new MCERTs flow monitors (PFF) installed at SPSs with combined emergency and storm overflows.</v>
      </c>
      <c r="D127" s="188" t="s">
        <v>85</v>
      </c>
      <c r="E127" s="192">
        <f ca="1">IF('F_Input Override'!E127="",'Consolidated Input'!E127,'F_Input Override'!E127)</f>
        <v>0</v>
      </c>
      <c r="F127" s="192">
        <f ca="1">IF('F_Input Override'!F127="",'Consolidated Input'!F127,'F_Input Override'!F127)</f>
        <v>0</v>
      </c>
      <c r="G127" s="192">
        <f ca="1">IF('F_Input Override'!G127="",'Consolidated Input'!G127,'F_Input Override'!G127)</f>
        <v>0</v>
      </c>
      <c r="H127" s="192">
        <f ca="1">IF('F_Input Override'!H127="",'Consolidated Input'!H127,'F_Input Override'!H127)</f>
        <v>0</v>
      </c>
      <c r="I127" s="192">
        <f ca="1">IF('F_Input Override'!I127="",'Consolidated Input'!I127,'F_Input Override'!I127)</f>
        <v>0</v>
      </c>
      <c r="J127" s="192">
        <f ca="1">IF('F_Input Override'!J127="",'Consolidated Input'!J127,'F_Input Override'!J127)</f>
        <v>0</v>
      </c>
      <c r="K127" s="189">
        <f ca="1">IF('F_Input Override'!K127="",'Consolidated Input'!K127,'F_Input Override'!K127)</f>
        <v>90</v>
      </c>
      <c r="L127" s="193">
        <f ca="1">SUM(Table3[[#This Row],[2023-24]:[2029-30]])</f>
        <v>90</v>
      </c>
    </row>
    <row r="128" spans="1:12">
      <c r="A128" s="181" t="str">
        <f>Table1[[#This Row],[Acronym]]</f>
        <v>NWT</v>
      </c>
      <c r="B128" s="181" t="str">
        <f>Table1[[#This Row],[BON code]]</f>
        <v>CWW20A_050_PR24</v>
      </c>
      <c r="C128" s="181" t="str">
        <f>Table1[[#This Row],[Item Description]]</f>
        <v>Network / Storm overflow data - Number of new MCERTs event duration monitors installed at SPS emergency overflows</v>
      </c>
      <c r="D128" s="188" t="s">
        <v>85</v>
      </c>
      <c r="E128" s="192">
        <f ca="1">IF('F_Input Override'!E128="",'Consolidated Input'!E128,'F_Input Override'!E128)</f>
        <v>0</v>
      </c>
      <c r="F128" s="192">
        <f ca="1">IF('F_Input Override'!F128="",'Consolidated Input'!F128,'F_Input Override'!F128)</f>
        <v>0</v>
      </c>
      <c r="G128" s="192">
        <f ca="1">IF('F_Input Override'!G128="",'Consolidated Input'!G128,'F_Input Override'!G128)</f>
        <v>0</v>
      </c>
      <c r="H128" s="192">
        <f ca="1">IF('F_Input Override'!H128="",'Consolidated Input'!H128,'F_Input Override'!H128)</f>
        <v>0</v>
      </c>
      <c r="I128" s="192">
        <f ca="1">IF('F_Input Override'!I128="",'Consolidated Input'!I128,'F_Input Override'!I128)</f>
        <v>0</v>
      </c>
      <c r="J128" s="192">
        <f ca="1">IF('F_Input Override'!J128="",'Consolidated Input'!J128,'F_Input Override'!J128)</f>
        <v>0</v>
      </c>
      <c r="K128" s="189">
        <f ca="1">IF('F_Input Override'!K128="",'Consolidated Input'!K128,'F_Input Override'!K128)</f>
        <v>0</v>
      </c>
      <c r="L128" s="193">
        <f ca="1">SUM(Table3[[#This Row],[2023-24]:[2029-30]])</f>
        <v>0</v>
      </c>
    </row>
    <row r="129" spans="1:12">
      <c r="A129" s="181" t="str">
        <f>Table1[[#This Row],[Acronym]]</f>
        <v>NWT</v>
      </c>
      <c r="B129" s="181" t="str">
        <f>Table1[[#This Row],[BON code]]</f>
        <v>CWW20A_051_PR24</v>
      </c>
      <c r="C129" s="181" t="str">
        <f>Table1[[#This Row],[Item Description]]</f>
        <v>Network / Storm overflow data - Number of new MCERTs flow monitors (PFF) installed at SPSs with combined emergency and storm overflows.</v>
      </c>
      <c r="D129" s="188" t="s">
        <v>85</v>
      </c>
      <c r="E129" s="192">
        <f ca="1">IF('F_Input Override'!E129="",'Consolidated Input'!E129,'F_Input Override'!E129)</f>
        <v>0</v>
      </c>
      <c r="F129" s="192">
        <f ca="1">IF('F_Input Override'!F129="",'Consolidated Input'!F129,'F_Input Override'!F129)</f>
        <v>0</v>
      </c>
      <c r="G129" s="192">
        <f ca="1">IF('F_Input Override'!G129="",'Consolidated Input'!G129,'F_Input Override'!G129)</f>
        <v>0</v>
      </c>
      <c r="H129" s="192">
        <f ca="1">IF('F_Input Override'!H129="",'Consolidated Input'!H129,'F_Input Override'!H129)</f>
        <v>0</v>
      </c>
      <c r="I129" s="192">
        <f ca="1">IF('F_Input Override'!I129="",'Consolidated Input'!I129,'F_Input Override'!I129)</f>
        <v>0</v>
      </c>
      <c r="J129" s="192">
        <f ca="1">IF('F_Input Override'!J129="",'Consolidated Input'!J129,'F_Input Override'!J129)</f>
        <v>0</v>
      </c>
      <c r="K129" s="189">
        <f ca="1">IF('F_Input Override'!K129="",'Consolidated Input'!K129,'F_Input Override'!K129)</f>
        <v>0</v>
      </c>
      <c r="L129" s="193">
        <f ca="1">SUM(Table3[[#This Row],[2023-24]:[2029-30]])</f>
        <v>0</v>
      </c>
    </row>
    <row r="130" spans="1:12" ht="17.25" customHeight="1">
      <c r="A130" s="181" t="str">
        <f>Table1[[#This Row],[Acronym]]</f>
        <v>NWT</v>
      </c>
      <c r="B130" s="181" t="str">
        <f>Table1[[#This Row],[BON code]]</f>
        <v>CWW1A_015TOT_PR24</v>
      </c>
      <c r="C130" s="181" t="str">
        <f>Table1[[#This Row],[Item Description]]</f>
        <v>Net totex - Total</v>
      </c>
      <c r="D130" s="188" t="s">
        <v>85</v>
      </c>
      <c r="E130" s="192">
        <f ca="1">IF('F_Input Override'!E130="",'Consolidated Input'!E130,'F_Input Override'!E130)</f>
        <v>0</v>
      </c>
      <c r="F130" s="192">
        <f ca="1">IF('F_Input Override'!F130="",'Consolidated Input'!F130,'F_Input Override'!F130)</f>
        <v>0</v>
      </c>
      <c r="G130" s="192">
        <f ca="1">IF('F_Input Override'!G130="",'Consolidated Input'!G130,'F_Input Override'!G130)</f>
        <v>1569.795902040561</v>
      </c>
      <c r="H130" s="192">
        <f ca="1">IF('F_Input Override'!H130="",'Consolidated Input'!H130,'F_Input Override'!H130)</f>
        <v>1881.302270640045</v>
      </c>
      <c r="I130" s="192">
        <f ca="1">IF('F_Input Override'!I130="",'Consolidated Input'!I130,'F_Input Override'!I130)</f>
        <v>2189.086577264356</v>
      </c>
      <c r="J130" s="192">
        <f ca="1">IF('F_Input Override'!J130="",'Consolidated Input'!J130,'F_Input Override'!J130)</f>
        <v>1888.0217791000509</v>
      </c>
      <c r="K130" s="189">
        <f ca="1">IF('F_Input Override'!K130="",'Consolidated Input'!K130,'F_Input Override'!K130)</f>
        <v>1139.8668159399281</v>
      </c>
      <c r="L130" s="193">
        <f ca="1">SUM(Table3[[#This Row],[2023-24]:[2029-30]])</f>
        <v>8668.0733449849395</v>
      </c>
    </row>
    <row r="131" spans="1:12">
      <c r="A131" s="181" t="str">
        <f>Table1[[#This Row],[Acronym]]</f>
        <v>WSX</v>
      </c>
      <c r="B131" s="181" t="str">
        <f>Table1[[#This Row],[BON code]]</f>
        <v>CWW3_010TOT_PR24</v>
      </c>
      <c r="C131" s="181" t="str">
        <f>Table1[[#This Row],[Item Description]]</f>
        <v>EA/NRW environmental programme wastewater (WINEP/NEP) - MCERTs monitoring at emergency sewage pumping station overflows (WINEP/NEP) wastewater capex - Total</v>
      </c>
      <c r="D131" s="188" t="s">
        <v>99</v>
      </c>
      <c r="E131" s="192">
        <f ca="1">IF('F_Input Override'!E131="",'Consolidated Input'!E131,'F_Input Override'!E131)</f>
        <v>0</v>
      </c>
      <c r="F131" s="192">
        <f ca="1">IF('F_Input Override'!F131="",'Consolidated Input'!F131,'F_Input Override'!F131)</f>
        <v>0</v>
      </c>
      <c r="G131" s="192">
        <f>IF('F_Input Override'!G131="",'Consolidated Input'!G131,'F_Input Override'!G131)</f>
        <v>3.3440496</v>
      </c>
      <c r="H131" s="192">
        <f>IF('F_Input Override'!H131="",'Consolidated Input'!H131,'F_Input Override'!H131)</f>
        <v>3.3596759999999999</v>
      </c>
      <c r="I131" s="192">
        <f>IF('F_Input Override'!I131="",'Consolidated Input'!I131,'F_Input Override'!I131)</f>
        <v>4.2210812999999998</v>
      </c>
      <c r="J131" s="192">
        <f>IF('F_Input Override'!J131="",'Consolidated Input'!J131,'F_Input Override'!J131)</f>
        <v>4.2425676000000001</v>
      </c>
      <c r="K131" s="189">
        <f>IF('F_Input Override'!K131="",'Consolidated Input'!K131,'F_Input Override'!K131)</f>
        <v>4.3656255000000002</v>
      </c>
      <c r="L131" s="193">
        <f ca="1">SUM(Table3[[#This Row],[2023-24]:[2029-30]])</f>
        <v>19.533000000000001</v>
      </c>
    </row>
    <row r="132" spans="1:12">
      <c r="A132" s="181" t="str">
        <f>Table1[[#This Row],[Acronym]]</f>
        <v>WSX</v>
      </c>
      <c r="B132" s="181" t="str">
        <f>Table1[[#This Row],[BON code]]</f>
        <v>CWW3_011TOT_PR24</v>
      </c>
      <c r="C132" s="181" t="str">
        <f>Table1[[#This Row],[Item Description]]</f>
        <v>EA/NRW environmental programme wastewater (WINEP/NEP) - MCERTs monitoring at emergency sewage pumping station overflows (WINEP/NEP) wastewater opex - Total</v>
      </c>
      <c r="D132" s="188" t="s">
        <v>99</v>
      </c>
      <c r="E132" s="192">
        <f ca="1">IF('F_Input Override'!E132="",'Consolidated Input'!E132,'F_Input Override'!E132)</f>
        <v>0</v>
      </c>
      <c r="F132" s="192">
        <f ca="1">IF('F_Input Override'!F132="",'Consolidated Input'!F132,'F_Input Override'!F132)</f>
        <v>0</v>
      </c>
      <c r="G132" s="192">
        <f ca="1">IF('F_Input Override'!G132="",'Consolidated Input'!G132,'F_Input Override'!G132)</f>
        <v>0</v>
      </c>
      <c r="H132" s="192">
        <f>IF('F_Input Override'!H132="",'Consolidated Input'!H132,'F_Input Override'!H132)</f>
        <v>9.0742600000000007E-2</v>
      </c>
      <c r="I132" s="192">
        <f>IF('F_Input Override'!I132="",'Consolidated Input'!I132,'F_Input Override'!I132)</f>
        <v>0.1259258</v>
      </c>
      <c r="J132" s="192">
        <f>IF('F_Input Override'!J132="",'Consolidated Input'!J132,'F_Input Override'!J132)</f>
        <v>0.12654460000000001</v>
      </c>
      <c r="K132" s="189">
        <f>IF('F_Input Override'!K132="",'Consolidated Input'!K132,'F_Input Override'!K132)</f>
        <v>9.8787E-2</v>
      </c>
      <c r="L132" s="193">
        <f ca="1">SUM(Table3[[#This Row],[2023-24]:[2029-30]])</f>
        <v>0.442</v>
      </c>
    </row>
    <row r="133" spans="1:12">
      <c r="A133" s="181" t="str">
        <f>Table1[[#This Row],[Acronym]]</f>
        <v>WSX</v>
      </c>
      <c r="B133" s="181" t="str">
        <f>Table1[[#This Row],[BON code]]</f>
        <v>CWW3_012TOT_PR24</v>
      </c>
      <c r="C133" s="181" t="str">
        <f>Table1[[#This Row],[Item Description]]</f>
        <v>EA/NRW environmental programme wastewater (WINEP/NEP) - MCERTs monitoring at emergency sewage pumping station overflows (WINEP/NEP) wastewater totex - Total</v>
      </c>
      <c r="D133" s="188" t="s">
        <v>99</v>
      </c>
      <c r="E133" s="192">
        <f ca="1">IF('F_Input Override'!E133="",'Consolidated Input'!E133,'F_Input Override'!E133)</f>
        <v>0</v>
      </c>
      <c r="F133" s="192">
        <f ca="1">IF('F_Input Override'!F133="",'Consolidated Input'!F133,'F_Input Override'!F133)</f>
        <v>0</v>
      </c>
      <c r="G133" s="192">
        <f>IF('F_Input Override'!G133="",'Consolidated Input'!G133,'F_Input Override'!G133)</f>
        <v>3.3440496</v>
      </c>
      <c r="H133" s="192">
        <f>IF('F_Input Override'!H133="",'Consolidated Input'!H133,'F_Input Override'!H133)</f>
        <v>3.4504185999999999</v>
      </c>
      <c r="I133" s="192">
        <f>IF('F_Input Override'!I133="",'Consolidated Input'!I133,'F_Input Override'!I133)</f>
        <v>4.3470070999999999</v>
      </c>
      <c r="J133" s="192">
        <f>IF('F_Input Override'!J133="",'Consolidated Input'!J133,'F_Input Override'!J133)</f>
        <v>4.3691122</v>
      </c>
      <c r="K133" s="189">
        <f>IF('F_Input Override'!K133="",'Consolidated Input'!K133,'F_Input Override'!K133)</f>
        <v>4.4644124999999999</v>
      </c>
      <c r="L133" s="193">
        <f ca="1">SUM(Table3[[#This Row],[2023-24]:[2029-30]])</f>
        <v>19.975000000000001</v>
      </c>
    </row>
    <row r="134" spans="1:12">
      <c r="A134" s="181" t="str">
        <f>Table1[[#This Row],[Acronym]]</f>
        <v>WSX</v>
      </c>
      <c r="B134" s="181" t="str">
        <f>Table1[[#This Row],[BON code]]</f>
        <v>CWW12_010TOT_PR24</v>
      </c>
      <c r="C134" s="181" t="str">
        <f>Table1[[#This Row],[Item Description]]</f>
        <v>EA/NRW environmental programme wastewater (WINEP/NEP) - MCERTs monitoring at emergency sewage pumping station overflows (WINEP/NEP) wastewater capex - Total</v>
      </c>
      <c r="D134" s="188" t="s">
        <v>99</v>
      </c>
      <c r="E134" s="192">
        <f ca="1">IF('F_Input Override'!E134="",'Consolidated Input'!E134,'F_Input Override'!E134)</f>
        <v>0</v>
      </c>
      <c r="F134" s="192">
        <f ca="1">IF('F_Input Override'!F134="",'Consolidated Input'!F134,'F_Input Override'!F134)</f>
        <v>0</v>
      </c>
      <c r="G134" s="192">
        <f ca="1">IF('F_Input Override'!G134="",'Consolidated Input'!G134,'F_Input Override'!G134)</f>
        <v>0</v>
      </c>
      <c r="H134" s="192">
        <f ca="1">IF('F_Input Override'!H134="",'Consolidated Input'!H134,'F_Input Override'!H134)</f>
        <v>0</v>
      </c>
      <c r="I134" s="192">
        <f ca="1">IF('F_Input Override'!I134="",'Consolidated Input'!I134,'F_Input Override'!I134)</f>
        <v>0</v>
      </c>
      <c r="J134" s="192">
        <f ca="1">IF('F_Input Override'!J134="",'Consolidated Input'!J134,'F_Input Override'!J134)</f>
        <v>0</v>
      </c>
      <c r="K134" s="189">
        <f ca="1">IF('F_Input Override'!K134="",'Consolidated Input'!K134,'F_Input Override'!K134)</f>
        <v>0</v>
      </c>
      <c r="L134" s="193">
        <f ca="1">SUM(Table3[[#This Row],[2023-24]:[2029-30]])</f>
        <v>0</v>
      </c>
    </row>
    <row r="135" spans="1:12">
      <c r="A135" s="181" t="str">
        <f>Table1[[#This Row],[Acronym]]</f>
        <v>WSX</v>
      </c>
      <c r="B135" s="181" t="str">
        <f>Table1[[#This Row],[BON code]]</f>
        <v>CWW12_011TOT_PR24</v>
      </c>
      <c r="C135" s="181" t="str">
        <f>Table1[[#This Row],[Item Description]]</f>
        <v>EA/NRW environmental programme wastewater (WINEP/NEP) - MCERTs monitoring at emergency sewage pumping station overflows (WINEP/NEP) wastewater opex - Total</v>
      </c>
      <c r="D135" s="188" t="s">
        <v>85</v>
      </c>
      <c r="E135" s="192">
        <f ca="1">IF('F_Input Override'!E135="",'Consolidated Input'!E135,'F_Input Override'!E135)</f>
        <v>0</v>
      </c>
      <c r="F135" s="192">
        <f ca="1">IF('F_Input Override'!F135="",'Consolidated Input'!F135,'F_Input Override'!F135)</f>
        <v>0</v>
      </c>
      <c r="G135" s="192">
        <f ca="1">IF('F_Input Override'!G135="",'Consolidated Input'!G135,'F_Input Override'!G135)</f>
        <v>0</v>
      </c>
      <c r="H135" s="192">
        <f ca="1">IF('F_Input Override'!H135="",'Consolidated Input'!H135,'F_Input Override'!H135)</f>
        <v>0</v>
      </c>
      <c r="I135" s="192">
        <f ca="1">IF('F_Input Override'!I135="",'Consolidated Input'!I135,'F_Input Override'!I135)</f>
        <v>0</v>
      </c>
      <c r="J135" s="192">
        <f ca="1">IF('F_Input Override'!J135="",'Consolidated Input'!J135,'F_Input Override'!J135)</f>
        <v>0</v>
      </c>
      <c r="K135" s="189">
        <f ca="1">IF('F_Input Override'!K135="",'Consolidated Input'!K135,'F_Input Override'!K135)</f>
        <v>0</v>
      </c>
      <c r="L135" s="193">
        <f ca="1">SUM(Table3[[#This Row],[2023-24]:[2029-30]])</f>
        <v>0</v>
      </c>
    </row>
    <row r="136" spans="1:12">
      <c r="A136" s="181" t="str">
        <f>Table1[[#This Row],[Acronym]]</f>
        <v>WSX</v>
      </c>
      <c r="B136" s="181" t="str">
        <f>Table1[[#This Row],[BON code]]</f>
        <v>CWW12_012TOT_PR24</v>
      </c>
      <c r="C136" s="181" t="str">
        <f>Table1[[#This Row],[Item Description]]</f>
        <v>EA/NRW environmental programme wastewater (WINEP/NEP) - MCERTs monitoring at emergency sewage pumping station overflows (WINEP/NEP) wastewater totex - Total</v>
      </c>
      <c r="D136" s="188" t="s">
        <v>85</v>
      </c>
      <c r="E136" s="192">
        <f ca="1">IF('F_Input Override'!E136="",'Consolidated Input'!E136,'F_Input Override'!E136)</f>
        <v>0</v>
      </c>
      <c r="F136" s="192">
        <f ca="1">IF('F_Input Override'!F136="",'Consolidated Input'!F136,'F_Input Override'!F136)</f>
        <v>0</v>
      </c>
      <c r="G136" s="192">
        <f ca="1">IF('F_Input Override'!G136="",'Consolidated Input'!G136,'F_Input Override'!G136)</f>
        <v>0</v>
      </c>
      <c r="H136" s="192">
        <f ca="1">IF('F_Input Override'!H136="",'Consolidated Input'!H136,'F_Input Override'!H136)</f>
        <v>0</v>
      </c>
      <c r="I136" s="192">
        <f ca="1">IF('F_Input Override'!I136="",'Consolidated Input'!I136,'F_Input Override'!I136)</f>
        <v>0</v>
      </c>
      <c r="J136" s="192">
        <f ca="1">IF('F_Input Override'!J136="",'Consolidated Input'!J136,'F_Input Override'!J136)</f>
        <v>0</v>
      </c>
      <c r="K136" s="189">
        <f ca="1">IF('F_Input Override'!K136="",'Consolidated Input'!K136,'F_Input Override'!K136)</f>
        <v>0</v>
      </c>
      <c r="L136" s="193">
        <f ca="1">SUM(Table3[[#This Row],[2023-24]:[2029-30]])</f>
        <v>0</v>
      </c>
    </row>
    <row r="137" spans="1:12">
      <c r="A137" s="181" t="str">
        <f>Table1[[#This Row],[Acronym]]</f>
        <v>WSX</v>
      </c>
      <c r="B137" s="181" t="str">
        <f>Table1[[#This Row],[BON code]]</f>
        <v>CWW17_010TOT_PR24</v>
      </c>
      <c r="C137" s="181" t="str">
        <f>Table1[[#This Row],[Item Description]]</f>
        <v>EA/NRW environmental programme wastewater (WINEP/NEP) - MCERTs monitoring at emergency sewage pumping station overflows (WINEP/NEP) wastewater capex - Total</v>
      </c>
      <c r="D137" s="188" t="s">
        <v>85</v>
      </c>
      <c r="E137" s="192">
        <f ca="1">IF('F_Input Override'!E137="",'Consolidated Input'!E137,'F_Input Override'!E137)</f>
        <v>0</v>
      </c>
      <c r="F137" s="192">
        <f ca="1">IF('F_Input Override'!F137="",'Consolidated Input'!F137,'F_Input Override'!F137)</f>
        <v>0</v>
      </c>
      <c r="G137" s="192">
        <f ca="1">IF('F_Input Override'!G137="",'Consolidated Input'!G137,'F_Input Override'!G137)</f>
        <v>0</v>
      </c>
      <c r="H137" s="192">
        <f ca="1">IF('F_Input Override'!H137="",'Consolidated Input'!H137,'F_Input Override'!H137)</f>
        <v>0</v>
      </c>
      <c r="I137" s="192">
        <f ca="1">IF('F_Input Override'!I137="",'Consolidated Input'!I137,'F_Input Override'!I137)</f>
        <v>0</v>
      </c>
      <c r="J137" s="192">
        <f ca="1">IF('F_Input Override'!J137="",'Consolidated Input'!J137,'F_Input Override'!J137)</f>
        <v>0</v>
      </c>
      <c r="K137" s="189">
        <f ca="1">IF('F_Input Override'!K137="",'Consolidated Input'!K137,'F_Input Override'!K137)</f>
        <v>0</v>
      </c>
      <c r="L137" s="193">
        <f ca="1">SUM(Table3[[#This Row],[2023-24]:[2029-30]])</f>
        <v>0</v>
      </c>
    </row>
    <row r="138" spans="1:12">
      <c r="A138" s="181" t="str">
        <f>Table1[[#This Row],[Acronym]]</f>
        <v>WSX</v>
      </c>
      <c r="B138" s="181" t="str">
        <f>Table1[[#This Row],[BON code]]</f>
        <v>CWW17_011TOT_PR24</v>
      </c>
      <c r="C138" s="181" t="str">
        <f>Table1[[#This Row],[Item Description]]</f>
        <v>EA/NRW environmental programme wastewater (WINEP/NEP) - MCERTs monitoring at emergency sewage pumping station overflows (WINEP/NEP) wastewater opex - Total</v>
      </c>
      <c r="D138" s="188" t="s">
        <v>85</v>
      </c>
      <c r="E138" s="192">
        <f ca="1">IF('F_Input Override'!E138="",'Consolidated Input'!E138,'F_Input Override'!E138)</f>
        <v>0</v>
      </c>
      <c r="F138" s="192">
        <f ca="1">IF('F_Input Override'!F138="",'Consolidated Input'!F138,'F_Input Override'!F138)</f>
        <v>0</v>
      </c>
      <c r="G138" s="192">
        <f ca="1">IF('F_Input Override'!G138="",'Consolidated Input'!G138,'F_Input Override'!G138)</f>
        <v>0</v>
      </c>
      <c r="H138" s="192">
        <f ca="1">IF('F_Input Override'!H138="",'Consolidated Input'!H138,'F_Input Override'!H138)</f>
        <v>0</v>
      </c>
      <c r="I138" s="192">
        <f ca="1">IF('F_Input Override'!I138="",'Consolidated Input'!I138,'F_Input Override'!I138)</f>
        <v>0</v>
      </c>
      <c r="J138" s="192">
        <f ca="1">IF('F_Input Override'!J138="",'Consolidated Input'!J138,'F_Input Override'!J138)</f>
        <v>0</v>
      </c>
      <c r="K138" s="189">
        <f ca="1">IF('F_Input Override'!K138="",'Consolidated Input'!K138,'F_Input Override'!K138)</f>
        <v>0</v>
      </c>
      <c r="L138" s="193">
        <f ca="1">SUM(Table3[[#This Row],[2023-24]:[2029-30]])</f>
        <v>0</v>
      </c>
    </row>
    <row r="139" spans="1:12">
      <c r="A139" s="181" t="str">
        <f>Table1[[#This Row],[Acronym]]</f>
        <v>WSX</v>
      </c>
      <c r="B139" s="181" t="str">
        <f>Table1[[#This Row],[BON code]]</f>
        <v>CWW17_012TOT_PR24</v>
      </c>
      <c r="C139" s="181" t="str">
        <f>Table1[[#This Row],[Item Description]]</f>
        <v>EA/NRW environmental programme wastewater (WINEP/NEP) - MCERTs monitoring at emergency sewage pumping station overflows (WINEP/NEP) wastewater totex - Total</v>
      </c>
      <c r="D139" s="188" t="s">
        <v>85</v>
      </c>
      <c r="E139" s="192">
        <f ca="1">IF('F_Input Override'!E139="",'Consolidated Input'!E139,'F_Input Override'!E139)</f>
        <v>0</v>
      </c>
      <c r="F139" s="192">
        <f ca="1">IF('F_Input Override'!F139="",'Consolidated Input'!F139,'F_Input Override'!F139)</f>
        <v>0</v>
      </c>
      <c r="G139" s="192">
        <f ca="1">IF('F_Input Override'!G139="",'Consolidated Input'!G139,'F_Input Override'!G139)</f>
        <v>0</v>
      </c>
      <c r="H139" s="192">
        <f ca="1">IF('F_Input Override'!H139="",'Consolidated Input'!H139,'F_Input Override'!H139)</f>
        <v>0</v>
      </c>
      <c r="I139" s="192">
        <f ca="1">IF('F_Input Override'!I139="",'Consolidated Input'!I139,'F_Input Override'!I139)</f>
        <v>0</v>
      </c>
      <c r="J139" s="192">
        <f ca="1">IF('F_Input Override'!J139="",'Consolidated Input'!J139,'F_Input Override'!J139)</f>
        <v>0</v>
      </c>
      <c r="K139" s="189">
        <f ca="1">IF('F_Input Override'!K139="",'Consolidated Input'!K139,'F_Input Override'!K139)</f>
        <v>0</v>
      </c>
      <c r="L139" s="193">
        <f ca="1">SUM(Table3[[#This Row],[2023-24]:[2029-30]])</f>
        <v>0</v>
      </c>
    </row>
    <row r="140" spans="1:12">
      <c r="A140" s="181" t="str">
        <f>Table1[[#This Row],[Acronym]]</f>
        <v>WSX</v>
      </c>
      <c r="B140" s="181" t="str">
        <f>Table1[[#This Row],[BON code]]</f>
        <v>CWW20_050_PR24</v>
      </c>
      <c r="C140" s="181" t="str">
        <f>Table1[[#This Row],[Item Description]]</f>
        <v>Network / Storm overflow data - Number of new MCERTs event duration monitors installed at SPS emergency overflows</v>
      </c>
      <c r="D140" s="188" t="s">
        <v>85</v>
      </c>
      <c r="E140" s="192">
        <f ca="1">IF('F_Input Override'!E140="",'Consolidated Input'!E140,'F_Input Override'!E140)</f>
        <v>0</v>
      </c>
      <c r="F140" s="192">
        <f ca="1">IF('F_Input Override'!F140="",'Consolidated Input'!F140,'F_Input Override'!F140)</f>
        <v>0</v>
      </c>
      <c r="G140" s="192">
        <f ca="1">IF('F_Input Override'!G140="",'Consolidated Input'!G140,'F_Input Override'!G140)</f>
        <v>0</v>
      </c>
      <c r="H140" s="192">
        <f ca="1">IF('F_Input Override'!H140="",'Consolidated Input'!H140,'F_Input Override'!H140)</f>
        <v>5</v>
      </c>
      <c r="I140" s="192">
        <f ca="1">IF('F_Input Override'!I140="",'Consolidated Input'!I140,'F_Input Override'!I140)</f>
        <v>15</v>
      </c>
      <c r="J140" s="192">
        <f ca="1">IF('F_Input Override'!J140="",'Consolidated Input'!J140,'F_Input Override'!J140)</f>
        <v>15</v>
      </c>
      <c r="K140" s="189">
        <f ca="1">IF('F_Input Override'!K140="",'Consolidated Input'!K140,'F_Input Override'!K140)</f>
        <v>14</v>
      </c>
      <c r="L140" s="193">
        <f ca="1">SUM(Table3[[#This Row],[2023-24]:[2029-30]])</f>
        <v>49</v>
      </c>
    </row>
    <row r="141" spans="1:12">
      <c r="A141" s="181" t="str">
        <f>Table1[[#This Row],[Acronym]]</f>
        <v>WSX</v>
      </c>
      <c r="B141" s="181" t="str">
        <f>Table1[[#This Row],[BON code]]</f>
        <v>CWW20_051_PR24</v>
      </c>
      <c r="C141" s="181" t="str">
        <f>Table1[[#This Row],[Item Description]]</f>
        <v>Network / Storm overflow data - Number of new MCERTs flow monitors (PFF) installed at SPSs with combined emergency and storm overflows.</v>
      </c>
      <c r="D141" s="188" t="s">
        <v>85</v>
      </c>
      <c r="E141" s="192">
        <f ca="1">IF('F_Input Override'!E141="",'Consolidated Input'!E141,'F_Input Override'!E141)</f>
        <v>0</v>
      </c>
      <c r="F141" s="192">
        <f ca="1">IF('F_Input Override'!F141="",'Consolidated Input'!F141,'F_Input Override'!F141)</f>
        <v>0</v>
      </c>
      <c r="G141" s="192">
        <f ca="1">IF('F_Input Override'!G141="",'Consolidated Input'!G141,'F_Input Override'!G141)</f>
        <v>0</v>
      </c>
      <c r="H141" s="192">
        <f ca="1">IF('F_Input Override'!H141="",'Consolidated Input'!H141,'F_Input Override'!H141)</f>
        <v>10</v>
      </c>
      <c r="I141" s="192">
        <f ca="1">IF('F_Input Override'!I141="",'Consolidated Input'!I141,'F_Input Override'!I141)</f>
        <v>31</v>
      </c>
      <c r="J141" s="192">
        <f ca="1">IF('F_Input Override'!J141="",'Consolidated Input'!J141,'F_Input Override'!J141)</f>
        <v>31</v>
      </c>
      <c r="K141" s="189">
        <f ca="1">IF('F_Input Override'!K141="",'Consolidated Input'!K141,'F_Input Override'!K141)</f>
        <v>30</v>
      </c>
      <c r="L141" s="193">
        <f ca="1">SUM(Table3[[#This Row],[2023-24]:[2029-30]])</f>
        <v>102</v>
      </c>
    </row>
    <row r="142" spans="1:12">
      <c r="A142" s="181" t="str">
        <f>Table1[[#This Row],[Acronym]]</f>
        <v>WSX</v>
      </c>
      <c r="B142" s="181" t="str">
        <f>Table1[[#This Row],[BON code]]</f>
        <v>CWW20A_050_PR24</v>
      </c>
      <c r="C142" s="181" t="str">
        <f>Table1[[#This Row],[Item Description]]</f>
        <v>Network / Storm overflow data - Number of new MCERTs event duration monitors installed at SPS emergency overflows</v>
      </c>
      <c r="D142" s="188" t="s">
        <v>85</v>
      </c>
      <c r="E142" s="192">
        <f ca="1">IF('F_Input Override'!E142="",'Consolidated Input'!E142,'F_Input Override'!E142)</f>
        <v>0</v>
      </c>
      <c r="F142" s="192">
        <f ca="1">IF('F_Input Override'!F142="",'Consolidated Input'!F142,'F_Input Override'!F142)</f>
        <v>0</v>
      </c>
      <c r="G142" s="192">
        <f ca="1">IF('F_Input Override'!G142="",'Consolidated Input'!G142,'F_Input Override'!G142)</f>
        <v>0</v>
      </c>
      <c r="H142" s="192">
        <f ca="1">IF('F_Input Override'!H142="",'Consolidated Input'!H142,'F_Input Override'!H142)</f>
        <v>0</v>
      </c>
      <c r="I142" s="192">
        <f ca="1">IF('F_Input Override'!I142="",'Consolidated Input'!I142,'F_Input Override'!I142)</f>
        <v>0</v>
      </c>
      <c r="J142" s="192">
        <f ca="1">IF('F_Input Override'!J142="",'Consolidated Input'!J142,'F_Input Override'!J142)</f>
        <v>0</v>
      </c>
      <c r="K142" s="189">
        <f ca="1">IF('F_Input Override'!K142="",'Consolidated Input'!K142,'F_Input Override'!K142)</f>
        <v>0</v>
      </c>
      <c r="L142" s="193">
        <f ca="1">SUM(Table3[[#This Row],[2023-24]:[2029-30]])</f>
        <v>0</v>
      </c>
    </row>
    <row r="143" spans="1:12">
      <c r="A143" s="181" t="str">
        <f>Table1[[#This Row],[Acronym]]</f>
        <v>WSX</v>
      </c>
      <c r="B143" s="181" t="str">
        <f>Table1[[#This Row],[BON code]]</f>
        <v>CWW20A_051_PR24</v>
      </c>
      <c r="C143" s="181" t="str">
        <f>Table1[[#This Row],[Item Description]]</f>
        <v>Network / Storm overflow data - Number of new MCERTs flow monitors (PFF) installed at SPSs with combined emergency and storm overflows.</v>
      </c>
      <c r="D143" s="188" t="s">
        <v>85</v>
      </c>
      <c r="E143" s="192">
        <f ca="1">IF('F_Input Override'!E143="",'Consolidated Input'!E143,'F_Input Override'!E143)</f>
        <v>0</v>
      </c>
      <c r="F143" s="192">
        <f ca="1">IF('F_Input Override'!F143="",'Consolidated Input'!F143,'F_Input Override'!F143)</f>
        <v>0</v>
      </c>
      <c r="G143" s="192">
        <f ca="1">IF('F_Input Override'!G143="",'Consolidated Input'!G143,'F_Input Override'!G143)</f>
        <v>0</v>
      </c>
      <c r="H143" s="192">
        <f ca="1">IF('F_Input Override'!H143="",'Consolidated Input'!H143,'F_Input Override'!H143)</f>
        <v>0</v>
      </c>
      <c r="I143" s="192">
        <f ca="1">IF('F_Input Override'!I143="",'Consolidated Input'!I143,'F_Input Override'!I143)</f>
        <v>0</v>
      </c>
      <c r="J143" s="192">
        <f ca="1">IF('F_Input Override'!J143="",'Consolidated Input'!J143,'F_Input Override'!J143)</f>
        <v>0</v>
      </c>
      <c r="K143" s="189">
        <f ca="1">IF('F_Input Override'!K143="",'Consolidated Input'!K143,'F_Input Override'!K143)</f>
        <v>0</v>
      </c>
      <c r="L143" s="193">
        <f ca="1">SUM(Table3[[#This Row],[2023-24]:[2029-30]])</f>
        <v>0</v>
      </c>
    </row>
    <row r="144" spans="1:12">
      <c r="A144" s="181" t="str">
        <f>Table1[[#This Row],[Acronym]]</f>
        <v>WSX</v>
      </c>
      <c r="B144" s="181" t="str">
        <f>Table1[[#This Row],[BON code]]</f>
        <v>CWW1A_015TOT_PR24</v>
      </c>
      <c r="C144" s="181" t="str">
        <f>Table1[[#This Row],[Item Description]]</f>
        <v>Net totex - Total</v>
      </c>
      <c r="D144" s="188" t="s">
        <v>99</v>
      </c>
      <c r="E144" s="192">
        <f ca="1">IF('F_Input Override'!E144="",'Consolidated Input'!E144,'F_Input Override'!E144)</f>
        <v>0</v>
      </c>
      <c r="F144" s="192">
        <f ca="1">IF('F_Input Override'!F144="",'Consolidated Input'!F144,'F_Input Override'!F144)</f>
        <v>0</v>
      </c>
      <c r="G144" s="192">
        <f ca="1">IF('F_Input Override'!G144="",'Consolidated Input'!G144,'F_Input Override'!G144)</f>
        <v>526.33093822919</v>
      </c>
      <c r="H144" s="192">
        <f ca="1">IF('F_Input Override'!H144="",'Consolidated Input'!H144,'F_Input Override'!H144)</f>
        <v>558.80413455846633</v>
      </c>
      <c r="I144" s="192">
        <f ca="1">IF('F_Input Override'!I144="",'Consolidated Input'!I144,'F_Input Override'!I144)</f>
        <v>575.36301598312627</v>
      </c>
      <c r="J144" s="192">
        <f ca="1">IF('F_Input Override'!J144="",'Consolidated Input'!J144,'F_Input Override'!J144)</f>
        <v>837.08372922394676</v>
      </c>
      <c r="K144" s="189">
        <f ca="1">IF('F_Input Override'!K144="",'Consolidated Input'!K144,'F_Input Override'!K144)</f>
        <v>1152.392571151533</v>
      </c>
      <c r="L144" s="193">
        <f ca="1">SUM(Table3[[#This Row],[2023-24]:[2029-30]])</f>
        <v>3649.9743891462622</v>
      </c>
    </row>
    <row r="145" spans="1:12">
      <c r="A145" s="181" t="str">
        <f>Table1[[#This Row],[Acronym]]</f>
        <v>YKY</v>
      </c>
      <c r="B145" s="181" t="str">
        <f>Table1[[#This Row],[BON code]]</f>
        <v>CWW3_010TOT_PR24</v>
      </c>
      <c r="C145" s="181" t="str">
        <f>Table1[[#This Row],[Item Description]]</f>
        <v>EA/NRW environmental programme wastewater (WINEP/NEP) - MCERTs monitoring at emergency sewage pumping station overflows (WINEP/NEP) wastewater capex - Total</v>
      </c>
      <c r="D145" s="188" t="s">
        <v>99</v>
      </c>
      <c r="E145" s="192">
        <f ca="1">IF('F_Input Override'!E145="",'Consolidated Input'!E145,'F_Input Override'!E145)</f>
        <v>0</v>
      </c>
      <c r="F145" s="192">
        <f ca="1">IF('F_Input Override'!F145="",'Consolidated Input'!F145,'F_Input Override'!F145)</f>
        <v>0</v>
      </c>
      <c r="G145" s="192">
        <f>IF('F_Input Override'!G145="",'Consolidated Input'!G145,'F_Input Override'!G145)</f>
        <v>6.6800070000000007</v>
      </c>
      <c r="H145" s="192">
        <f>IF('F_Input Override'!H145="",'Consolidated Input'!H145,'F_Input Override'!H145)</f>
        <v>8.998875</v>
      </c>
      <c r="I145" s="192">
        <f>IF('F_Input Override'!I145="",'Consolidated Input'!I145,'F_Input Override'!I145)</f>
        <v>9.3815639999999991</v>
      </c>
      <c r="J145" s="192">
        <f>IF('F_Input Override'!J145="",'Consolidated Input'!J145,'F_Input Override'!J145)</f>
        <v>7.8545970000000009</v>
      </c>
      <c r="K145" s="189">
        <f>IF('F_Input Override'!K145="",'Consolidated Input'!K145,'F_Input Override'!K145)</f>
        <v>4.9711680000000005</v>
      </c>
      <c r="L145" s="193">
        <f ca="1">SUM(Table3[[#This Row],[2023-24]:[2029-30]])</f>
        <v>37.886210999999996</v>
      </c>
    </row>
    <row r="146" spans="1:12">
      <c r="A146" s="181" t="str">
        <f>Table1[[#This Row],[Acronym]]</f>
        <v>YKY</v>
      </c>
      <c r="B146" s="181" t="str">
        <f>Table1[[#This Row],[BON code]]</f>
        <v>CWW3_011TOT_PR24</v>
      </c>
      <c r="C146" s="181" t="str">
        <f>Table1[[#This Row],[Item Description]]</f>
        <v>EA/NRW environmental programme wastewater (WINEP/NEP) - MCERTs monitoring at emergency sewage pumping station overflows (WINEP/NEP) wastewater opex - Total</v>
      </c>
      <c r="D146" s="188" t="s">
        <v>99</v>
      </c>
      <c r="E146" s="192">
        <f ca="1">IF('F_Input Override'!E146="",'Consolidated Input'!E146,'F_Input Override'!E146)</f>
        <v>0</v>
      </c>
      <c r="F146" s="192">
        <f ca="1">IF('F_Input Override'!F146="",'Consolidated Input'!F146,'F_Input Override'!F146)</f>
        <v>0</v>
      </c>
      <c r="G146" s="192">
        <f ca="1">IF('F_Input Override'!G146="",'Consolidated Input'!G146,'F_Input Override'!G146)</f>
        <v>0</v>
      </c>
      <c r="H146" s="192">
        <f ca="1">IF('F_Input Override'!H146="",'Consolidated Input'!H146,'F_Input Override'!H146)</f>
        <v>0</v>
      </c>
      <c r="I146" s="192">
        <f ca="1">IF('F_Input Override'!I146="",'Consolidated Input'!I146,'F_Input Override'!I146)</f>
        <v>0</v>
      </c>
      <c r="J146" s="192">
        <f ca="1">IF('F_Input Override'!J146="",'Consolidated Input'!J146,'F_Input Override'!J146)</f>
        <v>0</v>
      </c>
      <c r="K146" s="189">
        <f>IF('F_Input Override'!K146="",'Consolidated Input'!K146,'F_Input Override'!K146)</f>
        <v>0.37</v>
      </c>
      <c r="L146" s="193">
        <f ca="1">SUM(Table3[[#This Row],[2023-24]:[2029-30]])</f>
        <v>0.37</v>
      </c>
    </row>
    <row r="147" spans="1:12">
      <c r="A147" s="181" t="str">
        <f>Table1[[#This Row],[Acronym]]</f>
        <v>YKY</v>
      </c>
      <c r="B147" s="181" t="str">
        <f>Table1[[#This Row],[BON code]]</f>
        <v>CWW3_012TOT_PR24</v>
      </c>
      <c r="C147" s="181" t="str">
        <f>Table1[[#This Row],[Item Description]]</f>
        <v>EA/NRW environmental programme wastewater (WINEP/NEP) - MCERTs monitoring at emergency sewage pumping station overflows (WINEP/NEP) wastewater totex - Total</v>
      </c>
      <c r="D147" s="188" t="s">
        <v>99</v>
      </c>
      <c r="E147" s="192">
        <f ca="1">IF('F_Input Override'!E147="",'Consolidated Input'!E147,'F_Input Override'!E147)</f>
        <v>0</v>
      </c>
      <c r="F147" s="192">
        <f ca="1">IF('F_Input Override'!F147="",'Consolidated Input'!F147,'F_Input Override'!F147)</f>
        <v>0</v>
      </c>
      <c r="G147" s="192">
        <f>IF('F_Input Override'!G147="",'Consolidated Input'!G147,'F_Input Override'!G147)</f>
        <v>6.6800070000000007</v>
      </c>
      <c r="H147" s="192">
        <f>IF('F_Input Override'!H147="",'Consolidated Input'!H147,'F_Input Override'!H147)</f>
        <v>8.998875</v>
      </c>
      <c r="I147" s="192">
        <f>IF('F_Input Override'!I147="",'Consolidated Input'!I147,'F_Input Override'!I147)</f>
        <v>9.3815639999999991</v>
      </c>
      <c r="J147" s="192">
        <f>IF('F_Input Override'!J147="",'Consolidated Input'!J147,'F_Input Override'!J147)</f>
        <v>7.8545970000000009</v>
      </c>
      <c r="K147" s="189">
        <f>IF('F_Input Override'!K147="",'Consolidated Input'!K147,'F_Input Override'!K147)</f>
        <v>5.3411680000000006</v>
      </c>
      <c r="L147" s="193">
        <f ca="1">SUM(Table3[[#This Row],[2023-24]:[2029-30]])</f>
        <v>38.256211</v>
      </c>
    </row>
    <row r="148" spans="1:12">
      <c r="A148" s="181" t="str">
        <f>Table1[[#This Row],[Acronym]]</f>
        <v>YKY</v>
      </c>
      <c r="B148" s="181" t="str">
        <f>Table1[[#This Row],[BON code]]</f>
        <v>CWW12_010TOT_PR24</v>
      </c>
      <c r="C148" s="181" t="str">
        <f>Table1[[#This Row],[Item Description]]</f>
        <v>EA/NRW environmental programme wastewater (WINEP/NEP) - MCERTs monitoring at emergency sewage pumping station overflows (WINEP/NEP) wastewater capex - Total</v>
      </c>
      <c r="D148" s="188" t="s">
        <v>99</v>
      </c>
      <c r="E148" s="192">
        <f ca="1">IF('F_Input Override'!E148="",'Consolidated Input'!E148,'F_Input Override'!E148)</f>
        <v>0</v>
      </c>
      <c r="F148" s="192">
        <f ca="1">IF('F_Input Override'!F148="",'Consolidated Input'!F148,'F_Input Override'!F148)</f>
        <v>0</v>
      </c>
      <c r="G148" s="192">
        <f ca="1">IF('F_Input Override'!G148="",'Consolidated Input'!G148,'F_Input Override'!G148)</f>
        <v>0</v>
      </c>
      <c r="H148" s="192">
        <f ca="1">IF('F_Input Override'!H148="",'Consolidated Input'!H148,'F_Input Override'!H148)</f>
        <v>0</v>
      </c>
      <c r="I148" s="192">
        <f ca="1">IF('F_Input Override'!I148="",'Consolidated Input'!I148,'F_Input Override'!I148)</f>
        <v>0</v>
      </c>
      <c r="J148" s="192">
        <f ca="1">IF('F_Input Override'!J148="",'Consolidated Input'!J148,'F_Input Override'!J148)</f>
        <v>0</v>
      </c>
      <c r="K148" s="189">
        <f ca="1">IF('F_Input Override'!K148="",'Consolidated Input'!K148,'F_Input Override'!K148)</f>
        <v>0</v>
      </c>
      <c r="L148" s="193">
        <f ca="1">SUM(Table3[[#This Row],[2023-24]:[2029-30]])</f>
        <v>0</v>
      </c>
    </row>
    <row r="149" spans="1:12">
      <c r="A149" s="181" t="str">
        <f>Table1[[#This Row],[Acronym]]</f>
        <v>YKY</v>
      </c>
      <c r="B149" s="181" t="str">
        <f>Table1[[#This Row],[BON code]]</f>
        <v>CWW12_011TOT_PR24</v>
      </c>
      <c r="C149" s="181" t="str">
        <f>Table1[[#This Row],[Item Description]]</f>
        <v>EA/NRW environmental programme wastewater (WINEP/NEP) - MCERTs monitoring at emergency sewage pumping station overflows (WINEP/NEP) wastewater opex - Total</v>
      </c>
      <c r="D149" s="188" t="s">
        <v>99</v>
      </c>
      <c r="E149" s="192">
        <f ca="1">IF('F_Input Override'!E149="",'Consolidated Input'!E149,'F_Input Override'!E149)</f>
        <v>0</v>
      </c>
      <c r="F149" s="192">
        <f ca="1">IF('F_Input Override'!F149="",'Consolidated Input'!F149,'F_Input Override'!F149)</f>
        <v>0</v>
      </c>
      <c r="G149" s="192">
        <f ca="1">IF('F_Input Override'!G149="",'Consolidated Input'!G149,'F_Input Override'!G149)</f>
        <v>0</v>
      </c>
      <c r="H149" s="192">
        <f ca="1">IF('F_Input Override'!H149="",'Consolidated Input'!H149,'F_Input Override'!H149)</f>
        <v>0</v>
      </c>
      <c r="I149" s="192">
        <f ca="1">IF('F_Input Override'!I149="",'Consolidated Input'!I149,'F_Input Override'!I149)</f>
        <v>0</v>
      </c>
      <c r="J149" s="192">
        <f ca="1">IF('F_Input Override'!J149="",'Consolidated Input'!J149,'F_Input Override'!J149)</f>
        <v>0</v>
      </c>
      <c r="K149" s="189">
        <f ca="1">IF('F_Input Override'!K149="",'Consolidated Input'!K149,'F_Input Override'!K149)</f>
        <v>0</v>
      </c>
      <c r="L149" s="193">
        <f ca="1">SUM(Table3[[#This Row],[2023-24]:[2029-30]])</f>
        <v>0</v>
      </c>
    </row>
    <row r="150" spans="1:12">
      <c r="A150" s="181" t="str">
        <f>Table1[[#This Row],[Acronym]]</f>
        <v>YKY</v>
      </c>
      <c r="B150" s="181" t="str">
        <f>Table1[[#This Row],[BON code]]</f>
        <v>CWW12_012TOT_PR24</v>
      </c>
      <c r="C150" s="181" t="str">
        <f>Table1[[#This Row],[Item Description]]</f>
        <v>EA/NRW environmental programme wastewater (WINEP/NEP) - MCERTs monitoring at emergency sewage pumping station overflows (WINEP/NEP) wastewater totex - Total</v>
      </c>
      <c r="D150" s="188" t="s">
        <v>99</v>
      </c>
      <c r="E150" s="192">
        <f ca="1">IF('F_Input Override'!E150="",'Consolidated Input'!E150,'F_Input Override'!E150)</f>
        <v>0</v>
      </c>
      <c r="F150" s="192">
        <f ca="1">IF('F_Input Override'!F150="",'Consolidated Input'!F150,'F_Input Override'!F150)</f>
        <v>0</v>
      </c>
      <c r="G150" s="192">
        <f ca="1">IF('F_Input Override'!G150="",'Consolidated Input'!G150,'F_Input Override'!G150)</f>
        <v>0</v>
      </c>
      <c r="H150" s="192">
        <f ca="1">IF('F_Input Override'!H150="",'Consolidated Input'!H150,'F_Input Override'!H150)</f>
        <v>0</v>
      </c>
      <c r="I150" s="192">
        <f ca="1">IF('F_Input Override'!I150="",'Consolidated Input'!I150,'F_Input Override'!I150)</f>
        <v>0</v>
      </c>
      <c r="J150" s="192">
        <f ca="1">IF('F_Input Override'!J150="",'Consolidated Input'!J150,'F_Input Override'!J150)</f>
        <v>0</v>
      </c>
      <c r="K150" s="189">
        <f ca="1">IF('F_Input Override'!K150="",'Consolidated Input'!K150,'F_Input Override'!K150)</f>
        <v>0</v>
      </c>
      <c r="L150" s="193">
        <f ca="1">SUM(Table3[[#This Row],[2023-24]:[2029-30]])</f>
        <v>0</v>
      </c>
    </row>
    <row r="151" spans="1:12">
      <c r="A151" s="181" t="str">
        <f>Table1[[#This Row],[Acronym]]</f>
        <v>YKY</v>
      </c>
      <c r="B151" s="181" t="str">
        <f>Table1[[#This Row],[BON code]]</f>
        <v>CWW17_010TOT_PR24</v>
      </c>
      <c r="C151" s="181" t="str">
        <f>Table1[[#This Row],[Item Description]]</f>
        <v>EA/NRW environmental programme wastewater (WINEP/NEP) - MCERTs monitoring at emergency sewage pumping station overflows (WINEP/NEP) wastewater capex - Total</v>
      </c>
      <c r="D151" s="188" t="s">
        <v>99</v>
      </c>
      <c r="E151" s="192">
        <f ca="1">IF('F_Input Override'!E151="",'Consolidated Input'!E151,'F_Input Override'!E151)</f>
        <v>0</v>
      </c>
      <c r="F151" s="192">
        <f ca="1">IF('F_Input Override'!F151="",'Consolidated Input'!F151,'F_Input Override'!F151)</f>
        <v>0</v>
      </c>
      <c r="G151" s="192">
        <f ca="1">IF('F_Input Override'!G151="",'Consolidated Input'!G151,'F_Input Override'!G151)</f>
        <v>0</v>
      </c>
      <c r="H151" s="192">
        <f ca="1">IF('F_Input Override'!H151="",'Consolidated Input'!H151,'F_Input Override'!H151)</f>
        <v>0</v>
      </c>
      <c r="I151" s="192">
        <f ca="1">IF('F_Input Override'!I151="",'Consolidated Input'!I151,'F_Input Override'!I151)</f>
        <v>0</v>
      </c>
      <c r="J151" s="192">
        <f ca="1">IF('F_Input Override'!J151="",'Consolidated Input'!J151,'F_Input Override'!J151)</f>
        <v>0</v>
      </c>
      <c r="K151" s="189">
        <f ca="1">IF('F_Input Override'!K151="",'Consolidated Input'!K151,'F_Input Override'!K151)</f>
        <v>0</v>
      </c>
      <c r="L151" s="193">
        <f ca="1">SUM(Table3[[#This Row],[2023-24]:[2029-30]])</f>
        <v>0</v>
      </c>
    </row>
    <row r="152" spans="1:12">
      <c r="A152" s="181" t="str">
        <f>Table1[[#This Row],[Acronym]]</f>
        <v>YKY</v>
      </c>
      <c r="B152" s="181" t="str">
        <f>Table1[[#This Row],[BON code]]</f>
        <v>CWW17_011TOT_PR24</v>
      </c>
      <c r="C152" s="181" t="str">
        <f>Table1[[#This Row],[Item Description]]</f>
        <v>EA/NRW environmental programme wastewater (WINEP/NEP) - MCERTs monitoring at emergency sewage pumping station overflows (WINEP/NEP) wastewater opex - Total</v>
      </c>
      <c r="D152" s="188" t="s">
        <v>99</v>
      </c>
      <c r="E152" s="192">
        <f ca="1">IF('F_Input Override'!E152="",'Consolidated Input'!E152,'F_Input Override'!E152)</f>
        <v>0</v>
      </c>
      <c r="F152" s="192">
        <f ca="1">IF('F_Input Override'!F152="",'Consolidated Input'!F152,'F_Input Override'!F152)</f>
        <v>0</v>
      </c>
      <c r="G152" s="192">
        <f ca="1">IF('F_Input Override'!G152="",'Consolidated Input'!G152,'F_Input Override'!G152)</f>
        <v>0</v>
      </c>
      <c r="H152" s="192">
        <f ca="1">IF('F_Input Override'!H152="",'Consolidated Input'!H152,'F_Input Override'!H152)</f>
        <v>0</v>
      </c>
      <c r="I152" s="192">
        <f ca="1">IF('F_Input Override'!I152="",'Consolidated Input'!I152,'F_Input Override'!I152)</f>
        <v>0</v>
      </c>
      <c r="J152" s="192">
        <f ca="1">IF('F_Input Override'!J152="",'Consolidated Input'!J152,'F_Input Override'!J152)</f>
        <v>0</v>
      </c>
      <c r="K152" s="189">
        <f ca="1">IF('F_Input Override'!K152="",'Consolidated Input'!K152,'F_Input Override'!K152)</f>
        <v>0</v>
      </c>
      <c r="L152" s="193">
        <f ca="1">SUM(Table3[[#This Row],[2023-24]:[2029-30]])</f>
        <v>0</v>
      </c>
    </row>
    <row r="153" spans="1:12">
      <c r="A153" s="181" t="str">
        <f>Table1[[#This Row],[Acronym]]</f>
        <v>YKY</v>
      </c>
      <c r="B153" s="181" t="str">
        <f>Table1[[#This Row],[BON code]]</f>
        <v>CWW17_012TOT_PR24</v>
      </c>
      <c r="C153" s="181" t="str">
        <f>Table1[[#This Row],[Item Description]]</f>
        <v>EA/NRW environmental programme wastewater (WINEP/NEP) - MCERTs monitoring at emergency sewage pumping station overflows (WINEP/NEP) wastewater totex - Total</v>
      </c>
      <c r="D153" s="188" t="s">
        <v>99</v>
      </c>
      <c r="E153" s="192">
        <f ca="1">IF('F_Input Override'!E153="",'Consolidated Input'!E153,'F_Input Override'!E153)</f>
        <v>0</v>
      </c>
      <c r="F153" s="192">
        <f ca="1">IF('F_Input Override'!F153="",'Consolidated Input'!F153,'F_Input Override'!F153)</f>
        <v>0</v>
      </c>
      <c r="G153" s="192">
        <f ca="1">IF('F_Input Override'!G153="",'Consolidated Input'!G153,'F_Input Override'!G153)</f>
        <v>0</v>
      </c>
      <c r="H153" s="192">
        <f ca="1">IF('F_Input Override'!H153="",'Consolidated Input'!H153,'F_Input Override'!H153)</f>
        <v>0</v>
      </c>
      <c r="I153" s="192">
        <f ca="1">IF('F_Input Override'!I153="",'Consolidated Input'!I153,'F_Input Override'!I153)</f>
        <v>0</v>
      </c>
      <c r="J153" s="192">
        <f ca="1">IF('F_Input Override'!J153="",'Consolidated Input'!J153,'F_Input Override'!J153)</f>
        <v>0</v>
      </c>
      <c r="K153" s="189">
        <f ca="1">IF('F_Input Override'!K153="",'Consolidated Input'!K153,'F_Input Override'!K153)</f>
        <v>0</v>
      </c>
      <c r="L153" s="193">
        <f ca="1">SUM(Table3[[#This Row],[2023-24]:[2029-30]])</f>
        <v>0</v>
      </c>
    </row>
    <row r="154" spans="1:12">
      <c r="A154" s="181" t="str">
        <f>Table1[[#This Row],[Acronym]]</f>
        <v>YKY</v>
      </c>
      <c r="B154" s="181" t="str">
        <f>Table1[[#This Row],[BON code]]</f>
        <v>CWW20_050_PR24</v>
      </c>
      <c r="C154" s="181" t="str">
        <f>Table1[[#This Row],[Item Description]]</f>
        <v>Network / Storm overflow data - Number of new MCERTs event duration monitors installed at SPS emergency overflows</v>
      </c>
      <c r="D154" s="188" t="s">
        <v>99</v>
      </c>
      <c r="E154" s="192">
        <f ca="1">IF('F_Input Override'!E154="",'Consolidated Input'!E154,'F_Input Override'!E154)</f>
        <v>0</v>
      </c>
      <c r="F154" s="192">
        <f ca="1">IF('F_Input Override'!F154="",'Consolidated Input'!F154,'F_Input Override'!F154)</f>
        <v>0</v>
      </c>
      <c r="G154" s="192">
        <f ca="1">IF('F_Input Override'!G154="",'Consolidated Input'!G154,'F_Input Override'!G154)</f>
        <v>379</v>
      </c>
      <c r="H154" s="192">
        <f ca="1">IF('F_Input Override'!H154="",'Consolidated Input'!H154,'F_Input Override'!H154)</f>
        <v>0</v>
      </c>
      <c r="I154" s="192">
        <f ca="1">IF('F_Input Override'!I154="",'Consolidated Input'!I154,'F_Input Override'!I154)</f>
        <v>0</v>
      </c>
      <c r="J154" s="192">
        <f ca="1">IF('F_Input Override'!J154="",'Consolidated Input'!J154,'F_Input Override'!J154)</f>
        <v>0</v>
      </c>
      <c r="K154" s="189">
        <f ca="1">IF('F_Input Override'!K154="",'Consolidated Input'!K154,'F_Input Override'!K154)</f>
        <v>0</v>
      </c>
      <c r="L154" s="193">
        <f ca="1">SUM(Table3[[#This Row],[2023-24]:[2029-30]])</f>
        <v>379</v>
      </c>
    </row>
    <row r="155" spans="1:12">
      <c r="A155" s="181" t="str">
        <f>Table1[[#This Row],[Acronym]]</f>
        <v>YKY</v>
      </c>
      <c r="B155" s="181" t="str">
        <f>Table1[[#This Row],[BON code]]</f>
        <v>CWW20_051_PR24</v>
      </c>
      <c r="C155" s="181" t="str">
        <f>Table1[[#This Row],[Item Description]]</f>
        <v>Network / Storm overflow data - Number of new MCERTs flow monitors (PFF) installed at SPSs with combined emergency and storm overflows.</v>
      </c>
      <c r="D155" s="188" t="s">
        <v>99</v>
      </c>
      <c r="E155" s="192">
        <f ca="1">IF('F_Input Override'!E155="",'Consolidated Input'!E155,'F_Input Override'!E155)</f>
        <v>0</v>
      </c>
      <c r="F155" s="192">
        <f ca="1">IF('F_Input Override'!F155="",'Consolidated Input'!F155,'F_Input Override'!F155)</f>
        <v>0</v>
      </c>
      <c r="G155" s="192">
        <f ca="1">IF('F_Input Override'!G155="",'Consolidated Input'!G155,'F_Input Override'!G155)</f>
        <v>361</v>
      </c>
      <c r="H155" s="192">
        <f ca="1">IF('F_Input Override'!H155="",'Consolidated Input'!H155,'F_Input Override'!H155)</f>
        <v>0</v>
      </c>
      <c r="I155" s="192">
        <f ca="1">IF('F_Input Override'!I155="",'Consolidated Input'!I155,'F_Input Override'!I155)</f>
        <v>0</v>
      </c>
      <c r="J155" s="192">
        <f ca="1">IF('F_Input Override'!J155="",'Consolidated Input'!J155,'F_Input Override'!J155)</f>
        <v>0</v>
      </c>
      <c r="K155" s="189">
        <f ca="1">IF('F_Input Override'!K155="",'Consolidated Input'!K155,'F_Input Override'!K155)</f>
        <v>0</v>
      </c>
      <c r="L155" s="193">
        <f ca="1">SUM(Table3[[#This Row],[2023-24]:[2029-30]])</f>
        <v>361</v>
      </c>
    </row>
    <row r="156" spans="1:12">
      <c r="A156" s="181" t="str">
        <f>Table1[[#This Row],[Acronym]]</f>
        <v>YKY</v>
      </c>
      <c r="B156" s="181" t="str">
        <f>Table1[[#This Row],[BON code]]</f>
        <v>CWW20A_050_PR24</v>
      </c>
      <c r="C156" s="181" t="str">
        <f>Table1[[#This Row],[Item Description]]</f>
        <v>Network / Storm overflow data - Number of new MCERTs event duration monitors installed at SPS emergency overflows</v>
      </c>
      <c r="D156" s="188" t="s">
        <v>99</v>
      </c>
      <c r="E156" s="192">
        <f ca="1">IF('F_Input Override'!E156="",'Consolidated Input'!E156,'F_Input Override'!E156)</f>
        <v>0</v>
      </c>
      <c r="F156" s="192">
        <f ca="1">IF('F_Input Override'!F156="",'Consolidated Input'!F156,'F_Input Override'!F156)</f>
        <v>0</v>
      </c>
      <c r="G156" s="192">
        <f ca="1">IF('F_Input Override'!G156="",'Consolidated Input'!G156,'F_Input Override'!G156)</f>
        <v>0</v>
      </c>
      <c r="H156" s="192">
        <f ca="1">IF('F_Input Override'!H156="",'Consolidated Input'!H156,'F_Input Override'!H156)</f>
        <v>0</v>
      </c>
      <c r="I156" s="192">
        <f ca="1">IF('F_Input Override'!I156="",'Consolidated Input'!I156,'F_Input Override'!I156)</f>
        <v>0</v>
      </c>
      <c r="J156" s="192">
        <f ca="1">IF('F_Input Override'!J156="",'Consolidated Input'!J156,'F_Input Override'!J156)</f>
        <v>0</v>
      </c>
      <c r="K156" s="189">
        <f ca="1">IF('F_Input Override'!K156="",'Consolidated Input'!K156,'F_Input Override'!K156)</f>
        <v>0</v>
      </c>
      <c r="L156" s="193">
        <f ca="1">SUM(Table3[[#This Row],[2023-24]:[2029-30]])</f>
        <v>0</v>
      </c>
    </row>
    <row r="157" spans="1:12">
      <c r="A157" s="181" t="str">
        <f>Table1[[#This Row],[Acronym]]</f>
        <v>YKY</v>
      </c>
      <c r="B157" s="181" t="str">
        <f>Table1[[#This Row],[BON code]]</f>
        <v>CWW20A_051_PR24</v>
      </c>
      <c r="C157" s="181" t="str">
        <f>Table1[[#This Row],[Item Description]]</f>
        <v>Network / Storm overflow data - Number of new MCERTs flow monitors (PFF) installed at SPSs with combined emergency and storm overflows.</v>
      </c>
      <c r="D157" s="188" t="s">
        <v>99</v>
      </c>
      <c r="E157" s="192">
        <f ca="1">IF('F_Input Override'!E157="",'Consolidated Input'!E157,'F_Input Override'!E157)</f>
        <v>0</v>
      </c>
      <c r="F157" s="192">
        <f ca="1">IF('F_Input Override'!F157="",'Consolidated Input'!F157,'F_Input Override'!F157)</f>
        <v>0</v>
      </c>
      <c r="G157" s="192">
        <f ca="1">IF('F_Input Override'!G157="",'Consolidated Input'!G157,'F_Input Override'!G157)</f>
        <v>0</v>
      </c>
      <c r="H157" s="192">
        <f ca="1">IF('F_Input Override'!H157="",'Consolidated Input'!H157,'F_Input Override'!H157)</f>
        <v>0</v>
      </c>
      <c r="I157" s="192">
        <f ca="1">IF('F_Input Override'!I157="",'Consolidated Input'!I157,'F_Input Override'!I157)</f>
        <v>0</v>
      </c>
      <c r="J157" s="192">
        <f ca="1">IF('F_Input Override'!J157="",'Consolidated Input'!J157,'F_Input Override'!J157)</f>
        <v>0</v>
      </c>
      <c r="K157" s="189">
        <f ca="1">IF('F_Input Override'!K157="",'Consolidated Input'!K157,'F_Input Override'!K157)</f>
        <v>0</v>
      </c>
      <c r="L157" s="193">
        <f ca="1">SUM(Table3[[#This Row],[2023-24]:[2029-30]])</f>
        <v>0</v>
      </c>
    </row>
    <row r="158" spans="1:12">
      <c r="A158" s="181" t="str">
        <f>Table1[[#This Row],[Acronym]]</f>
        <v>YKY</v>
      </c>
      <c r="B158" s="181" t="str">
        <f>Table1[[#This Row],[BON code]]</f>
        <v>CWW1A_015TOT_PR24</v>
      </c>
      <c r="C158" s="181" t="str">
        <f>Table1[[#This Row],[Item Description]]</f>
        <v>Net totex - Total</v>
      </c>
      <c r="D158" s="188" t="s">
        <v>99</v>
      </c>
      <c r="E158" s="192">
        <f ca="1">IF('F_Input Override'!E158="",'Consolidated Input'!E158,'F_Input Override'!E158)</f>
        <v>0</v>
      </c>
      <c r="F158" s="192">
        <f ca="1">IF('F_Input Override'!F158="",'Consolidated Input'!F158,'F_Input Override'!F158)</f>
        <v>0</v>
      </c>
      <c r="G158" s="192">
        <f ca="1">IF('F_Input Override'!G158="",'Consolidated Input'!G158,'F_Input Override'!G158)</f>
        <v>862.90684243736268</v>
      </c>
      <c r="H158" s="192">
        <f ca="1">IF('F_Input Override'!H158="",'Consolidated Input'!H158,'F_Input Override'!H158)</f>
        <v>1023.836972489322</v>
      </c>
      <c r="I158" s="192">
        <f ca="1">IF('F_Input Override'!I158="",'Consolidated Input'!I158,'F_Input Override'!I158)</f>
        <v>974.11492033814147</v>
      </c>
      <c r="J158" s="192">
        <f ca="1">IF('F_Input Override'!J158="",'Consolidated Input'!J158,'F_Input Override'!J158)</f>
        <v>886.57950053133004</v>
      </c>
      <c r="K158" s="189">
        <f ca="1">IF('F_Input Override'!K158="",'Consolidated Input'!K158,'F_Input Override'!K158)</f>
        <v>783.01520971339971</v>
      </c>
      <c r="L158" s="193">
        <f ca="1">SUM(Table3[[#This Row],[2023-24]:[2029-30]])</f>
        <v>4530.4534455095554</v>
      </c>
    </row>
    <row r="159" spans="1:12">
      <c r="A159" s="181"/>
      <c r="B159" s="181"/>
      <c r="C159" s="181"/>
      <c r="D159" s="188"/>
      <c r="E159" s="192"/>
      <c r="F159" s="192"/>
      <c r="G159" s="192"/>
      <c r="H159" s="192"/>
      <c r="I159" s="192"/>
      <c r="J159" s="192"/>
      <c r="K159" s="189"/>
      <c r="L159" s="193"/>
    </row>
    <row r="160" spans="1:12">
      <c r="A160" s="181"/>
      <c r="B160" s="181"/>
      <c r="C160" s="181"/>
      <c r="D160" s="188"/>
      <c r="E160" s="192"/>
      <c r="F160" s="192"/>
      <c r="G160" s="192"/>
      <c r="H160" s="192"/>
      <c r="I160" s="192"/>
      <c r="J160" s="192"/>
      <c r="K160" s="189"/>
      <c r="L160" s="193"/>
    </row>
    <row r="161" spans="1:12">
      <c r="A161" s="181"/>
      <c r="B161" s="181"/>
      <c r="C161" s="181"/>
      <c r="D161" s="188"/>
      <c r="E161" s="192"/>
      <c r="F161" s="192"/>
      <c r="G161" s="192"/>
      <c r="H161" s="192"/>
      <c r="I161" s="192"/>
      <c r="J161" s="192"/>
      <c r="K161" s="189"/>
      <c r="L161" s="193"/>
    </row>
    <row r="162" spans="1:12">
      <c r="A162" s="181"/>
      <c r="B162" s="181"/>
      <c r="C162" s="181"/>
      <c r="D162" s="188"/>
      <c r="E162" s="192"/>
      <c r="F162" s="192"/>
      <c r="G162" s="192"/>
      <c r="H162" s="192"/>
      <c r="I162" s="192"/>
      <c r="J162" s="192"/>
      <c r="K162" s="189"/>
      <c r="L162" s="193"/>
    </row>
  </sheetData>
  <phoneticPr fontId="48"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1c95305-930c-4d63-9794-2d644343057c" xsi:nil="true"/>
    <lcf76f155ced4ddcb4097134ff3c332f xmlns="fadac89a-56fa-4a3d-a427-8ae1dcb95347">
      <Terms xmlns="http://schemas.microsoft.com/office/infopath/2007/PartnerControls"/>
    </lcf76f155ced4ddcb4097134ff3c332f>
    <ref xmlns="fadac89a-56fa-4a3d-a427-8ae1dcb9534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41D501-C996-4162-851E-F6D41B23CE60}"/>
</file>

<file path=customXml/itemProps2.xml><?xml version="1.0" encoding="utf-8"?>
<ds:datastoreItem xmlns:ds="http://schemas.openxmlformats.org/officeDocument/2006/customXml" ds:itemID="{E2049E47-BCBB-4D16-9C24-425F619C350B}"/>
</file>

<file path=customXml/itemProps3.xml><?xml version="1.0" encoding="utf-8"?>
<ds:datastoreItem xmlns:ds="http://schemas.openxmlformats.org/officeDocument/2006/customXml" ds:itemID="{A633B746-0126-4BED-9483-9531BF3E49B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2024-12-13T11:50:14Z</dcterms:created>
  <dcterms:modified xsi:type="dcterms:W3CDTF">2025-03-26T10:10:32Z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Order">
    <vt:r8>8700</vt:r8>
  </property>
  <property fmtid="{D5CDD505-2E9C-101B-9397-08002B2CF9AE}" pid="4" name="j014a7bd3fd34d828fc493e84f684b49">
    <vt:lpwstr/>
  </property>
  <property fmtid="{D5CDD505-2E9C-101B-9397-08002B2CF9AE}" pid="5" name="Meeting">
    <vt:lpwstr/>
  </property>
  <property fmtid="{D5CDD505-2E9C-101B-9397-08002B2CF9AE}" pid="6" name="b2faa34e97554b63aaaf45270201a270">
    <vt:lpwstr/>
  </property>
  <property fmtid="{D5CDD505-2E9C-101B-9397-08002B2CF9AE}" pid="7" name="PageName">
    <vt:lpwstr/>
  </property>
  <property fmtid="{D5CDD505-2E9C-101B-9397-08002B2CF9AE}" pid="8" name="xd_ProgID">
    <vt:lpwstr/>
  </property>
  <property fmtid="{D5CDD505-2E9C-101B-9397-08002B2CF9AE}" pid="9" name="MediaServiceImageTags">
    <vt:lpwstr/>
  </property>
  <property fmtid="{D5CDD505-2E9C-101B-9397-08002B2CF9AE}" pid="10" name="Stakeholder 2">
    <vt:lpwstr/>
  </property>
  <property fmtid="{D5CDD505-2E9C-101B-9397-08002B2CF9AE}" pid="11" name="ContentTypeId">
    <vt:lpwstr>0x0101004010F36128E44943B1120CACFDAE9F7B</vt:lpwstr>
  </property>
  <property fmtid="{D5CDD505-2E9C-101B-9397-08002B2CF9AE}" pid="12" name="Hierarchy">
    <vt:lpwstr/>
  </property>
  <property fmtid="{D5CDD505-2E9C-101B-9397-08002B2CF9AE}" pid="13" name="ComplianceAssetId">
    <vt:lpwstr/>
  </property>
  <property fmtid="{D5CDD505-2E9C-101B-9397-08002B2CF9AE}" pid="14" name="TemplateUrl">
    <vt:lpwstr/>
  </property>
  <property fmtid="{D5CDD505-2E9C-101B-9397-08002B2CF9AE}" pid="15" name="Collection">
    <vt:lpwstr/>
  </property>
  <property fmtid="{D5CDD505-2E9C-101B-9397-08002B2CF9AE}" pid="16" name="m279c8e365374608a4eb2bb657f838c2">
    <vt:lpwstr/>
  </property>
  <property fmtid="{D5CDD505-2E9C-101B-9397-08002B2CF9AE}" pid="17" name="Project Code">
    <vt:lpwstr/>
  </property>
  <property fmtid="{D5CDD505-2E9C-101B-9397-08002B2CF9AE}" pid="18" name="OfwatPolicyType">
    <vt:lpwstr>2;#Form|370855c6-d98d-422f-af45-033b01692a3f</vt:lpwstr>
  </property>
  <property fmtid="{D5CDD505-2E9C-101B-9397-08002B2CF9AE}" pid="19" name="j7c77f2a1a924badb0d621542422dc19">
    <vt:lpwstr/>
  </property>
  <property fmtid="{D5CDD505-2E9C-101B-9397-08002B2CF9AE}" pid="20" name="OfwatPolicyCategory">
    <vt:lpwstr>3;#All Ofwat|818d8686-f149-4d61-afd2-beebc820126a</vt:lpwstr>
  </property>
  <property fmtid="{D5CDD505-2E9C-101B-9397-08002B2CF9AE}" pid="21" name="Stakeholder 3">
    <vt:lpwstr/>
  </property>
  <property fmtid="{D5CDD505-2E9C-101B-9397-08002B2CF9AE}" pid="22" name="Water Companies">
    <vt:lpwstr/>
  </property>
  <property fmtid="{D5CDD505-2E9C-101B-9397-08002B2CF9AE}" pid="23" name="_ExtendedDescription">
    <vt:lpwstr/>
  </property>
  <property fmtid="{D5CDD505-2E9C-101B-9397-08002B2CF9AE}" pid="24" name="e3282ffb8aa84113a2fc01ee206d1f3f">
    <vt:lpwstr>Form|370855c6-d98d-422f-af45-033b01692a3f</vt:lpwstr>
  </property>
  <property fmtid="{D5CDD505-2E9C-101B-9397-08002B2CF9AE}" pid="25" name="a9250910d34f4f6d82af870f608babb6">
    <vt:lpwstr/>
  </property>
  <property fmtid="{D5CDD505-2E9C-101B-9397-08002B2CF9AE}" pid="26" name="oe9d4f963f4c420b8d2b35d038476850">
    <vt:lpwstr/>
  </property>
  <property fmtid="{D5CDD505-2E9C-101B-9397-08002B2CF9AE}" pid="27" name="TriggerFlowInfo">
    <vt:lpwstr/>
  </property>
  <property fmtid="{D5CDD505-2E9C-101B-9397-08002B2CF9AE}" pid="28" name="Stakeholder">
    <vt:lpwstr/>
  </property>
  <property fmtid="{D5CDD505-2E9C-101B-9397-08002B2CF9AE}" pid="29" name="Document Type">
    <vt:lpwstr/>
  </property>
  <property fmtid="{D5CDD505-2E9C-101B-9397-08002B2CF9AE}" pid="30" name="Security Classification">
    <vt:lpwstr/>
  </property>
  <property fmtid="{D5CDD505-2E9C-101B-9397-08002B2CF9AE}" pid="31" name="OfwatPolicyTopic">
    <vt:lpwstr/>
  </property>
  <property fmtid="{D5CDD505-2E9C-101B-9397-08002B2CF9AE}" pid="32" name="b128efbe498d4e38a73555a2e7be12ea">
    <vt:lpwstr/>
  </property>
  <property fmtid="{D5CDD505-2E9C-101B-9397-08002B2CF9AE}" pid="33" name="Stakeholder 4">
    <vt:lpwstr/>
  </property>
  <property fmtid="{D5CDD505-2E9C-101B-9397-08002B2CF9AE}" pid="34" name="xd_Signature">
    <vt:bool>false</vt:bool>
  </property>
  <property fmtid="{D5CDD505-2E9C-101B-9397-08002B2CF9AE}" pid="35" name="GUID">
    <vt:lpwstr>2879a730-d57d-4bee-a1a9-aef614050b47</vt:lpwstr>
  </property>
  <property fmtid="{D5CDD505-2E9C-101B-9397-08002B2CF9AE}" pid="36" name="da4e9ae56afa494a84f353054bd212ec">
    <vt:lpwstr/>
  </property>
  <property fmtid="{D5CDD505-2E9C-101B-9397-08002B2CF9AE}" pid="37" name="f8aa492165544285b4c7fe9d1b6ad82c">
    <vt:lpwstr/>
  </property>
  <property fmtid="{D5CDD505-2E9C-101B-9397-08002B2CF9AE}" pid="38" name="Stakeholder 5">
    <vt:lpwstr/>
  </property>
  <property fmtid="{D5CDD505-2E9C-101B-9397-08002B2CF9AE}" pid="39" name="Area">
    <vt:lpwstr>2;#All Ofwat|a2f0c570-ff2d-47bb-b6f0-977a73bf09bf</vt:lpwstr>
  </property>
  <property fmtid="{D5CDD505-2E9C-101B-9397-08002B2CF9AE}" pid="40" name="b20f10deb29d4945907115b7b62c5b70">
    <vt:lpwstr/>
  </property>
  <property fmtid="{D5CDD505-2E9C-101B-9397-08002B2CF9AE}" pid="41" name="DocumentType">
    <vt:lpwstr>4;#Form|0296d661-b298-4bb3-82b3-ac8e6c6047c5</vt:lpwstr>
  </property>
  <property fmtid="{D5CDD505-2E9C-101B-9397-08002B2CF9AE}" pid="42" name="a3e3f1078fb942d09b9b3b0aad8c1e11">
    <vt:lpwstr>All Ofwat|818d8686-f149-4d61-afd2-beebc820126a</vt:lpwstr>
  </property>
</Properties>
</file>