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fileSharing readOnlyRecommended="1"/>
  <workbookPr filterPrivacy="1" showInkAnnotation="0" codeName="ThisWorkbook" defaultThemeVersion="124226"/>
  <xr:revisionPtr revIDLastSave="146" documentId="8_{36DB81D5-3AEB-44B2-A064-12C4D8EBE478}" xr6:coauthVersionLast="47" xr6:coauthVersionMax="47" xr10:uidLastSave="{AB7DE5F4-C9E3-45EF-B67C-4C20A53F6CC6}"/>
  <bookViews>
    <workbookView xWindow="33720" yWindow="-120" windowWidth="29040" windowHeight="15720" tabRatio="710" xr2:uid="{00000000-000D-0000-FFFF-FFFF00000000}"/>
  </bookViews>
  <sheets>
    <sheet name="Cover" sheetId="41" r:id="rId1"/>
    <sheet name="ChangeLog" sheetId="42" r:id="rId2"/>
    <sheet name="Style Guide" sheetId="2" r:id="rId3"/>
    <sheet name="ToC" sheetId="13" r:id="rId4"/>
    <sheet name="Validation" sheetId="30" r:id="rId5"/>
    <sheet name="F_Inputs" sheetId="39" r:id="rId6"/>
    <sheet name="InpOverride" sheetId="35" r:id="rId7"/>
    <sheet name="Inp_active PR24" sheetId="33" r:id="rId8"/>
    <sheet name="InitialBalance" sheetId="26" r:id="rId9"/>
    <sheet name="RunOffRate" sheetId="27" r:id="rId10"/>
    <sheet name="RealRPIBasedWACC" sheetId="29" r:id="rId11"/>
    <sheet name="RealCPIHBasedWACC" sheetId="28" r:id="rId12"/>
    <sheet name="BYR" sheetId="38" r:id="rId13"/>
    <sheet name="InpR" sheetId="7" r:id="rId14"/>
    <sheet name="Time" sheetId="8" r:id="rId15"/>
    <sheet name="Index" sheetId="16" r:id="rId16"/>
    <sheet name="Calcs-WR" sheetId="21" r:id="rId17"/>
    <sheet name="Calcs-WN" sheetId="12" r:id="rId18"/>
    <sheet name="Calcs-WWN" sheetId="22" r:id="rId19"/>
    <sheet name="Calcs-BR" sheetId="23" r:id="rId20"/>
    <sheet name="Calcs-DMMY" sheetId="24" r:id="rId21"/>
    <sheet name="Adjustments" sheetId="20" r:id="rId22"/>
    <sheet name="Checks" sheetId="9" r:id="rId23"/>
    <sheet name="F_Outputs" sheetId="25" r:id="rId24"/>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ChK_Tol">InpR!$F$128</definedName>
    <definedName name="F" localSheetId="0">{"bal",#N/A,FALSE,"working papers";"income",#N/A,FALSE,"working papers"}</definedName>
    <definedName name="F" hidden="1">{"bal",#N/A,FALSE,"working papers";"income",#N/A,FALSE,"working papers"}</definedName>
    <definedName name="fdraf" localSheetId="0">{"bal",#N/A,FALSE,"working papers";"income",#N/A,FALSE,"working papers"}</definedName>
    <definedName name="fdraf" hidden="1">{"bal",#N/A,FALSE,"working papers";"income",#N/A,FALSE,"working papers"}</definedName>
    <definedName name="Fdraft" localSheetId="0">{"bal",#N/A,FALSE,"working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Titles" localSheetId="21">Adjustments!$A:$F,Adjustments!$1:$2</definedName>
    <definedName name="_xlnm.Print_Titles" localSheetId="19">'Calcs-BR'!$A:$F,'Calcs-BR'!$1:$2</definedName>
    <definedName name="_xlnm.Print_Titles" localSheetId="20">'Calcs-DMMY'!$A:$F,'Calcs-DMMY'!$1:$2</definedName>
    <definedName name="_xlnm.Print_Titles" localSheetId="17">'Calcs-WN'!$A:$F,'Calcs-WN'!$1:$2</definedName>
    <definedName name="_xlnm.Print_Titles" localSheetId="16">'Calcs-WR'!$A:$F,'Calcs-WR'!$1:$2</definedName>
    <definedName name="_xlnm.Print_Titles" localSheetId="18">'Calcs-WWN'!$A:$F,'Calcs-WWN'!$1:$2</definedName>
    <definedName name="_xlnm.Print_Titles" localSheetId="22">Checks!$A:$F,Checks!$1:$3</definedName>
    <definedName name="_xlnm.Print_Titles" localSheetId="15">Index!$A:$F,Index!$1:$2</definedName>
    <definedName name="_xlnm.Print_Titles" localSheetId="13">InpR!$A:$F,InpR!$1:$3</definedName>
    <definedName name="_xlnm.Print_Titles" localSheetId="14">Time!$A:$F,Time!$1:$2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0">5</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localSheetId="0">{"bal",#N/A,FALSE,"working papers";"income",#N/A,FALSE,"working papers"}</definedName>
    <definedName name="wrn.papersdraft" hidden="1">{"bal",#N/A,FALSE,"working papers";"income",#N/A,FALSE,"working papers"}</definedName>
    <definedName name="wrn.wpapers." localSheetId="0">{"bal",#N/A,FALSE,"working papers";"income",#N/A,FALSE,"working papers"}</definedName>
    <definedName name="wrn.wpapers." hidden="1">{"bal",#N/A,FALSE,"working papers";"income",#N/A,FALSE,"working papers"}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42" l="1"/>
  <c r="E17" i="42"/>
  <c r="E12" i="42"/>
  <c r="A1" i="42"/>
  <c r="C7" i="41"/>
  <c r="A1" i="41"/>
  <c r="B5" i="13" s="1"/>
  <c r="F7" i="25"/>
  <c r="F6" i="25"/>
  <c r="F5" i="25"/>
  <c r="F4" i="25"/>
  <c r="G18" i="9"/>
  <c r="E18" i="9"/>
  <c r="G17" i="9"/>
  <c r="E17" i="9"/>
  <c r="G16" i="9"/>
  <c r="E16" i="9"/>
  <c r="G15" i="9"/>
  <c r="E15" i="9"/>
  <c r="G14" i="9"/>
  <c r="E14" i="9"/>
  <c r="G13" i="9"/>
  <c r="E13" i="9"/>
  <c r="E5" i="9"/>
  <c r="E3" i="9"/>
  <c r="E2" i="9"/>
  <c r="A1" i="9"/>
  <c r="H5" i="13" s="1"/>
  <c r="G35" i="20"/>
  <c r="E35" i="20"/>
  <c r="G34" i="20"/>
  <c r="E34" i="20"/>
  <c r="G33" i="20"/>
  <c r="E33" i="20"/>
  <c r="H32" i="20"/>
  <c r="G32" i="20"/>
  <c r="E32" i="20"/>
  <c r="G29" i="20"/>
  <c r="E29" i="20"/>
  <c r="G28" i="20"/>
  <c r="E28" i="20"/>
  <c r="G27" i="20"/>
  <c r="E27" i="20"/>
  <c r="H26" i="20"/>
  <c r="G26" i="20"/>
  <c r="E26" i="20"/>
  <c r="G23" i="20"/>
  <c r="E23" i="20"/>
  <c r="G22" i="20"/>
  <c r="E22" i="20"/>
  <c r="G21" i="20"/>
  <c r="E21" i="20"/>
  <c r="H20" i="20"/>
  <c r="G20" i="20"/>
  <c r="E20" i="20"/>
  <c r="G17" i="20"/>
  <c r="E17" i="20"/>
  <c r="G16" i="20"/>
  <c r="E16" i="20"/>
  <c r="G15" i="20"/>
  <c r="E15" i="20"/>
  <c r="H14" i="20"/>
  <c r="G14" i="20"/>
  <c r="E14" i="20"/>
  <c r="G11" i="20"/>
  <c r="E11" i="20"/>
  <c r="G10" i="20"/>
  <c r="E10" i="20"/>
  <c r="G9" i="20"/>
  <c r="E9" i="20"/>
  <c r="H8" i="20"/>
  <c r="G8" i="20"/>
  <c r="E8" i="20"/>
  <c r="E6" i="20"/>
  <c r="E3" i="20"/>
  <c r="E2" i="20"/>
  <c r="A1" i="20"/>
  <c r="F5" i="13" s="1"/>
  <c r="I319" i="24"/>
  <c r="G319" i="24"/>
  <c r="F319" i="24"/>
  <c r="E319" i="24"/>
  <c r="I315" i="24"/>
  <c r="G315" i="24"/>
  <c r="F315" i="24"/>
  <c r="E315" i="24"/>
  <c r="I314" i="24"/>
  <c r="G314" i="24"/>
  <c r="F314" i="24"/>
  <c r="E314" i="24"/>
  <c r="I313" i="24"/>
  <c r="G313" i="24"/>
  <c r="F313" i="24"/>
  <c r="E313" i="24"/>
  <c r="I306" i="24"/>
  <c r="G306" i="24"/>
  <c r="F306" i="24"/>
  <c r="E306" i="24"/>
  <c r="I305" i="24"/>
  <c r="G305" i="24"/>
  <c r="F305" i="24"/>
  <c r="E305" i="24"/>
  <c r="I300" i="24"/>
  <c r="H300" i="24"/>
  <c r="G300" i="24"/>
  <c r="F300" i="24"/>
  <c r="E300" i="24"/>
  <c r="I299" i="24"/>
  <c r="F299" i="24"/>
  <c r="E299" i="24"/>
  <c r="I294" i="24"/>
  <c r="H294" i="24"/>
  <c r="G294" i="24"/>
  <c r="F294" i="24"/>
  <c r="E294" i="24"/>
  <c r="I293" i="24"/>
  <c r="F293" i="24"/>
  <c r="E293" i="24"/>
  <c r="R289" i="24"/>
  <c r="L289" i="24"/>
  <c r="K289" i="24"/>
  <c r="J289" i="24"/>
  <c r="I289" i="24"/>
  <c r="H289" i="24"/>
  <c r="G289" i="24"/>
  <c r="F289" i="24"/>
  <c r="E289" i="24"/>
  <c r="R288" i="24"/>
  <c r="Q288" i="24"/>
  <c r="P288" i="24"/>
  <c r="O288" i="24"/>
  <c r="N288" i="24"/>
  <c r="M288" i="24"/>
  <c r="L288" i="24"/>
  <c r="K288" i="24"/>
  <c r="J288" i="24"/>
  <c r="I288" i="24"/>
  <c r="H288" i="24"/>
  <c r="G288" i="24"/>
  <c r="F288" i="24"/>
  <c r="E288" i="24"/>
  <c r="I282" i="24"/>
  <c r="H282" i="24"/>
  <c r="G282" i="24"/>
  <c r="F282" i="24"/>
  <c r="E282" i="24"/>
  <c r="I281" i="24"/>
  <c r="F281" i="24"/>
  <c r="E281" i="24"/>
  <c r="I280" i="24"/>
  <c r="H280" i="24"/>
  <c r="G280" i="24"/>
  <c r="F280" i="24"/>
  <c r="E280" i="24"/>
  <c r="I279" i="24"/>
  <c r="H279" i="24"/>
  <c r="G279" i="24"/>
  <c r="F279" i="24"/>
  <c r="E279" i="24"/>
  <c r="I274" i="24"/>
  <c r="H274" i="24"/>
  <c r="G274" i="24"/>
  <c r="F274" i="24"/>
  <c r="E274" i="24"/>
  <c r="I273" i="24"/>
  <c r="H273" i="24"/>
  <c r="G273" i="24"/>
  <c r="G193" i="24" s="1"/>
  <c r="G203" i="24" s="1"/>
  <c r="F273" i="24"/>
  <c r="E273" i="24"/>
  <c r="I270" i="24"/>
  <c r="H270" i="24"/>
  <c r="G270" i="24"/>
  <c r="F270" i="24"/>
  <c r="E270" i="24"/>
  <c r="I269" i="24"/>
  <c r="G269" i="24"/>
  <c r="F269" i="24"/>
  <c r="E269" i="24"/>
  <c r="R268" i="24"/>
  <c r="L268" i="24"/>
  <c r="K268" i="24"/>
  <c r="J268" i="24"/>
  <c r="I268" i="24"/>
  <c r="H268" i="24"/>
  <c r="G268" i="24"/>
  <c r="F268" i="24"/>
  <c r="E268" i="24"/>
  <c r="I265" i="24"/>
  <c r="H265" i="24"/>
  <c r="G265" i="24"/>
  <c r="F265" i="24"/>
  <c r="E265" i="24"/>
  <c r="I264" i="24"/>
  <c r="H264" i="24"/>
  <c r="G264" i="24"/>
  <c r="F264" i="24"/>
  <c r="E264" i="24"/>
  <c r="I263" i="24"/>
  <c r="H263" i="24"/>
  <c r="G263" i="24"/>
  <c r="F263" i="24"/>
  <c r="E263" i="24"/>
  <c r="I259" i="24"/>
  <c r="H259" i="24"/>
  <c r="G259" i="24"/>
  <c r="F259" i="24"/>
  <c r="E259" i="24"/>
  <c r="J258" i="24"/>
  <c r="J263" i="24" s="1"/>
  <c r="I256" i="24"/>
  <c r="G256" i="24"/>
  <c r="F256" i="24"/>
  <c r="E256" i="24"/>
  <c r="I253" i="24"/>
  <c r="H253" i="24"/>
  <c r="F253" i="24"/>
  <c r="I252" i="24"/>
  <c r="H252" i="24"/>
  <c r="G252" i="24"/>
  <c r="F252" i="24"/>
  <c r="E252" i="24"/>
  <c r="G251" i="24"/>
  <c r="E251" i="24"/>
  <c r="I248" i="24"/>
  <c r="H248" i="24"/>
  <c r="G248" i="24"/>
  <c r="F248" i="24"/>
  <c r="E248" i="24"/>
  <c r="I247" i="24"/>
  <c r="H247" i="24"/>
  <c r="G247" i="24"/>
  <c r="F247" i="24"/>
  <c r="E247" i="24"/>
  <c r="R246" i="24"/>
  <c r="L246" i="24"/>
  <c r="K246" i="24"/>
  <c r="J246" i="24"/>
  <c r="I246" i="24"/>
  <c r="H246" i="24"/>
  <c r="G246" i="24"/>
  <c r="F246" i="24"/>
  <c r="E246" i="24"/>
  <c r="I243" i="24"/>
  <c r="H243" i="24"/>
  <c r="G243" i="24"/>
  <c r="F243" i="24"/>
  <c r="E243" i="24"/>
  <c r="I242" i="24"/>
  <c r="H242" i="24"/>
  <c r="G242" i="24"/>
  <c r="F242" i="24"/>
  <c r="E242" i="24"/>
  <c r="J239" i="24"/>
  <c r="I239" i="24"/>
  <c r="H239" i="24"/>
  <c r="G239" i="24"/>
  <c r="F239" i="24"/>
  <c r="E239" i="24"/>
  <c r="I238" i="24"/>
  <c r="H238" i="24"/>
  <c r="G238" i="24"/>
  <c r="F238" i="24"/>
  <c r="E238" i="24"/>
  <c r="I228" i="24"/>
  <c r="G228" i="24"/>
  <c r="F228" i="24"/>
  <c r="E228" i="24"/>
  <c r="I227" i="24"/>
  <c r="G227" i="24"/>
  <c r="F227" i="24"/>
  <c r="E227" i="24"/>
  <c r="I223" i="24"/>
  <c r="H223" i="24"/>
  <c r="G223" i="24"/>
  <c r="F223" i="24"/>
  <c r="E223" i="24"/>
  <c r="I222" i="24"/>
  <c r="G222" i="24"/>
  <c r="F222" i="24"/>
  <c r="E222" i="24"/>
  <c r="I218" i="24"/>
  <c r="H218" i="24"/>
  <c r="G218" i="24"/>
  <c r="F218" i="24"/>
  <c r="E218" i="24"/>
  <c r="I217" i="24"/>
  <c r="G217" i="24"/>
  <c r="F217" i="24"/>
  <c r="E217" i="24"/>
  <c r="R213" i="24"/>
  <c r="L213" i="24"/>
  <c r="K213" i="24"/>
  <c r="J213" i="24"/>
  <c r="I213" i="24"/>
  <c r="H213" i="24"/>
  <c r="G213" i="24"/>
  <c r="F213" i="24"/>
  <c r="E213" i="24"/>
  <c r="R212" i="24"/>
  <c r="Q212" i="24"/>
  <c r="P212" i="24"/>
  <c r="O212" i="24"/>
  <c r="N212" i="24"/>
  <c r="M212" i="24"/>
  <c r="L212" i="24"/>
  <c r="K212" i="24"/>
  <c r="J212" i="24"/>
  <c r="I212" i="24"/>
  <c r="H212" i="24"/>
  <c r="G212" i="24"/>
  <c r="F212" i="24"/>
  <c r="E212" i="24"/>
  <c r="I208" i="24"/>
  <c r="F208" i="24"/>
  <c r="I207" i="24"/>
  <c r="F207" i="24"/>
  <c r="I204" i="24"/>
  <c r="F204" i="24"/>
  <c r="I203" i="24"/>
  <c r="F203" i="24"/>
  <c r="I200" i="24"/>
  <c r="F200" i="24"/>
  <c r="E200" i="24"/>
  <c r="I199" i="24"/>
  <c r="F199" i="24"/>
  <c r="I191" i="24"/>
  <c r="H191" i="24"/>
  <c r="G191" i="24"/>
  <c r="F191" i="24"/>
  <c r="E191" i="24"/>
  <c r="I190" i="24"/>
  <c r="H190" i="24"/>
  <c r="G190" i="24"/>
  <c r="F190" i="24"/>
  <c r="E190" i="24"/>
  <c r="I189" i="24"/>
  <c r="F189" i="24"/>
  <c r="E189" i="24"/>
  <c r="E197" i="24" s="1"/>
  <c r="E208" i="24" s="1"/>
  <c r="I186" i="24"/>
  <c r="F186" i="24"/>
  <c r="E186" i="24"/>
  <c r="E194" i="24" s="1"/>
  <c r="E207" i="24" s="1"/>
  <c r="I185" i="24"/>
  <c r="H185" i="24"/>
  <c r="G185" i="24"/>
  <c r="F185" i="24"/>
  <c r="E185" i="24"/>
  <c r="E193" i="24" s="1"/>
  <c r="E203" i="24" s="1"/>
  <c r="I184" i="24"/>
  <c r="H184" i="24"/>
  <c r="G184" i="24"/>
  <c r="F184" i="24"/>
  <c r="E184" i="24"/>
  <c r="E192" i="24" s="1"/>
  <c r="E199" i="24" s="1"/>
  <c r="I178" i="24"/>
  <c r="H178" i="24"/>
  <c r="G178" i="24"/>
  <c r="F178" i="24"/>
  <c r="E178" i="24"/>
  <c r="I173" i="24"/>
  <c r="H173" i="24"/>
  <c r="G173" i="24"/>
  <c r="F173" i="24"/>
  <c r="E173" i="24"/>
  <c r="I172" i="24"/>
  <c r="H172" i="24"/>
  <c r="G172" i="24"/>
  <c r="F172" i="24"/>
  <c r="E172" i="24"/>
  <c r="I171" i="24"/>
  <c r="H171" i="24"/>
  <c r="G171" i="24"/>
  <c r="F171" i="24"/>
  <c r="E171" i="24"/>
  <c r="I170" i="24"/>
  <c r="H170" i="24"/>
  <c r="G170" i="24"/>
  <c r="F170" i="24"/>
  <c r="E170" i="24"/>
  <c r="R165" i="24"/>
  <c r="L165" i="24"/>
  <c r="K165" i="24"/>
  <c r="J165" i="24"/>
  <c r="I165" i="24"/>
  <c r="F165" i="24"/>
  <c r="E165" i="24"/>
  <c r="I164" i="24"/>
  <c r="F164" i="24"/>
  <c r="E164" i="24"/>
  <c r="G162" i="24"/>
  <c r="G164" i="24" s="1"/>
  <c r="I161" i="24"/>
  <c r="F161" i="24"/>
  <c r="E161" i="24"/>
  <c r="I160" i="24"/>
  <c r="F160" i="24"/>
  <c r="E160" i="24"/>
  <c r="I157" i="24"/>
  <c r="H157" i="24"/>
  <c r="G157" i="24"/>
  <c r="F157" i="24"/>
  <c r="E157" i="24"/>
  <c r="I156" i="24"/>
  <c r="H156" i="24"/>
  <c r="G156" i="24"/>
  <c r="F156" i="24"/>
  <c r="E156" i="24"/>
  <c r="I153" i="24"/>
  <c r="H153" i="24"/>
  <c r="G153" i="24"/>
  <c r="F153" i="24"/>
  <c r="E153" i="24"/>
  <c r="I152" i="24"/>
  <c r="G152" i="24"/>
  <c r="F152" i="24"/>
  <c r="E152" i="24"/>
  <c r="R151" i="24"/>
  <c r="L151" i="24"/>
  <c r="K151" i="24"/>
  <c r="J151" i="24"/>
  <c r="I151" i="24"/>
  <c r="H151" i="24"/>
  <c r="G151" i="24"/>
  <c r="F151" i="24"/>
  <c r="E151" i="24"/>
  <c r="I148" i="24"/>
  <c r="H148" i="24"/>
  <c r="G148" i="24"/>
  <c r="F148" i="24"/>
  <c r="E148" i="24"/>
  <c r="I147" i="24"/>
  <c r="H147" i="24"/>
  <c r="G147" i="24"/>
  <c r="F147" i="24"/>
  <c r="E147" i="24"/>
  <c r="I146" i="24"/>
  <c r="H146" i="24"/>
  <c r="G146" i="24"/>
  <c r="F146" i="24"/>
  <c r="E146" i="24"/>
  <c r="I143" i="24"/>
  <c r="H143" i="24"/>
  <c r="G143" i="24"/>
  <c r="F143" i="24"/>
  <c r="E143" i="24"/>
  <c r="I142" i="24"/>
  <c r="H142" i="24"/>
  <c r="G142" i="24"/>
  <c r="F142" i="24"/>
  <c r="E142" i="24"/>
  <c r="J141" i="24"/>
  <c r="J146" i="24" s="1"/>
  <c r="I139" i="24"/>
  <c r="G139" i="24"/>
  <c r="F139" i="24"/>
  <c r="E139" i="24"/>
  <c r="G138" i="24"/>
  <c r="E138" i="24"/>
  <c r="I135" i="24"/>
  <c r="H135" i="24"/>
  <c r="G135" i="24"/>
  <c r="F135" i="24"/>
  <c r="E135" i="24"/>
  <c r="I134" i="24"/>
  <c r="H134" i="24"/>
  <c r="G134" i="24"/>
  <c r="F134" i="24"/>
  <c r="E134" i="24"/>
  <c r="R133" i="24"/>
  <c r="L133" i="24"/>
  <c r="K133" i="24"/>
  <c r="J133" i="24"/>
  <c r="I133" i="24"/>
  <c r="H133" i="24"/>
  <c r="G133" i="24"/>
  <c r="F133" i="24"/>
  <c r="E133" i="24"/>
  <c r="I130" i="24"/>
  <c r="H130" i="24"/>
  <c r="G130" i="24"/>
  <c r="F130" i="24"/>
  <c r="E130" i="24"/>
  <c r="I129" i="24"/>
  <c r="H129" i="24"/>
  <c r="G129" i="24"/>
  <c r="F129" i="24"/>
  <c r="E129" i="24"/>
  <c r="J126" i="24"/>
  <c r="I126" i="24"/>
  <c r="H126" i="24"/>
  <c r="G126" i="24"/>
  <c r="F126" i="24"/>
  <c r="E126" i="24"/>
  <c r="I125" i="24"/>
  <c r="H125" i="24"/>
  <c r="G125" i="24"/>
  <c r="F125" i="24"/>
  <c r="E125" i="24"/>
  <c r="G117" i="24"/>
  <c r="G165" i="24" s="1"/>
  <c r="I116" i="24"/>
  <c r="F116" i="24"/>
  <c r="E116" i="24"/>
  <c r="I115" i="24"/>
  <c r="H115" i="24"/>
  <c r="G115" i="24"/>
  <c r="F115" i="24"/>
  <c r="E115" i="24"/>
  <c r="G109" i="24"/>
  <c r="G116" i="24" s="1"/>
  <c r="I108" i="24"/>
  <c r="I188" i="24" s="1"/>
  <c r="H108" i="24"/>
  <c r="H188" i="24" s="1"/>
  <c r="G108" i="24"/>
  <c r="G188" i="24" s="1"/>
  <c r="F108" i="24"/>
  <c r="F188" i="24" s="1"/>
  <c r="E108" i="24"/>
  <c r="E188" i="24" s="1"/>
  <c r="E196" i="24" s="1"/>
  <c r="E204" i="24" s="1"/>
  <c r="I107" i="24"/>
  <c r="I187" i="24" s="1"/>
  <c r="H107" i="24"/>
  <c r="H187" i="24" s="1"/>
  <c r="G107" i="24"/>
  <c r="G187" i="24" s="1"/>
  <c r="F107" i="24"/>
  <c r="F187" i="24" s="1"/>
  <c r="E107" i="24"/>
  <c r="E187" i="24" s="1"/>
  <c r="E195" i="24" s="1"/>
  <c r="I103" i="24"/>
  <c r="H103" i="24"/>
  <c r="G103" i="24"/>
  <c r="F103" i="24"/>
  <c r="E103" i="24"/>
  <c r="I102" i="24"/>
  <c r="G102" i="24"/>
  <c r="F102" i="24"/>
  <c r="E102" i="24"/>
  <c r="I99" i="24"/>
  <c r="H99" i="24"/>
  <c r="G99" i="24"/>
  <c r="F99" i="24"/>
  <c r="E99" i="24"/>
  <c r="I98" i="24"/>
  <c r="G98" i="24"/>
  <c r="F98" i="24"/>
  <c r="E98" i="24"/>
  <c r="R97" i="24"/>
  <c r="L97" i="24"/>
  <c r="K97" i="24"/>
  <c r="J97" i="24"/>
  <c r="I97" i="24"/>
  <c r="H97" i="24"/>
  <c r="G97" i="24"/>
  <c r="F97" i="24"/>
  <c r="E97" i="24"/>
  <c r="I93" i="24"/>
  <c r="H93" i="24"/>
  <c r="G93" i="24"/>
  <c r="F93" i="24"/>
  <c r="E93" i="24"/>
  <c r="I91" i="24"/>
  <c r="H91" i="24"/>
  <c r="G91" i="24"/>
  <c r="F91" i="24"/>
  <c r="E91" i="24"/>
  <c r="I88" i="24"/>
  <c r="H88" i="24"/>
  <c r="G88" i="24"/>
  <c r="F88" i="24"/>
  <c r="E88" i="24"/>
  <c r="I87" i="24"/>
  <c r="I92" i="24" s="1"/>
  <c r="H87" i="24"/>
  <c r="H92" i="24" s="1"/>
  <c r="G87" i="24"/>
  <c r="G92" i="24" s="1"/>
  <c r="F87" i="24"/>
  <c r="F92" i="24" s="1"/>
  <c r="E87" i="24"/>
  <c r="E92" i="24" s="1"/>
  <c r="J86" i="24"/>
  <c r="J68" i="24" s="1"/>
  <c r="I84" i="24"/>
  <c r="G84" i="24"/>
  <c r="F84" i="24"/>
  <c r="E84" i="24"/>
  <c r="G83" i="24"/>
  <c r="E83" i="24"/>
  <c r="I80" i="24"/>
  <c r="G80" i="24"/>
  <c r="F80" i="24"/>
  <c r="E80" i="24"/>
  <c r="I74" i="24"/>
  <c r="H74" i="24"/>
  <c r="G74" i="24"/>
  <c r="F74" i="24"/>
  <c r="E74" i="24"/>
  <c r="I73" i="24"/>
  <c r="H73" i="24"/>
  <c r="G73" i="24"/>
  <c r="F73" i="24"/>
  <c r="E73" i="24"/>
  <c r="R72" i="24"/>
  <c r="L72" i="24"/>
  <c r="K72" i="24"/>
  <c r="J72" i="24"/>
  <c r="I72" i="24"/>
  <c r="H72" i="24"/>
  <c r="G72" i="24"/>
  <c r="F72" i="24"/>
  <c r="E72" i="24"/>
  <c r="I69" i="24"/>
  <c r="H69" i="24"/>
  <c r="G69" i="24"/>
  <c r="F69" i="24"/>
  <c r="E69" i="24"/>
  <c r="I68" i="24"/>
  <c r="H68" i="24"/>
  <c r="G68" i="24"/>
  <c r="F68" i="24"/>
  <c r="E68" i="24"/>
  <c r="G53" i="24"/>
  <c r="I52" i="24"/>
  <c r="H52" i="24"/>
  <c r="G52" i="24"/>
  <c r="F52" i="24"/>
  <c r="E52" i="24"/>
  <c r="I51" i="24"/>
  <c r="H51" i="24"/>
  <c r="G51" i="24"/>
  <c r="F51" i="24"/>
  <c r="E51" i="24"/>
  <c r="I47" i="24"/>
  <c r="H47" i="24"/>
  <c r="G47" i="24"/>
  <c r="F47" i="24"/>
  <c r="E47" i="24"/>
  <c r="I46" i="24"/>
  <c r="G46" i="24"/>
  <c r="F46" i="24"/>
  <c r="E46" i="24"/>
  <c r="R45" i="24"/>
  <c r="L45" i="24"/>
  <c r="K45" i="24"/>
  <c r="J45" i="24"/>
  <c r="I45" i="24"/>
  <c r="H45" i="24"/>
  <c r="G45" i="24"/>
  <c r="F45" i="24"/>
  <c r="E45" i="24"/>
  <c r="I41" i="24"/>
  <c r="H41" i="24"/>
  <c r="G41" i="24"/>
  <c r="F41" i="24"/>
  <c r="E41" i="24"/>
  <c r="I40" i="24"/>
  <c r="H40" i="24"/>
  <c r="G40" i="24"/>
  <c r="F40" i="24"/>
  <c r="E40" i="24"/>
  <c r="I36" i="24"/>
  <c r="H36" i="24"/>
  <c r="G36" i="24"/>
  <c r="F36" i="24"/>
  <c r="E36" i="24"/>
  <c r="I35" i="24"/>
  <c r="H35" i="24"/>
  <c r="G35" i="24"/>
  <c r="F35" i="24"/>
  <c r="E35" i="24"/>
  <c r="J34" i="24"/>
  <c r="J22" i="24" s="1"/>
  <c r="I32" i="24"/>
  <c r="G32" i="24"/>
  <c r="F32" i="24"/>
  <c r="E32" i="24"/>
  <c r="G31" i="24"/>
  <c r="E31" i="24"/>
  <c r="I28" i="24"/>
  <c r="H28" i="24"/>
  <c r="G28" i="24"/>
  <c r="F28" i="24"/>
  <c r="E28" i="24"/>
  <c r="I27" i="24"/>
  <c r="I39" i="24" s="1"/>
  <c r="H27" i="24"/>
  <c r="H39" i="24" s="1"/>
  <c r="G27" i="24"/>
  <c r="G39" i="24" s="1"/>
  <c r="F27" i="24"/>
  <c r="F39" i="24" s="1"/>
  <c r="E27" i="24"/>
  <c r="E39" i="24" s="1"/>
  <c r="R26" i="24"/>
  <c r="L26" i="24"/>
  <c r="K26" i="24"/>
  <c r="J26" i="24"/>
  <c r="I26" i="24"/>
  <c r="H26" i="24"/>
  <c r="G26" i="24"/>
  <c r="F26" i="24"/>
  <c r="E26" i="24"/>
  <c r="I23" i="24"/>
  <c r="H23" i="24"/>
  <c r="G23" i="24"/>
  <c r="F23" i="24"/>
  <c r="E23" i="24"/>
  <c r="I22" i="24"/>
  <c r="H22" i="24"/>
  <c r="G22" i="24"/>
  <c r="F22" i="24"/>
  <c r="E22" i="24"/>
  <c r="I18" i="24"/>
  <c r="H18" i="24"/>
  <c r="G18" i="24"/>
  <c r="F18" i="24"/>
  <c r="E18" i="24"/>
  <c r="I17" i="24"/>
  <c r="G17" i="24"/>
  <c r="F17" i="24"/>
  <c r="E17" i="24"/>
  <c r="J14" i="24"/>
  <c r="I14" i="24"/>
  <c r="H14" i="24"/>
  <c r="G14" i="24"/>
  <c r="F14" i="24"/>
  <c r="E14" i="24"/>
  <c r="I13" i="24"/>
  <c r="H13" i="24"/>
  <c r="G13" i="24"/>
  <c r="F13" i="24"/>
  <c r="E13" i="24"/>
  <c r="E6" i="24"/>
  <c r="E3" i="24"/>
  <c r="E2" i="24"/>
  <c r="A1" i="24"/>
  <c r="D23" i="13" s="1"/>
  <c r="I319" i="23"/>
  <c r="G319" i="23"/>
  <c r="F319" i="23"/>
  <c r="E319" i="23"/>
  <c r="I315" i="23"/>
  <c r="G315" i="23"/>
  <c r="F315" i="23"/>
  <c r="E315" i="23"/>
  <c r="I314" i="23"/>
  <c r="G314" i="23"/>
  <c r="F314" i="23"/>
  <c r="E314" i="23"/>
  <c r="I313" i="23"/>
  <c r="G313" i="23"/>
  <c r="F313" i="23"/>
  <c r="E313" i="23"/>
  <c r="I306" i="23"/>
  <c r="G306" i="23"/>
  <c r="F306" i="23"/>
  <c r="E306" i="23"/>
  <c r="I305" i="23"/>
  <c r="G305" i="23"/>
  <c r="F305" i="23"/>
  <c r="E305" i="23"/>
  <c r="I300" i="23"/>
  <c r="H300" i="23"/>
  <c r="G300" i="23"/>
  <c r="F300" i="23"/>
  <c r="E300" i="23"/>
  <c r="I299" i="23"/>
  <c r="F299" i="23"/>
  <c r="E299" i="23"/>
  <c r="I294" i="23"/>
  <c r="H294" i="23"/>
  <c r="G294" i="23"/>
  <c r="F294" i="23"/>
  <c r="E294" i="23"/>
  <c r="I293" i="23"/>
  <c r="F293" i="23"/>
  <c r="E293" i="23"/>
  <c r="R289" i="23"/>
  <c r="L289" i="23"/>
  <c r="K289" i="23"/>
  <c r="J289" i="23"/>
  <c r="I289" i="23"/>
  <c r="H289" i="23"/>
  <c r="G289" i="23"/>
  <c r="F289" i="23"/>
  <c r="E289" i="23"/>
  <c r="R288" i="23"/>
  <c r="Q288" i="23"/>
  <c r="P288" i="23"/>
  <c r="O288" i="23"/>
  <c r="N288" i="23"/>
  <c r="M288" i="23"/>
  <c r="L288" i="23"/>
  <c r="K288" i="23"/>
  <c r="J288" i="23"/>
  <c r="I288" i="23"/>
  <c r="H288" i="23"/>
  <c r="G288" i="23"/>
  <c r="F288" i="23"/>
  <c r="E288" i="23"/>
  <c r="I282" i="23"/>
  <c r="H282" i="23"/>
  <c r="G282" i="23"/>
  <c r="F282" i="23"/>
  <c r="E282" i="23"/>
  <c r="I281" i="23"/>
  <c r="F281" i="23"/>
  <c r="E281" i="23"/>
  <c r="I280" i="23"/>
  <c r="H280" i="23"/>
  <c r="G280" i="23"/>
  <c r="F280" i="23"/>
  <c r="E280" i="23"/>
  <c r="I279" i="23"/>
  <c r="H279" i="23"/>
  <c r="G279" i="23"/>
  <c r="F279" i="23"/>
  <c r="E279" i="23"/>
  <c r="I274" i="23"/>
  <c r="H274" i="23"/>
  <c r="G274" i="23"/>
  <c r="F274" i="23"/>
  <c r="E274" i="23"/>
  <c r="I273" i="23"/>
  <c r="H273" i="23"/>
  <c r="G273" i="23"/>
  <c r="G192" i="23" s="1"/>
  <c r="G199" i="23" s="1"/>
  <c r="F273" i="23"/>
  <c r="E273" i="23"/>
  <c r="I270" i="23"/>
  <c r="H270" i="23"/>
  <c r="G270" i="23"/>
  <c r="F270" i="23"/>
  <c r="E270" i="23"/>
  <c r="I269" i="23"/>
  <c r="G269" i="23"/>
  <c r="F269" i="23"/>
  <c r="E269" i="23"/>
  <c r="R268" i="23"/>
  <c r="L268" i="23"/>
  <c r="K268" i="23"/>
  <c r="J268" i="23"/>
  <c r="I268" i="23"/>
  <c r="H268" i="23"/>
  <c r="G268" i="23"/>
  <c r="F268" i="23"/>
  <c r="E268" i="23"/>
  <c r="I265" i="23"/>
  <c r="H265" i="23"/>
  <c r="G265" i="23"/>
  <c r="F265" i="23"/>
  <c r="E265" i="23"/>
  <c r="I264" i="23"/>
  <c r="H264" i="23"/>
  <c r="G264" i="23"/>
  <c r="F264" i="23"/>
  <c r="E264" i="23"/>
  <c r="I263" i="23"/>
  <c r="H263" i="23"/>
  <c r="G263" i="23"/>
  <c r="F263" i="23"/>
  <c r="E263" i="23"/>
  <c r="I259" i="23"/>
  <c r="H259" i="23"/>
  <c r="G259" i="23"/>
  <c r="F259" i="23"/>
  <c r="E259" i="23"/>
  <c r="J258" i="23"/>
  <c r="J247" i="23" s="1"/>
  <c r="I256" i="23"/>
  <c r="G256" i="23"/>
  <c r="F256" i="23"/>
  <c r="E256" i="23"/>
  <c r="I253" i="23"/>
  <c r="H253" i="23"/>
  <c r="F253" i="23"/>
  <c r="I252" i="23"/>
  <c r="H252" i="23"/>
  <c r="G252" i="23"/>
  <c r="F252" i="23"/>
  <c r="E252" i="23"/>
  <c r="G251" i="23"/>
  <c r="E251" i="23"/>
  <c r="I248" i="23"/>
  <c r="H248" i="23"/>
  <c r="G248" i="23"/>
  <c r="F248" i="23"/>
  <c r="E248" i="23"/>
  <c r="I247" i="23"/>
  <c r="H247" i="23"/>
  <c r="G247" i="23"/>
  <c r="F247" i="23"/>
  <c r="E247" i="23"/>
  <c r="R246" i="23"/>
  <c r="L246" i="23"/>
  <c r="K246" i="23"/>
  <c r="J246" i="23"/>
  <c r="I246" i="23"/>
  <c r="H246" i="23"/>
  <c r="G246" i="23"/>
  <c r="F246" i="23"/>
  <c r="E246" i="23"/>
  <c r="I243" i="23"/>
  <c r="H243" i="23"/>
  <c r="G243" i="23"/>
  <c r="F243" i="23"/>
  <c r="E243" i="23"/>
  <c r="I242" i="23"/>
  <c r="H242" i="23"/>
  <c r="G242" i="23"/>
  <c r="F242" i="23"/>
  <c r="E242" i="23"/>
  <c r="J239" i="23"/>
  <c r="I239" i="23"/>
  <c r="H239" i="23"/>
  <c r="G239" i="23"/>
  <c r="F239" i="23"/>
  <c r="E239" i="23"/>
  <c r="I238" i="23"/>
  <c r="H238" i="23"/>
  <c r="G238" i="23"/>
  <c r="F238" i="23"/>
  <c r="E238" i="23"/>
  <c r="I228" i="23"/>
  <c r="G228" i="23"/>
  <c r="F228" i="23"/>
  <c r="E228" i="23"/>
  <c r="I227" i="23"/>
  <c r="G227" i="23"/>
  <c r="F227" i="23"/>
  <c r="E227" i="23"/>
  <c r="I223" i="23"/>
  <c r="H223" i="23"/>
  <c r="G223" i="23"/>
  <c r="F223" i="23"/>
  <c r="E223" i="23"/>
  <c r="I222" i="23"/>
  <c r="G222" i="23"/>
  <c r="F222" i="23"/>
  <c r="E222" i="23"/>
  <c r="I218" i="23"/>
  <c r="H218" i="23"/>
  <c r="G218" i="23"/>
  <c r="F218" i="23"/>
  <c r="E218" i="23"/>
  <c r="I217" i="23"/>
  <c r="G217" i="23"/>
  <c r="F217" i="23"/>
  <c r="E217" i="23"/>
  <c r="R213" i="23"/>
  <c r="L213" i="23"/>
  <c r="K213" i="23"/>
  <c r="J213" i="23"/>
  <c r="I213" i="23"/>
  <c r="H213" i="23"/>
  <c r="G213" i="23"/>
  <c r="F213" i="23"/>
  <c r="E213" i="23"/>
  <c r="R212" i="23"/>
  <c r="Q212" i="23"/>
  <c r="P212" i="23"/>
  <c r="O212" i="23"/>
  <c r="N212" i="23"/>
  <c r="M212" i="23"/>
  <c r="L212" i="23"/>
  <c r="K212" i="23"/>
  <c r="J212" i="23"/>
  <c r="I212" i="23"/>
  <c r="H212" i="23"/>
  <c r="G212" i="23"/>
  <c r="F212" i="23"/>
  <c r="E212" i="23"/>
  <c r="I208" i="23"/>
  <c r="F208" i="23"/>
  <c r="I207" i="23"/>
  <c r="F207" i="23"/>
  <c r="I204" i="23"/>
  <c r="F204" i="23"/>
  <c r="I203" i="23"/>
  <c r="F203" i="23"/>
  <c r="I200" i="23"/>
  <c r="F200" i="23"/>
  <c r="I199" i="23"/>
  <c r="F199" i="23"/>
  <c r="I191" i="23"/>
  <c r="H191" i="23"/>
  <c r="G191" i="23"/>
  <c r="F191" i="23"/>
  <c r="E191" i="23"/>
  <c r="I190" i="23"/>
  <c r="H190" i="23"/>
  <c r="G190" i="23"/>
  <c r="F190" i="23"/>
  <c r="E190" i="23"/>
  <c r="I189" i="23"/>
  <c r="F189" i="23"/>
  <c r="E189" i="23"/>
  <c r="E197" i="23" s="1"/>
  <c r="E208" i="23" s="1"/>
  <c r="I186" i="23"/>
  <c r="F186" i="23"/>
  <c r="E186" i="23"/>
  <c r="E194" i="23" s="1"/>
  <c r="E207" i="23" s="1"/>
  <c r="I185" i="23"/>
  <c r="H185" i="23"/>
  <c r="G185" i="23"/>
  <c r="F185" i="23"/>
  <c r="E185" i="23"/>
  <c r="E193" i="23" s="1"/>
  <c r="E203" i="23" s="1"/>
  <c r="I184" i="23"/>
  <c r="H184" i="23"/>
  <c r="G184" i="23"/>
  <c r="F184" i="23"/>
  <c r="E184" i="23"/>
  <c r="E192" i="23" s="1"/>
  <c r="E199" i="23" s="1"/>
  <c r="I178" i="23"/>
  <c r="H178" i="23"/>
  <c r="G178" i="23"/>
  <c r="F178" i="23"/>
  <c r="E178" i="23"/>
  <c r="I173" i="23"/>
  <c r="H173" i="23"/>
  <c r="G173" i="23"/>
  <c r="F173" i="23"/>
  <c r="E173" i="23"/>
  <c r="I172" i="23"/>
  <c r="H172" i="23"/>
  <c r="G172" i="23"/>
  <c r="F172" i="23"/>
  <c r="E172" i="23"/>
  <c r="I171" i="23"/>
  <c r="H171" i="23"/>
  <c r="G171" i="23"/>
  <c r="F171" i="23"/>
  <c r="E171" i="23"/>
  <c r="I170" i="23"/>
  <c r="H170" i="23"/>
  <c r="G170" i="23"/>
  <c r="F170" i="23"/>
  <c r="E170" i="23"/>
  <c r="R165" i="23"/>
  <c r="L165" i="23"/>
  <c r="K165" i="23"/>
  <c r="J165" i="23"/>
  <c r="I165" i="23"/>
  <c r="F165" i="23"/>
  <c r="E165" i="23"/>
  <c r="I164" i="23"/>
  <c r="F164" i="23"/>
  <c r="E164" i="23"/>
  <c r="G162" i="23"/>
  <c r="G164" i="23" s="1"/>
  <c r="I161" i="23"/>
  <c r="F161" i="23"/>
  <c r="E161" i="23"/>
  <c r="I160" i="23"/>
  <c r="F160" i="23"/>
  <c r="E160" i="23"/>
  <c r="I157" i="23"/>
  <c r="H157" i="23"/>
  <c r="G157" i="23"/>
  <c r="F157" i="23"/>
  <c r="E157" i="23"/>
  <c r="I156" i="23"/>
  <c r="H156" i="23"/>
  <c r="G156" i="23"/>
  <c r="F156" i="23"/>
  <c r="E156" i="23"/>
  <c r="I153" i="23"/>
  <c r="H153" i="23"/>
  <c r="G153" i="23"/>
  <c r="F153" i="23"/>
  <c r="E153" i="23"/>
  <c r="I152" i="23"/>
  <c r="G152" i="23"/>
  <c r="F152" i="23"/>
  <c r="E152" i="23"/>
  <c r="R151" i="23"/>
  <c r="L151" i="23"/>
  <c r="K151" i="23"/>
  <c r="J151" i="23"/>
  <c r="I151" i="23"/>
  <c r="H151" i="23"/>
  <c r="G151" i="23"/>
  <c r="F151" i="23"/>
  <c r="E151" i="23"/>
  <c r="I148" i="23"/>
  <c r="H148" i="23"/>
  <c r="G148" i="23"/>
  <c r="F148" i="23"/>
  <c r="E148" i="23"/>
  <c r="I147" i="23"/>
  <c r="H147" i="23"/>
  <c r="G147" i="23"/>
  <c r="F147" i="23"/>
  <c r="E147" i="23"/>
  <c r="I146" i="23"/>
  <c r="H146" i="23"/>
  <c r="G146" i="23"/>
  <c r="F146" i="23"/>
  <c r="E146" i="23"/>
  <c r="I143" i="23"/>
  <c r="H143" i="23"/>
  <c r="G143" i="23"/>
  <c r="F143" i="23"/>
  <c r="E143" i="23"/>
  <c r="I142" i="23"/>
  <c r="H142" i="23"/>
  <c r="G142" i="23"/>
  <c r="F142" i="23"/>
  <c r="E142" i="23"/>
  <c r="J141" i="23"/>
  <c r="J134" i="23" s="1"/>
  <c r="I139" i="23"/>
  <c r="G139" i="23"/>
  <c r="F139" i="23"/>
  <c r="E139" i="23"/>
  <c r="G138" i="23"/>
  <c r="E138" i="23"/>
  <c r="I135" i="23"/>
  <c r="H135" i="23"/>
  <c r="G135" i="23"/>
  <c r="F135" i="23"/>
  <c r="E135" i="23"/>
  <c r="I134" i="23"/>
  <c r="H134" i="23"/>
  <c r="G134" i="23"/>
  <c r="F134" i="23"/>
  <c r="E134" i="23"/>
  <c r="R133" i="23"/>
  <c r="L133" i="23"/>
  <c r="K133" i="23"/>
  <c r="J133" i="23"/>
  <c r="I133" i="23"/>
  <c r="H133" i="23"/>
  <c r="G133" i="23"/>
  <c r="F133" i="23"/>
  <c r="E133" i="23"/>
  <c r="I130" i="23"/>
  <c r="H130" i="23"/>
  <c r="G130" i="23"/>
  <c r="F130" i="23"/>
  <c r="E130" i="23"/>
  <c r="I129" i="23"/>
  <c r="H129" i="23"/>
  <c r="G129" i="23"/>
  <c r="F129" i="23"/>
  <c r="E129" i="23"/>
  <c r="J126" i="23"/>
  <c r="I126" i="23"/>
  <c r="H126" i="23"/>
  <c r="G126" i="23"/>
  <c r="F126" i="23"/>
  <c r="E126" i="23"/>
  <c r="I125" i="23"/>
  <c r="H125" i="23"/>
  <c r="G125" i="23"/>
  <c r="F125" i="23"/>
  <c r="E125" i="23"/>
  <c r="G117" i="23"/>
  <c r="G165" i="23" s="1"/>
  <c r="I116" i="23"/>
  <c r="F116" i="23"/>
  <c r="E116" i="23"/>
  <c r="I115" i="23"/>
  <c r="H115" i="23"/>
  <c r="G115" i="23"/>
  <c r="F115" i="23"/>
  <c r="E115" i="23"/>
  <c r="G109" i="23"/>
  <c r="G116" i="23" s="1"/>
  <c r="I108" i="23"/>
  <c r="I188" i="23" s="1"/>
  <c r="H108" i="23"/>
  <c r="H188" i="23" s="1"/>
  <c r="G108" i="23"/>
  <c r="G188" i="23" s="1"/>
  <c r="F108" i="23"/>
  <c r="F188" i="23" s="1"/>
  <c r="E108" i="23"/>
  <c r="E188" i="23" s="1"/>
  <c r="E196" i="23" s="1"/>
  <c r="E204" i="23" s="1"/>
  <c r="I107" i="23"/>
  <c r="I187" i="23" s="1"/>
  <c r="H107" i="23"/>
  <c r="H187" i="23" s="1"/>
  <c r="G107" i="23"/>
  <c r="G187" i="23" s="1"/>
  <c r="F107" i="23"/>
  <c r="F187" i="23" s="1"/>
  <c r="E107" i="23"/>
  <c r="E187" i="23" s="1"/>
  <c r="E195" i="23" s="1"/>
  <c r="E200" i="23" s="1"/>
  <c r="I103" i="23"/>
  <c r="H103" i="23"/>
  <c r="G103" i="23"/>
  <c r="F103" i="23"/>
  <c r="E103" i="23"/>
  <c r="I102" i="23"/>
  <c r="G102" i="23"/>
  <c r="F102" i="23"/>
  <c r="E102" i="23"/>
  <c r="I99" i="23"/>
  <c r="H99" i="23"/>
  <c r="G99" i="23"/>
  <c r="F99" i="23"/>
  <c r="E99" i="23"/>
  <c r="I98" i="23"/>
  <c r="G98" i="23"/>
  <c r="F98" i="23"/>
  <c r="E98" i="23"/>
  <c r="R97" i="23"/>
  <c r="L97" i="23"/>
  <c r="K97" i="23"/>
  <c r="J97" i="23"/>
  <c r="I97" i="23"/>
  <c r="H97" i="23"/>
  <c r="G97" i="23"/>
  <c r="F97" i="23"/>
  <c r="E97" i="23"/>
  <c r="I93" i="23"/>
  <c r="H93" i="23"/>
  <c r="G93" i="23"/>
  <c r="F93" i="23"/>
  <c r="E93" i="23"/>
  <c r="I91" i="23"/>
  <c r="H91" i="23"/>
  <c r="G91" i="23"/>
  <c r="F91" i="23"/>
  <c r="E91" i="23"/>
  <c r="I88" i="23"/>
  <c r="H88" i="23"/>
  <c r="G88" i="23"/>
  <c r="F88" i="23"/>
  <c r="E88" i="23"/>
  <c r="I87" i="23"/>
  <c r="I92" i="23" s="1"/>
  <c r="H87" i="23"/>
  <c r="H92" i="23" s="1"/>
  <c r="G87" i="23"/>
  <c r="G92" i="23" s="1"/>
  <c r="F87" i="23"/>
  <c r="F92" i="23" s="1"/>
  <c r="E87" i="23"/>
  <c r="E92" i="23" s="1"/>
  <c r="J86" i="23"/>
  <c r="I84" i="23"/>
  <c r="G84" i="23"/>
  <c r="F84" i="23"/>
  <c r="E84" i="23"/>
  <c r="G83" i="23"/>
  <c r="E83" i="23"/>
  <c r="I80" i="23"/>
  <c r="G80" i="23"/>
  <c r="F80" i="23"/>
  <c r="E80" i="23"/>
  <c r="I79" i="23"/>
  <c r="H79" i="23"/>
  <c r="G79" i="23"/>
  <c r="F79" i="23"/>
  <c r="E79" i="23"/>
  <c r="I78" i="23"/>
  <c r="H78" i="23"/>
  <c r="G78" i="23"/>
  <c r="F78" i="23"/>
  <c r="E78" i="23"/>
  <c r="G77" i="23"/>
  <c r="E77" i="23"/>
  <c r="I74" i="23"/>
  <c r="H74" i="23"/>
  <c r="G74" i="23"/>
  <c r="F74" i="23"/>
  <c r="E74" i="23"/>
  <c r="I73" i="23"/>
  <c r="H73" i="23"/>
  <c r="G73" i="23"/>
  <c r="F73" i="23"/>
  <c r="E73" i="23"/>
  <c r="R72" i="23"/>
  <c r="L72" i="23"/>
  <c r="K72" i="23"/>
  <c r="J72" i="23"/>
  <c r="I72" i="23"/>
  <c r="H72" i="23"/>
  <c r="G72" i="23"/>
  <c r="F72" i="23"/>
  <c r="E72" i="23"/>
  <c r="I69" i="23"/>
  <c r="H69" i="23"/>
  <c r="G69" i="23"/>
  <c r="F69" i="23"/>
  <c r="E69" i="23"/>
  <c r="I68" i="23"/>
  <c r="H68" i="23"/>
  <c r="G68" i="23"/>
  <c r="F68" i="23"/>
  <c r="E68" i="23"/>
  <c r="G53" i="23"/>
  <c r="I52" i="23"/>
  <c r="H52" i="23"/>
  <c r="G52" i="23"/>
  <c r="F52" i="23"/>
  <c r="E52" i="23"/>
  <c r="I51" i="23"/>
  <c r="H51" i="23"/>
  <c r="G51" i="23"/>
  <c r="F51" i="23"/>
  <c r="E51" i="23"/>
  <c r="I47" i="23"/>
  <c r="H47" i="23"/>
  <c r="G47" i="23"/>
  <c r="F47" i="23"/>
  <c r="E47" i="23"/>
  <c r="I46" i="23"/>
  <c r="G46" i="23"/>
  <c r="F46" i="23"/>
  <c r="E46" i="23"/>
  <c r="R45" i="23"/>
  <c r="L45" i="23"/>
  <c r="K45" i="23"/>
  <c r="J45" i="23"/>
  <c r="I45" i="23"/>
  <c r="H45" i="23"/>
  <c r="G45" i="23"/>
  <c r="F45" i="23"/>
  <c r="E45" i="23"/>
  <c r="I41" i="23"/>
  <c r="H41" i="23"/>
  <c r="G41" i="23"/>
  <c r="F41" i="23"/>
  <c r="E41" i="23"/>
  <c r="I40" i="23"/>
  <c r="H40" i="23"/>
  <c r="G40" i="23"/>
  <c r="F40" i="23"/>
  <c r="E40" i="23"/>
  <c r="I36" i="23"/>
  <c r="H36" i="23"/>
  <c r="G36" i="23"/>
  <c r="F36" i="23"/>
  <c r="E36" i="23"/>
  <c r="I35" i="23"/>
  <c r="H35" i="23"/>
  <c r="G35" i="23"/>
  <c r="F35" i="23"/>
  <c r="E35" i="23"/>
  <c r="J34" i="23"/>
  <c r="I32" i="23"/>
  <c r="G32" i="23"/>
  <c r="F32" i="23"/>
  <c r="E32" i="23"/>
  <c r="G31" i="23"/>
  <c r="E31" i="23"/>
  <c r="I28" i="23"/>
  <c r="H28" i="23"/>
  <c r="G28" i="23"/>
  <c r="F28" i="23"/>
  <c r="E28" i="23"/>
  <c r="I27" i="23"/>
  <c r="I39" i="23" s="1"/>
  <c r="H27" i="23"/>
  <c r="H39" i="23" s="1"/>
  <c r="G27" i="23"/>
  <c r="G39" i="23" s="1"/>
  <c r="F27" i="23"/>
  <c r="F39" i="23" s="1"/>
  <c r="E27" i="23"/>
  <c r="E39" i="23" s="1"/>
  <c r="R26" i="23"/>
  <c r="L26" i="23"/>
  <c r="K26" i="23"/>
  <c r="J26" i="23"/>
  <c r="I26" i="23"/>
  <c r="H26" i="23"/>
  <c r="G26" i="23"/>
  <c r="F26" i="23"/>
  <c r="E26" i="23"/>
  <c r="I23" i="23"/>
  <c r="H23" i="23"/>
  <c r="G23" i="23"/>
  <c r="F23" i="23"/>
  <c r="E23" i="23"/>
  <c r="I22" i="23"/>
  <c r="H22" i="23"/>
  <c r="G22" i="23"/>
  <c r="F22" i="23"/>
  <c r="E22" i="23"/>
  <c r="I18" i="23"/>
  <c r="H18" i="23"/>
  <c r="G18" i="23"/>
  <c r="F18" i="23"/>
  <c r="E18" i="23"/>
  <c r="I17" i="23"/>
  <c r="G17" i="23"/>
  <c r="F17" i="23"/>
  <c r="E17" i="23"/>
  <c r="J14" i="23"/>
  <c r="I14" i="23"/>
  <c r="H14" i="23"/>
  <c r="G14" i="23"/>
  <c r="F14" i="23"/>
  <c r="E14" i="23"/>
  <c r="I13" i="23"/>
  <c r="H13" i="23"/>
  <c r="G13" i="23"/>
  <c r="F13" i="23"/>
  <c r="E13" i="23"/>
  <c r="E6" i="23"/>
  <c r="E3" i="23"/>
  <c r="E2" i="23"/>
  <c r="A1" i="23"/>
  <c r="D20" i="13" s="1"/>
  <c r="I319" i="22"/>
  <c r="G319" i="22"/>
  <c r="F319" i="22"/>
  <c r="E319" i="22"/>
  <c r="I315" i="22"/>
  <c r="G315" i="22"/>
  <c r="F315" i="22"/>
  <c r="E315" i="22"/>
  <c r="I314" i="22"/>
  <c r="G314" i="22"/>
  <c r="F314" i="22"/>
  <c r="E314" i="22"/>
  <c r="I313" i="22"/>
  <c r="G313" i="22"/>
  <c r="F313" i="22"/>
  <c r="E313" i="22"/>
  <c r="I306" i="22"/>
  <c r="G306" i="22"/>
  <c r="F306" i="22"/>
  <c r="E306" i="22"/>
  <c r="I305" i="22"/>
  <c r="G305" i="22"/>
  <c r="F305" i="22"/>
  <c r="E305" i="22"/>
  <c r="I300" i="22"/>
  <c r="H300" i="22"/>
  <c r="G300" i="22"/>
  <c r="F300" i="22"/>
  <c r="E300" i="22"/>
  <c r="I299" i="22"/>
  <c r="F299" i="22"/>
  <c r="E299" i="22"/>
  <c r="I294" i="22"/>
  <c r="H294" i="22"/>
  <c r="G294" i="22"/>
  <c r="F294" i="22"/>
  <c r="E294" i="22"/>
  <c r="I293" i="22"/>
  <c r="F293" i="22"/>
  <c r="E293" i="22"/>
  <c r="R289" i="22"/>
  <c r="L289" i="22"/>
  <c r="K289" i="22"/>
  <c r="J289" i="22"/>
  <c r="I289" i="22"/>
  <c r="H289" i="22"/>
  <c r="G289" i="22"/>
  <c r="F289" i="22"/>
  <c r="E289" i="22"/>
  <c r="R288" i="22"/>
  <c r="Q288" i="22"/>
  <c r="P288" i="22"/>
  <c r="O288" i="22"/>
  <c r="N288" i="22"/>
  <c r="M288" i="22"/>
  <c r="L288" i="22"/>
  <c r="K288" i="22"/>
  <c r="J288" i="22"/>
  <c r="I288" i="22"/>
  <c r="H288" i="22"/>
  <c r="G288" i="22"/>
  <c r="F288" i="22"/>
  <c r="E288" i="22"/>
  <c r="I282" i="22"/>
  <c r="H282" i="22"/>
  <c r="G282" i="22"/>
  <c r="F282" i="22"/>
  <c r="E282" i="22"/>
  <c r="I281" i="22"/>
  <c r="F281" i="22"/>
  <c r="E281" i="22"/>
  <c r="I280" i="22"/>
  <c r="H280" i="22"/>
  <c r="G280" i="22"/>
  <c r="F280" i="22"/>
  <c r="E280" i="22"/>
  <c r="I279" i="22"/>
  <c r="H279" i="22"/>
  <c r="G279" i="22"/>
  <c r="F279" i="22"/>
  <c r="E279" i="22"/>
  <c r="I274" i="22"/>
  <c r="H274" i="22"/>
  <c r="G274" i="22"/>
  <c r="F274" i="22"/>
  <c r="E274" i="22"/>
  <c r="I273" i="22"/>
  <c r="H273" i="22"/>
  <c r="G273" i="22"/>
  <c r="G275" i="22" s="1"/>
  <c r="G281" i="22" s="1"/>
  <c r="F273" i="22"/>
  <c r="E273" i="22"/>
  <c r="I270" i="22"/>
  <c r="H270" i="22"/>
  <c r="G270" i="22"/>
  <c r="F270" i="22"/>
  <c r="E270" i="22"/>
  <c r="I269" i="22"/>
  <c r="G269" i="22"/>
  <c r="F269" i="22"/>
  <c r="E269" i="22"/>
  <c r="R268" i="22"/>
  <c r="L268" i="22"/>
  <c r="K268" i="22"/>
  <c r="J268" i="22"/>
  <c r="I268" i="22"/>
  <c r="H268" i="22"/>
  <c r="G268" i="22"/>
  <c r="F268" i="22"/>
  <c r="E268" i="22"/>
  <c r="I265" i="22"/>
  <c r="H265" i="22"/>
  <c r="G265" i="22"/>
  <c r="F265" i="22"/>
  <c r="E265" i="22"/>
  <c r="I264" i="22"/>
  <c r="H264" i="22"/>
  <c r="G264" i="22"/>
  <c r="F264" i="22"/>
  <c r="E264" i="22"/>
  <c r="I263" i="22"/>
  <c r="H263" i="22"/>
  <c r="G263" i="22"/>
  <c r="F263" i="22"/>
  <c r="E263" i="22"/>
  <c r="I259" i="22"/>
  <c r="H259" i="22"/>
  <c r="G259" i="22"/>
  <c r="F259" i="22"/>
  <c r="E259" i="22"/>
  <c r="J258" i="22"/>
  <c r="J247" i="22" s="1"/>
  <c r="I256" i="22"/>
  <c r="G256" i="22"/>
  <c r="F256" i="22"/>
  <c r="E256" i="22"/>
  <c r="I253" i="22"/>
  <c r="H253" i="22"/>
  <c r="F253" i="22"/>
  <c r="I252" i="22"/>
  <c r="H252" i="22"/>
  <c r="G252" i="22"/>
  <c r="F252" i="22"/>
  <c r="E252" i="22"/>
  <c r="G251" i="22"/>
  <c r="E251" i="22"/>
  <c r="I248" i="22"/>
  <c r="H248" i="22"/>
  <c r="G248" i="22"/>
  <c r="F248" i="22"/>
  <c r="E248" i="22"/>
  <c r="I247" i="22"/>
  <c r="H247" i="22"/>
  <c r="G247" i="22"/>
  <c r="F247" i="22"/>
  <c r="E247" i="22"/>
  <c r="R246" i="22"/>
  <c r="L246" i="22"/>
  <c r="K246" i="22"/>
  <c r="J246" i="22"/>
  <c r="I246" i="22"/>
  <c r="H246" i="22"/>
  <c r="G246" i="22"/>
  <c r="F246" i="22"/>
  <c r="E246" i="22"/>
  <c r="I243" i="22"/>
  <c r="H243" i="22"/>
  <c r="G243" i="22"/>
  <c r="F243" i="22"/>
  <c r="E243" i="22"/>
  <c r="I242" i="22"/>
  <c r="H242" i="22"/>
  <c r="G242" i="22"/>
  <c r="F242" i="22"/>
  <c r="E242" i="22"/>
  <c r="J239" i="22"/>
  <c r="I239" i="22"/>
  <c r="H239" i="22"/>
  <c r="G239" i="22"/>
  <c r="F239" i="22"/>
  <c r="E239" i="22"/>
  <c r="I238" i="22"/>
  <c r="H238" i="22"/>
  <c r="G238" i="22"/>
  <c r="F238" i="22"/>
  <c r="E238" i="22"/>
  <c r="I228" i="22"/>
  <c r="G228" i="22"/>
  <c r="F228" i="22"/>
  <c r="E228" i="22"/>
  <c r="I227" i="22"/>
  <c r="G227" i="22"/>
  <c r="F227" i="22"/>
  <c r="E227" i="22"/>
  <c r="I223" i="22"/>
  <c r="H223" i="22"/>
  <c r="G223" i="22"/>
  <c r="F223" i="22"/>
  <c r="E223" i="22"/>
  <c r="I222" i="22"/>
  <c r="G222" i="22"/>
  <c r="F222" i="22"/>
  <c r="E222" i="22"/>
  <c r="I218" i="22"/>
  <c r="H218" i="22"/>
  <c r="G218" i="22"/>
  <c r="F218" i="22"/>
  <c r="E218" i="22"/>
  <c r="I217" i="22"/>
  <c r="G217" i="22"/>
  <c r="F217" i="22"/>
  <c r="E217" i="22"/>
  <c r="R213" i="22"/>
  <c r="L213" i="22"/>
  <c r="K213" i="22"/>
  <c r="J213" i="22"/>
  <c r="I213" i="22"/>
  <c r="H213" i="22"/>
  <c r="G213" i="22"/>
  <c r="F213" i="22"/>
  <c r="E213" i="22"/>
  <c r="R212" i="22"/>
  <c r="Q212" i="22"/>
  <c r="P212" i="22"/>
  <c r="O212" i="22"/>
  <c r="N212" i="22"/>
  <c r="M212" i="22"/>
  <c r="L212" i="22"/>
  <c r="K212" i="22"/>
  <c r="J212" i="22"/>
  <c r="I212" i="22"/>
  <c r="H212" i="22"/>
  <c r="G212" i="22"/>
  <c r="F212" i="22"/>
  <c r="E212" i="22"/>
  <c r="I208" i="22"/>
  <c r="F208" i="22"/>
  <c r="I207" i="22"/>
  <c r="F207" i="22"/>
  <c r="I204" i="22"/>
  <c r="F204" i="22"/>
  <c r="I203" i="22"/>
  <c r="F203" i="22"/>
  <c r="I200" i="22"/>
  <c r="F200" i="22"/>
  <c r="I199" i="22"/>
  <c r="F199" i="22"/>
  <c r="I191" i="22"/>
  <c r="H191" i="22"/>
  <c r="G191" i="22"/>
  <c r="F191" i="22"/>
  <c r="E191" i="22"/>
  <c r="I190" i="22"/>
  <c r="H190" i="22"/>
  <c r="G190" i="22"/>
  <c r="F190" i="22"/>
  <c r="E190" i="22"/>
  <c r="I189" i="22"/>
  <c r="F189" i="22"/>
  <c r="E189" i="22"/>
  <c r="E197" i="22" s="1"/>
  <c r="E208" i="22" s="1"/>
  <c r="I186" i="22"/>
  <c r="F186" i="22"/>
  <c r="E186" i="22"/>
  <c r="E194" i="22" s="1"/>
  <c r="E207" i="22" s="1"/>
  <c r="I185" i="22"/>
  <c r="H185" i="22"/>
  <c r="G185" i="22"/>
  <c r="F185" i="22"/>
  <c r="E185" i="22"/>
  <c r="E193" i="22" s="1"/>
  <c r="E203" i="22" s="1"/>
  <c r="I184" i="22"/>
  <c r="H184" i="22"/>
  <c r="G184" i="22"/>
  <c r="F184" i="22"/>
  <c r="E184" i="22"/>
  <c r="E192" i="22" s="1"/>
  <c r="E199" i="22" s="1"/>
  <c r="I178" i="22"/>
  <c r="H178" i="22"/>
  <c r="G178" i="22"/>
  <c r="F178" i="22"/>
  <c r="E178" i="22"/>
  <c r="I173" i="22"/>
  <c r="H173" i="22"/>
  <c r="G173" i="22"/>
  <c r="F173" i="22"/>
  <c r="E173" i="22"/>
  <c r="I172" i="22"/>
  <c r="H172" i="22"/>
  <c r="G172" i="22"/>
  <c r="F172" i="22"/>
  <c r="E172" i="22"/>
  <c r="I171" i="22"/>
  <c r="H171" i="22"/>
  <c r="G171" i="22"/>
  <c r="F171" i="22"/>
  <c r="E171" i="22"/>
  <c r="I170" i="22"/>
  <c r="H170" i="22"/>
  <c r="G170" i="22"/>
  <c r="F170" i="22"/>
  <c r="E170" i="22"/>
  <c r="R165" i="22"/>
  <c r="L165" i="22"/>
  <c r="K165" i="22"/>
  <c r="J165" i="22"/>
  <c r="I165" i="22"/>
  <c r="F165" i="22"/>
  <c r="E165" i="22"/>
  <c r="I164" i="22"/>
  <c r="F164" i="22"/>
  <c r="E164" i="22"/>
  <c r="G162" i="22"/>
  <c r="G164" i="22" s="1"/>
  <c r="I161" i="22"/>
  <c r="F161" i="22"/>
  <c r="E161" i="22"/>
  <c r="I160" i="22"/>
  <c r="F160" i="22"/>
  <c r="E160" i="22"/>
  <c r="I157" i="22"/>
  <c r="H157" i="22"/>
  <c r="G157" i="22"/>
  <c r="F157" i="22"/>
  <c r="E157" i="22"/>
  <c r="I156" i="22"/>
  <c r="H156" i="22"/>
  <c r="G156" i="22"/>
  <c r="F156" i="22"/>
  <c r="E156" i="22"/>
  <c r="I153" i="22"/>
  <c r="H153" i="22"/>
  <c r="G153" i="22"/>
  <c r="F153" i="22"/>
  <c r="E153" i="22"/>
  <c r="I152" i="22"/>
  <c r="G152" i="22"/>
  <c r="F152" i="22"/>
  <c r="E152" i="22"/>
  <c r="R151" i="22"/>
  <c r="L151" i="22"/>
  <c r="K151" i="22"/>
  <c r="J151" i="22"/>
  <c r="I151" i="22"/>
  <c r="H151" i="22"/>
  <c r="G151" i="22"/>
  <c r="F151" i="22"/>
  <c r="E151" i="22"/>
  <c r="I148" i="22"/>
  <c r="H148" i="22"/>
  <c r="G148" i="22"/>
  <c r="F148" i="22"/>
  <c r="E148" i="22"/>
  <c r="I147" i="22"/>
  <c r="H147" i="22"/>
  <c r="G147" i="22"/>
  <c r="F147" i="22"/>
  <c r="E147" i="22"/>
  <c r="I146" i="22"/>
  <c r="H146" i="22"/>
  <c r="G146" i="22"/>
  <c r="F146" i="22"/>
  <c r="E146" i="22"/>
  <c r="I143" i="22"/>
  <c r="H143" i="22"/>
  <c r="G143" i="22"/>
  <c r="F143" i="22"/>
  <c r="E143" i="22"/>
  <c r="I142" i="22"/>
  <c r="H142" i="22"/>
  <c r="G142" i="22"/>
  <c r="F142" i="22"/>
  <c r="E142" i="22"/>
  <c r="J141" i="22"/>
  <c r="I139" i="22"/>
  <c r="G139" i="22"/>
  <c r="F139" i="22"/>
  <c r="E139" i="22"/>
  <c r="G138" i="22"/>
  <c r="E138" i="22"/>
  <c r="I135" i="22"/>
  <c r="H135" i="22"/>
  <c r="G135" i="22"/>
  <c r="F135" i="22"/>
  <c r="E135" i="22"/>
  <c r="I134" i="22"/>
  <c r="H134" i="22"/>
  <c r="G134" i="22"/>
  <c r="F134" i="22"/>
  <c r="E134" i="22"/>
  <c r="R133" i="22"/>
  <c r="L133" i="22"/>
  <c r="K133" i="22"/>
  <c r="J133" i="22"/>
  <c r="I133" i="22"/>
  <c r="H133" i="22"/>
  <c r="G133" i="22"/>
  <c r="F133" i="22"/>
  <c r="E133" i="22"/>
  <c r="I130" i="22"/>
  <c r="H130" i="22"/>
  <c r="G130" i="22"/>
  <c r="F130" i="22"/>
  <c r="E130" i="22"/>
  <c r="I129" i="22"/>
  <c r="H129" i="22"/>
  <c r="G129" i="22"/>
  <c r="F129" i="22"/>
  <c r="E129" i="22"/>
  <c r="J126" i="22"/>
  <c r="I126" i="22"/>
  <c r="H126" i="22"/>
  <c r="G126" i="22"/>
  <c r="F126" i="22"/>
  <c r="E126" i="22"/>
  <c r="I125" i="22"/>
  <c r="H125" i="22"/>
  <c r="G125" i="22"/>
  <c r="F125" i="22"/>
  <c r="E125" i="22"/>
  <c r="G117" i="22"/>
  <c r="G165" i="22" s="1"/>
  <c r="I116" i="22"/>
  <c r="F116" i="22"/>
  <c r="E116" i="22"/>
  <c r="I115" i="22"/>
  <c r="H115" i="22"/>
  <c r="G115" i="22"/>
  <c r="F115" i="22"/>
  <c r="E115" i="22"/>
  <c r="G109" i="22"/>
  <c r="G116" i="22" s="1"/>
  <c r="I108" i="22"/>
  <c r="I188" i="22" s="1"/>
  <c r="H108" i="22"/>
  <c r="H188" i="22" s="1"/>
  <c r="G108" i="22"/>
  <c r="G188" i="22" s="1"/>
  <c r="F108" i="22"/>
  <c r="F188" i="22" s="1"/>
  <c r="E108" i="22"/>
  <c r="E188" i="22" s="1"/>
  <c r="E196" i="22" s="1"/>
  <c r="E204" i="22" s="1"/>
  <c r="I107" i="22"/>
  <c r="I187" i="22" s="1"/>
  <c r="H107" i="22"/>
  <c r="H187" i="22" s="1"/>
  <c r="G107" i="22"/>
  <c r="G187" i="22" s="1"/>
  <c r="F107" i="22"/>
  <c r="F187" i="22" s="1"/>
  <c r="E107" i="22"/>
  <c r="E187" i="22" s="1"/>
  <c r="E195" i="22" s="1"/>
  <c r="E200" i="22" s="1"/>
  <c r="I103" i="22"/>
  <c r="H103" i="22"/>
  <c r="G103" i="22"/>
  <c r="F103" i="22"/>
  <c r="E103" i="22"/>
  <c r="I102" i="22"/>
  <c r="G102" i="22"/>
  <c r="F102" i="22"/>
  <c r="E102" i="22"/>
  <c r="I99" i="22"/>
  <c r="H99" i="22"/>
  <c r="G99" i="22"/>
  <c r="F99" i="22"/>
  <c r="E99" i="22"/>
  <c r="I98" i="22"/>
  <c r="G98" i="22"/>
  <c r="F98" i="22"/>
  <c r="E98" i="22"/>
  <c r="R97" i="22"/>
  <c r="L97" i="22"/>
  <c r="K97" i="22"/>
  <c r="J97" i="22"/>
  <c r="I97" i="22"/>
  <c r="H97" i="22"/>
  <c r="G97" i="22"/>
  <c r="F97" i="22"/>
  <c r="E97" i="22"/>
  <c r="I93" i="22"/>
  <c r="H93" i="22"/>
  <c r="G93" i="22"/>
  <c r="F93" i="22"/>
  <c r="E93" i="22"/>
  <c r="J91" i="22"/>
  <c r="I91" i="22"/>
  <c r="H91" i="22"/>
  <c r="G91" i="22"/>
  <c r="F91" i="22"/>
  <c r="E91" i="22"/>
  <c r="I88" i="22"/>
  <c r="H88" i="22"/>
  <c r="G88" i="22"/>
  <c r="F88" i="22"/>
  <c r="E88" i="22"/>
  <c r="I87" i="22"/>
  <c r="I92" i="22" s="1"/>
  <c r="H87" i="22"/>
  <c r="H92" i="22" s="1"/>
  <c r="G87" i="22"/>
  <c r="G92" i="22" s="1"/>
  <c r="F87" i="22"/>
  <c r="F92" i="22" s="1"/>
  <c r="E87" i="22"/>
  <c r="E92" i="22" s="1"/>
  <c r="J86" i="22"/>
  <c r="J68" i="22" s="1"/>
  <c r="I84" i="22"/>
  <c r="G84" i="22"/>
  <c r="F84" i="22"/>
  <c r="E84" i="22"/>
  <c r="G83" i="22"/>
  <c r="E83" i="22"/>
  <c r="I80" i="22"/>
  <c r="G80" i="22"/>
  <c r="F80" i="22"/>
  <c r="E80" i="22"/>
  <c r="I79" i="22"/>
  <c r="H79" i="22"/>
  <c r="G79" i="22"/>
  <c r="F79" i="22"/>
  <c r="E79" i="22"/>
  <c r="I78" i="22"/>
  <c r="H78" i="22"/>
  <c r="G78" i="22"/>
  <c r="F78" i="22"/>
  <c r="E78" i="22"/>
  <c r="G77" i="22"/>
  <c r="E77" i="22"/>
  <c r="I74" i="22"/>
  <c r="H74" i="22"/>
  <c r="G74" i="22"/>
  <c r="F74" i="22"/>
  <c r="E74" i="22"/>
  <c r="J73" i="22"/>
  <c r="I73" i="22"/>
  <c r="H73" i="22"/>
  <c r="G73" i="22"/>
  <c r="F73" i="22"/>
  <c r="E73" i="22"/>
  <c r="R72" i="22"/>
  <c r="L72" i="22"/>
  <c r="K72" i="22"/>
  <c r="J72" i="22"/>
  <c r="I72" i="22"/>
  <c r="H72" i="22"/>
  <c r="G72" i="22"/>
  <c r="F72" i="22"/>
  <c r="E72" i="22"/>
  <c r="I69" i="22"/>
  <c r="H69" i="22"/>
  <c r="G69" i="22"/>
  <c r="F69" i="22"/>
  <c r="E69" i="22"/>
  <c r="I68" i="22"/>
  <c r="H68" i="22"/>
  <c r="G68" i="22"/>
  <c r="F68" i="22"/>
  <c r="E68" i="22"/>
  <c r="G53" i="22"/>
  <c r="I52" i="22"/>
  <c r="H52" i="22"/>
  <c r="G52" i="22"/>
  <c r="F52" i="22"/>
  <c r="E52" i="22"/>
  <c r="I51" i="22"/>
  <c r="H51" i="22"/>
  <c r="G51" i="22"/>
  <c r="F51" i="22"/>
  <c r="E51" i="22"/>
  <c r="I47" i="22"/>
  <c r="H47" i="22"/>
  <c r="G47" i="22"/>
  <c r="F47" i="22"/>
  <c r="E47" i="22"/>
  <c r="I46" i="22"/>
  <c r="G46" i="22"/>
  <c r="F46" i="22"/>
  <c r="E46" i="22"/>
  <c r="R45" i="22"/>
  <c r="L45" i="22"/>
  <c r="K45" i="22"/>
  <c r="J45" i="22"/>
  <c r="I45" i="22"/>
  <c r="H45" i="22"/>
  <c r="G45" i="22"/>
  <c r="F45" i="22"/>
  <c r="E45" i="22"/>
  <c r="I41" i="22"/>
  <c r="H41" i="22"/>
  <c r="G41" i="22"/>
  <c r="F41" i="22"/>
  <c r="E41" i="22"/>
  <c r="I40" i="22"/>
  <c r="H40" i="22"/>
  <c r="G40" i="22"/>
  <c r="F40" i="22"/>
  <c r="E40" i="22"/>
  <c r="I36" i="22"/>
  <c r="H36" i="22"/>
  <c r="G36" i="22"/>
  <c r="F36" i="22"/>
  <c r="E36" i="22"/>
  <c r="I35" i="22"/>
  <c r="H35" i="22"/>
  <c r="G35" i="22"/>
  <c r="F35" i="22"/>
  <c r="E35" i="22"/>
  <c r="J34" i="22"/>
  <c r="J27" i="22" s="1"/>
  <c r="I32" i="22"/>
  <c r="G32" i="22"/>
  <c r="F32" i="22"/>
  <c r="E32" i="22"/>
  <c r="G31" i="22"/>
  <c r="E31" i="22"/>
  <c r="I28" i="22"/>
  <c r="H28" i="22"/>
  <c r="G28" i="22"/>
  <c r="F28" i="22"/>
  <c r="E28" i="22"/>
  <c r="I27" i="22"/>
  <c r="I39" i="22" s="1"/>
  <c r="H27" i="22"/>
  <c r="H39" i="22" s="1"/>
  <c r="G27" i="22"/>
  <c r="G39" i="22" s="1"/>
  <c r="F27" i="22"/>
  <c r="F39" i="22" s="1"/>
  <c r="E27" i="22"/>
  <c r="E39" i="22" s="1"/>
  <c r="R26" i="22"/>
  <c r="L26" i="22"/>
  <c r="K26" i="22"/>
  <c r="J26" i="22"/>
  <c r="I26" i="22"/>
  <c r="H26" i="22"/>
  <c r="G26" i="22"/>
  <c r="F26" i="22"/>
  <c r="E26" i="22"/>
  <c r="I23" i="22"/>
  <c r="H23" i="22"/>
  <c r="G23" i="22"/>
  <c r="F23" i="22"/>
  <c r="E23" i="22"/>
  <c r="I22" i="22"/>
  <c r="H22" i="22"/>
  <c r="G22" i="22"/>
  <c r="F22" i="22"/>
  <c r="E22" i="22"/>
  <c r="I18" i="22"/>
  <c r="H18" i="22"/>
  <c r="G18" i="22"/>
  <c r="F18" i="22"/>
  <c r="E18" i="22"/>
  <c r="I17" i="22"/>
  <c r="G17" i="22"/>
  <c r="F17" i="22"/>
  <c r="E17" i="22"/>
  <c r="J14" i="22"/>
  <c r="I14" i="22"/>
  <c r="H14" i="22"/>
  <c r="G14" i="22"/>
  <c r="F14" i="22"/>
  <c r="E14" i="22"/>
  <c r="I13" i="22"/>
  <c r="H13" i="22"/>
  <c r="G13" i="22"/>
  <c r="F13" i="22"/>
  <c r="E13" i="22"/>
  <c r="E6" i="22"/>
  <c r="E3" i="22"/>
  <c r="E2" i="22"/>
  <c r="A1" i="22"/>
  <c r="D17" i="13" s="1"/>
  <c r="I319" i="12"/>
  <c r="G319" i="12"/>
  <c r="F319" i="12"/>
  <c r="E319" i="12"/>
  <c r="I315" i="12"/>
  <c r="G315" i="12"/>
  <c r="F315" i="12"/>
  <c r="E315" i="12"/>
  <c r="I314" i="12"/>
  <c r="G314" i="12"/>
  <c r="F314" i="12"/>
  <c r="E314" i="12"/>
  <c r="I313" i="12"/>
  <c r="G313" i="12"/>
  <c r="F313" i="12"/>
  <c r="E313" i="12"/>
  <c r="I306" i="12"/>
  <c r="G306" i="12"/>
  <c r="F306" i="12"/>
  <c r="E306" i="12"/>
  <c r="I305" i="12"/>
  <c r="G305" i="12"/>
  <c r="F305" i="12"/>
  <c r="E305" i="12"/>
  <c r="I300" i="12"/>
  <c r="H300" i="12"/>
  <c r="G300" i="12"/>
  <c r="F300" i="12"/>
  <c r="E300" i="12"/>
  <c r="I299" i="12"/>
  <c r="F299" i="12"/>
  <c r="E299" i="12"/>
  <c r="I294" i="12"/>
  <c r="H294" i="12"/>
  <c r="G294" i="12"/>
  <c r="F294" i="12"/>
  <c r="E294" i="12"/>
  <c r="I293" i="12"/>
  <c r="F293" i="12"/>
  <c r="E293" i="12"/>
  <c r="R289" i="12"/>
  <c r="L289" i="12"/>
  <c r="K289" i="12"/>
  <c r="K290" i="12" s="1"/>
  <c r="J289" i="12"/>
  <c r="I289" i="12"/>
  <c r="H289" i="12"/>
  <c r="G289" i="12"/>
  <c r="F289" i="12"/>
  <c r="E289" i="12"/>
  <c r="R288" i="12"/>
  <c r="Q288" i="12"/>
  <c r="P288" i="12"/>
  <c r="O288" i="12"/>
  <c r="N288" i="12"/>
  <c r="M288" i="12"/>
  <c r="L288" i="12"/>
  <c r="K288" i="12"/>
  <c r="J288" i="12"/>
  <c r="I288" i="12"/>
  <c r="H288" i="12"/>
  <c r="G288" i="12"/>
  <c r="F288" i="12"/>
  <c r="E288" i="12"/>
  <c r="I282" i="12"/>
  <c r="H282" i="12"/>
  <c r="G282" i="12"/>
  <c r="F282" i="12"/>
  <c r="E282" i="12"/>
  <c r="I281" i="12"/>
  <c r="F281" i="12"/>
  <c r="E281" i="12"/>
  <c r="I280" i="12"/>
  <c r="H280" i="12"/>
  <c r="G280" i="12"/>
  <c r="F280" i="12"/>
  <c r="E280" i="12"/>
  <c r="I279" i="12"/>
  <c r="H279" i="12"/>
  <c r="G279" i="12"/>
  <c r="F279" i="12"/>
  <c r="E279" i="12"/>
  <c r="I274" i="12"/>
  <c r="H274" i="12"/>
  <c r="G274" i="12"/>
  <c r="F274" i="12"/>
  <c r="E274" i="12"/>
  <c r="I273" i="12"/>
  <c r="H273" i="12"/>
  <c r="G273" i="12"/>
  <c r="G192" i="12" s="1"/>
  <c r="G199" i="12" s="1"/>
  <c r="F273" i="12"/>
  <c r="E273" i="12"/>
  <c r="I270" i="12"/>
  <c r="H270" i="12"/>
  <c r="G270" i="12"/>
  <c r="F270" i="12"/>
  <c r="E270" i="12"/>
  <c r="I269" i="12"/>
  <c r="G269" i="12"/>
  <c r="F269" i="12"/>
  <c r="E269" i="12"/>
  <c r="R268" i="12"/>
  <c r="L268" i="12"/>
  <c r="K268" i="12"/>
  <c r="J268" i="12"/>
  <c r="I268" i="12"/>
  <c r="H268" i="12"/>
  <c r="G268" i="12"/>
  <c r="F268" i="12"/>
  <c r="E268" i="12"/>
  <c r="I265" i="12"/>
  <c r="H265" i="12"/>
  <c r="G265" i="12"/>
  <c r="F265" i="12"/>
  <c r="E265" i="12"/>
  <c r="I264" i="12"/>
  <c r="H264" i="12"/>
  <c r="G264" i="12"/>
  <c r="F264" i="12"/>
  <c r="E264" i="12"/>
  <c r="I263" i="12"/>
  <c r="H263" i="12"/>
  <c r="G263" i="12"/>
  <c r="F263" i="12"/>
  <c r="E263" i="12"/>
  <c r="I259" i="12"/>
  <c r="H259" i="12"/>
  <c r="G259" i="12"/>
  <c r="F259" i="12"/>
  <c r="E259" i="12"/>
  <c r="J258" i="12"/>
  <c r="I256" i="12"/>
  <c r="G256" i="12"/>
  <c r="F256" i="12"/>
  <c r="E256" i="12"/>
  <c r="I253" i="12"/>
  <c r="H253" i="12"/>
  <c r="F253" i="12"/>
  <c r="I252" i="12"/>
  <c r="H252" i="12"/>
  <c r="G252" i="12"/>
  <c r="F252" i="12"/>
  <c r="E252" i="12"/>
  <c r="G251" i="12"/>
  <c r="E251" i="12"/>
  <c r="I248" i="12"/>
  <c r="H248" i="12"/>
  <c r="G248" i="12"/>
  <c r="F248" i="12"/>
  <c r="E248" i="12"/>
  <c r="I247" i="12"/>
  <c r="H247" i="12"/>
  <c r="G247" i="12"/>
  <c r="F247" i="12"/>
  <c r="E247" i="12"/>
  <c r="R246" i="12"/>
  <c r="L246" i="12"/>
  <c r="K246" i="12"/>
  <c r="J246" i="12"/>
  <c r="I246" i="12"/>
  <c r="H246" i="12"/>
  <c r="G246" i="12"/>
  <c r="F246" i="12"/>
  <c r="E246" i="12"/>
  <c r="I243" i="12"/>
  <c r="H243" i="12"/>
  <c r="G243" i="12"/>
  <c r="F243" i="12"/>
  <c r="E243" i="12"/>
  <c r="I242" i="12"/>
  <c r="H242" i="12"/>
  <c r="G242" i="12"/>
  <c r="F242" i="12"/>
  <c r="E242" i="12"/>
  <c r="J239" i="12"/>
  <c r="I239" i="12"/>
  <c r="H239" i="12"/>
  <c r="G239" i="12"/>
  <c r="F239" i="12"/>
  <c r="E239" i="12"/>
  <c r="I238" i="12"/>
  <c r="H238" i="12"/>
  <c r="G238" i="12"/>
  <c r="F238" i="12"/>
  <c r="E238" i="12"/>
  <c r="I228" i="12"/>
  <c r="G228" i="12"/>
  <c r="F228" i="12"/>
  <c r="E228" i="12"/>
  <c r="I227" i="12"/>
  <c r="G227" i="12"/>
  <c r="F227" i="12"/>
  <c r="E227" i="12"/>
  <c r="I223" i="12"/>
  <c r="H223" i="12"/>
  <c r="G223" i="12"/>
  <c r="F223" i="12"/>
  <c r="E223" i="12"/>
  <c r="I222" i="12"/>
  <c r="G222" i="12"/>
  <c r="F222" i="12"/>
  <c r="E222" i="12"/>
  <c r="I218" i="12"/>
  <c r="H218" i="12"/>
  <c r="G218" i="12"/>
  <c r="F218" i="12"/>
  <c r="E218" i="12"/>
  <c r="I217" i="12"/>
  <c r="G217" i="12"/>
  <c r="F217" i="12"/>
  <c r="E217" i="12"/>
  <c r="R213" i="12"/>
  <c r="L213" i="12"/>
  <c r="K213" i="12"/>
  <c r="J213" i="12"/>
  <c r="I213" i="12"/>
  <c r="H213" i="12"/>
  <c r="G213" i="12"/>
  <c r="F213" i="12"/>
  <c r="E213" i="12"/>
  <c r="R212" i="12"/>
  <c r="Q212" i="12"/>
  <c r="P212" i="12"/>
  <c r="O212" i="12"/>
  <c r="N212" i="12"/>
  <c r="M212" i="12"/>
  <c r="L212" i="12"/>
  <c r="K212" i="12"/>
  <c r="J212" i="12"/>
  <c r="I212" i="12"/>
  <c r="H212" i="12"/>
  <c r="G212" i="12"/>
  <c r="F212" i="12"/>
  <c r="E212" i="12"/>
  <c r="I208" i="12"/>
  <c r="F208" i="12"/>
  <c r="I207" i="12"/>
  <c r="F207" i="12"/>
  <c r="I204" i="12"/>
  <c r="F204" i="12"/>
  <c r="I203" i="12"/>
  <c r="F203" i="12"/>
  <c r="I200" i="12"/>
  <c r="F200" i="12"/>
  <c r="I199" i="12"/>
  <c r="F199" i="12"/>
  <c r="I191" i="12"/>
  <c r="H191" i="12"/>
  <c r="G191" i="12"/>
  <c r="F191" i="12"/>
  <c r="E191" i="12"/>
  <c r="I190" i="12"/>
  <c r="H190" i="12"/>
  <c r="G190" i="12"/>
  <c r="F190" i="12"/>
  <c r="E190" i="12"/>
  <c r="I189" i="12"/>
  <c r="F189" i="12"/>
  <c r="E189" i="12"/>
  <c r="E197" i="12" s="1"/>
  <c r="E208" i="12" s="1"/>
  <c r="E187" i="12"/>
  <c r="E195" i="12" s="1"/>
  <c r="E200" i="12" s="1"/>
  <c r="I186" i="12"/>
  <c r="F186" i="12"/>
  <c r="E186" i="12"/>
  <c r="E194" i="12" s="1"/>
  <c r="E207" i="12" s="1"/>
  <c r="I185" i="12"/>
  <c r="H185" i="12"/>
  <c r="G185" i="12"/>
  <c r="F185" i="12"/>
  <c r="E185" i="12"/>
  <c r="E193" i="12" s="1"/>
  <c r="E203" i="12" s="1"/>
  <c r="I184" i="12"/>
  <c r="H184" i="12"/>
  <c r="G184" i="12"/>
  <c r="F184" i="12"/>
  <c r="E184" i="12"/>
  <c r="E192" i="12" s="1"/>
  <c r="E199" i="12" s="1"/>
  <c r="I178" i="12"/>
  <c r="H178" i="12"/>
  <c r="G178" i="12"/>
  <c r="F178" i="12"/>
  <c r="E178" i="12"/>
  <c r="I173" i="12"/>
  <c r="H173" i="12"/>
  <c r="G173" i="12"/>
  <c r="F173" i="12"/>
  <c r="E173" i="12"/>
  <c r="I172" i="12"/>
  <c r="H172" i="12"/>
  <c r="G172" i="12"/>
  <c r="F172" i="12"/>
  <c r="E172" i="12"/>
  <c r="I171" i="12"/>
  <c r="H171" i="12"/>
  <c r="G171" i="12"/>
  <c r="F171" i="12"/>
  <c r="E171" i="12"/>
  <c r="I170" i="12"/>
  <c r="H170" i="12"/>
  <c r="G170" i="12"/>
  <c r="F170" i="12"/>
  <c r="E170" i="12"/>
  <c r="R165" i="12"/>
  <c r="L165" i="12"/>
  <c r="K165" i="12"/>
  <c r="J165" i="12"/>
  <c r="I165" i="12"/>
  <c r="F165" i="12"/>
  <c r="E165" i="12"/>
  <c r="I164" i="12"/>
  <c r="F164" i="12"/>
  <c r="E164" i="12"/>
  <c r="G162" i="12"/>
  <c r="G164" i="12" s="1"/>
  <c r="I161" i="12"/>
  <c r="F161" i="12"/>
  <c r="E161" i="12"/>
  <c r="I160" i="12"/>
  <c r="F160" i="12"/>
  <c r="E160" i="12"/>
  <c r="I157" i="12"/>
  <c r="H157" i="12"/>
  <c r="G157" i="12"/>
  <c r="F157" i="12"/>
  <c r="E157" i="12"/>
  <c r="I156" i="12"/>
  <c r="H156" i="12"/>
  <c r="G156" i="12"/>
  <c r="F156" i="12"/>
  <c r="E156" i="12"/>
  <c r="I153" i="12"/>
  <c r="H153" i="12"/>
  <c r="G153" i="12"/>
  <c r="F153" i="12"/>
  <c r="E153" i="12"/>
  <c r="I152" i="12"/>
  <c r="G152" i="12"/>
  <c r="F152" i="12"/>
  <c r="E152" i="12"/>
  <c r="R151" i="12"/>
  <c r="L151" i="12"/>
  <c r="K151" i="12"/>
  <c r="J151" i="12"/>
  <c r="I151" i="12"/>
  <c r="H151" i="12"/>
  <c r="G151" i="12"/>
  <c r="F151" i="12"/>
  <c r="E151" i="12"/>
  <c r="I148" i="12"/>
  <c r="H148" i="12"/>
  <c r="G148" i="12"/>
  <c r="F148" i="12"/>
  <c r="E148" i="12"/>
  <c r="I147" i="12"/>
  <c r="H147" i="12"/>
  <c r="G147" i="12"/>
  <c r="F147" i="12"/>
  <c r="E147" i="12"/>
  <c r="I146" i="12"/>
  <c r="H146" i="12"/>
  <c r="G146" i="12"/>
  <c r="F146" i="12"/>
  <c r="E146" i="12"/>
  <c r="I143" i="12"/>
  <c r="H143" i="12"/>
  <c r="G143" i="12"/>
  <c r="F143" i="12"/>
  <c r="E143" i="12"/>
  <c r="I142" i="12"/>
  <c r="H142" i="12"/>
  <c r="G142" i="12"/>
  <c r="F142" i="12"/>
  <c r="E142" i="12"/>
  <c r="J141" i="12"/>
  <c r="J146" i="12" s="1"/>
  <c r="I139" i="12"/>
  <c r="G139" i="12"/>
  <c r="F139" i="12"/>
  <c r="E139" i="12"/>
  <c r="G138" i="12"/>
  <c r="E138" i="12"/>
  <c r="I135" i="12"/>
  <c r="H135" i="12"/>
  <c r="G135" i="12"/>
  <c r="F135" i="12"/>
  <c r="E135" i="12"/>
  <c r="I134" i="12"/>
  <c r="H134" i="12"/>
  <c r="G134" i="12"/>
  <c r="F134" i="12"/>
  <c r="E134" i="12"/>
  <c r="R133" i="12"/>
  <c r="L133" i="12"/>
  <c r="K133" i="12"/>
  <c r="J133" i="12"/>
  <c r="I133" i="12"/>
  <c r="H133" i="12"/>
  <c r="G133" i="12"/>
  <c r="F133" i="12"/>
  <c r="E133" i="12"/>
  <c r="I130" i="12"/>
  <c r="H130" i="12"/>
  <c r="G130" i="12"/>
  <c r="F130" i="12"/>
  <c r="E130" i="12"/>
  <c r="I129" i="12"/>
  <c r="H129" i="12"/>
  <c r="G129" i="12"/>
  <c r="F129" i="12"/>
  <c r="E129" i="12"/>
  <c r="J126" i="12"/>
  <c r="I126" i="12"/>
  <c r="H126" i="12"/>
  <c r="G126" i="12"/>
  <c r="F126" i="12"/>
  <c r="E126" i="12"/>
  <c r="I125" i="12"/>
  <c r="H125" i="12"/>
  <c r="G125" i="12"/>
  <c r="F125" i="12"/>
  <c r="E125" i="12"/>
  <c r="G117" i="12"/>
  <c r="G165" i="12" s="1"/>
  <c r="I116" i="12"/>
  <c r="F116" i="12"/>
  <c r="E116" i="12"/>
  <c r="I115" i="12"/>
  <c r="H115" i="12"/>
  <c r="G115" i="12"/>
  <c r="F115" i="12"/>
  <c r="E115" i="12"/>
  <c r="G109" i="12"/>
  <c r="I108" i="12"/>
  <c r="I188" i="12" s="1"/>
  <c r="H108" i="12"/>
  <c r="H188" i="12" s="1"/>
  <c r="G108" i="12"/>
  <c r="G188" i="12" s="1"/>
  <c r="F108" i="12"/>
  <c r="F188" i="12" s="1"/>
  <c r="E108" i="12"/>
  <c r="E188" i="12" s="1"/>
  <c r="E196" i="12" s="1"/>
  <c r="E204" i="12" s="1"/>
  <c r="I107" i="12"/>
  <c r="I187" i="12" s="1"/>
  <c r="H107" i="12"/>
  <c r="H187" i="12" s="1"/>
  <c r="G107" i="12"/>
  <c r="G187" i="12" s="1"/>
  <c r="F107" i="12"/>
  <c r="F187" i="12" s="1"/>
  <c r="E107" i="12"/>
  <c r="I103" i="12"/>
  <c r="H103" i="12"/>
  <c r="G103" i="12"/>
  <c r="F103" i="12"/>
  <c r="E103" i="12"/>
  <c r="I102" i="12"/>
  <c r="G102" i="12"/>
  <c r="F102" i="12"/>
  <c r="E102" i="12"/>
  <c r="I99" i="12"/>
  <c r="H99" i="12"/>
  <c r="G99" i="12"/>
  <c r="F99" i="12"/>
  <c r="E99" i="12"/>
  <c r="I98" i="12"/>
  <c r="G98" i="12"/>
  <c r="F98" i="12"/>
  <c r="E98" i="12"/>
  <c r="R97" i="12"/>
  <c r="L97" i="12"/>
  <c r="K97" i="12"/>
  <c r="J97" i="12"/>
  <c r="I97" i="12"/>
  <c r="H97" i="12"/>
  <c r="G97" i="12"/>
  <c r="F97" i="12"/>
  <c r="E97" i="12"/>
  <c r="I93" i="12"/>
  <c r="H93" i="12"/>
  <c r="G93" i="12"/>
  <c r="F93" i="12"/>
  <c r="E93" i="12"/>
  <c r="I91" i="12"/>
  <c r="H91" i="12"/>
  <c r="G91" i="12"/>
  <c r="F91" i="12"/>
  <c r="E91" i="12"/>
  <c r="I88" i="12"/>
  <c r="H88" i="12"/>
  <c r="G88" i="12"/>
  <c r="F88" i="12"/>
  <c r="E88" i="12"/>
  <c r="I87" i="12"/>
  <c r="I92" i="12" s="1"/>
  <c r="H87" i="12"/>
  <c r="H92" i="12" s="1"/>
  <c r="G87" i="12"/>
  <c r="G92" i="12" s="1"/>
  <c r="F87" i="12"/>
  <c r="F92" i="12" s="1"/>
  <c r="E87" i="12"/>
  <c r="E92" i="12" s="1"/>
  <c r="J86" i="12"/>
  <c r="J68" i="12" s="1"/>
  <c r="I84" i="12"/>
  <c r="G84" i="12"/>
  <c r="F84" i="12"/>
  <c r="E84" i="12"/>
  <c r="G83" i="12"/>
  <c r="E83" i="12"/>
  <c r="I80" i="12"/>
  <c r="G80" i="12"/>
  <c r="F80" i="12"/>
  <c r="E80" i="12"/>
  <c r="I79" i="12"/>
  <c r="H79" i="12"/>
  <c r="G79" i="12"/>
  <c r="F79" i="12"/>
  <c r="E79" i="12"/>
  <c r="I78" i="12"/>
  <c r="H78" i="12"/>
  <c r="G78" i="12"/>
  <c r="F78" i="12"/>
  <c r="E78" i="12"/>
  <c r="G77" i="12"/>
  <c r="E77" i="12"/>
  <c r="I74" i="12"/>
  <c r="H74" i="12"/>
  <c r="G74" i="12"/>
  <c r="F74" i="12"/>
  <c r="E74" i="12"/>
  <c r="I73" i="12"/>
  <c r="H73" i="12"/>
  <c r="G73" i="12"/>
  <c r="F73" i="12"/>
  <c r="E73" i="12"/>
  <c r="R72" i="12"/>
  <c r="L72" i="12"/>
  <c r="K72" i="12"/>
  <c r="J72" i="12"/>
  <c r="I72" i="12"/>
  <c r="H72" i="12"/>
  <c r="G72" i="12"/>
  <c r="F72" i="12"/>
  <c r="E72" i="12"/>
  <c r="I69" i="12"/>
  <c r="H69" i="12"/>
  <c r="G69" i="12"/>
  <c r="F69" i="12"/>
  <c r="E69" i="12"/>
  <c r="I68" i="12"/>
  <c r="H68" i="12"/>
  <c r="G68" i="12"/>
  <c r="F68" i="12"/>
  <c r="E68" i="12"/>
  <c r="G53" i="12"/>
  <c r="I52" i="12"/>
  <c r="H52" i="12"/>
  <c r="G52" i="12"/>
  <c r="F52" i="12"/>
  <c r="E52" i="12"/>
  <c r="I51" i="12"/>
  <c r="H51" i="12"/>
  <c r="G51" i="12"/>
  <c r="F51" i="12"/>
  <c r="E51" i="12"/>
  <c r="I47" i="12"/>
  <c r="H47" i="12"/>
  <c r="G47" i="12"/>
  <c r="F47" i="12"/>
  <c r="E47" i="12"/>
  <c r="I46" i="12"/>
  <c r="G46" i="12"/>
  <c r="F46" i="12"/>
  <c r="E46" i="12"/>
  <c r="R45" i="12"/>
  <c r="L45" i="12"/>
  <c r="K45" i="12"/>
  <c r="J45" i="12"/>
  <c r="I45" i="12"/>
  <c r="H45" i="12"/>
  <c r="G45" i="12"/>
  <c r="F45" i="12"/>
  <c r="E45" i="12"/>
  <c r="I41" i="12"/>
  <c r="H41" i="12"/>
  <c r="G41" i="12"/>
  <c r="F41" i="12"/>
  <c r="E41" i="12"/>
  <c r="I40" i="12"/>
  <c r="H40" i="12"/>
  <c r="G40" i="12"/>
  <c r="F40" i="12"/>
  <c r="E40" i="12"/>
  <c r="I36" i="12"/>
  <c r="H36" i="12"/>
  <c r="G36" i="12"/>
  <c r="F36" i="12"/>
  <c r="E36" i="12"/>
  <c r="I35" i="12"/>
  <c r="H35" i="12"/>
  <c r="G35" i="12"/>
  <c r="F35" i="12"/>
  <c r="E35" i="12"/>
  <c r="J34" i="12"/>
  <c r="I32" i="12"/>
  <c r="G32" i="12"/>
  <c r="F32" i="12"/>
  <c r="E32" i="12"/>
  <c r="G31" i="12"/>
  <c r="E31" i="12"/>
  <c r="I28" i="12"/>
  <c r="H28" i="12"/>
  <c r="G28" i="12"/>
  <c r="F28" i="12"/>
  <c r="E28" i="12"/>
  <c r="I27" i="12"/>
  <c r="I39" i="12" s="1"/>
  <c r="H27" i="12"/>
  <c r="H39" i="12" s="1"/>
  <c r="G27" i="12"/>
  <c r="G39" i="12" s="1"/>
  <c r="F27" i="12"/>
  <c r="F39" i="12" s="1"/>
  <c r="E27" i="12"/>
  <c r="E39" i="12" s="1"/>
  <c r="R26" i="12"/>
  <c r="L26" i="12"/>
  <c r="K26" i="12"/>
  <c r="J26" i="12"/>
  <c r="I26" i="12"/>
  <c r="H26" i="12"/>
  <c r="G26" i="12"/>
  <c r="F26" i="12"/>
  <c r="E26" i="12"/>
  <c r="I23" i="12"/>
  <c r="H23" i="12"/>
  <c r="G23" i="12"/>
  <c r="F23" i="12"/>
  <c r="E23" i="12"/>
  <c r="I22" i="12"/>
  <c r="H22" i="12"/>
  <c r="G22" i="12"/>
  <c r="F22" i="12"/>
  <c r="E22" i="12"/>
  <c r="I18" i="12"/>
  <c r="H18" i="12"/>
  <c r="G18" i="12"/>
  <c r="F18" i="12"/>
  <c r="E18" i="12"/>
  <c r="I17" i="12"/>
  <c r="G17" i="12"/>
  <c r="F17" i="12"/>
  <c r="E17" i="12"/>
  <c r="J14" i="12"/>
  <c r="I14" i="12"/>
  <c r="H14" i="12"/>
  <c r="G14" i="12"/>
  <c r="F14" i="12"/>
  <c r="E14" i="12"/>
  <c r="I13" i="12"/>
  <c r="H13" i="12"/>
  <c r="G13" i="12"/>
  <c r="F13" i="12"/>
  <c r="E13" i="12"/>
  <c r="E6" i="12"/>
  <c r="E3" i="12"/>
  <c r="E2" i="12"/>
  <c r="A1" i="12"/>
  <c r="D14" i="13" s="1"/>
  <c r="I319" i="21"/>
  <c r="G319" i="21"/>
  <c r="F319" i="21"/>
  <c r="E319" i="21"/>
  <c r="I315" i="21"/>
  <c r="G315" i="21"/>
  <c r="F315" i="21"/>
  <c r="E315" i="21"/>
  <c r="I314" i="21"/>
  <c r="G314" i="21"/>
  <c r="F314" i="21"/>
  <c r="E314" i="21"/>
  <c r="I313" i="21"/>
  <c r="G313" i="21"/>
  <c r="F313" i="21"/>
  <c r="E313" i="21"/>
  <c r="I306" i="21"/>
  <c r="G306" i="21"/>
  <c r="F306" i="21"/>
  <c r="E306" i="21"/>
  <c r="I305" i="21"/>
  <c r="G305" i="21"/>
  <c r="F305" i="21"/>
  <c r="E305" i="21"/>
  <c r="I300" i="21"/>
  <c r="H300" i="21"/>
  <c r="G300" i="21"/>
  <c r="F300" i="21"/>
  <c r="E300" i="21"/>
  <c r="I299" i="21"/>
  <c r="F299" i="21"/>
  <c r="E299" i="21"/>
  <c r="I294" i="21"/>
  <c r="H294" i="21"/>
  <c r="G294" i="21"/>
  <c r="F294" i="21"/>
  <c r="E294" i="21"/>
  <c r="I293" i="21"/>
  <c r="F293" i="21"/>
  <c r="E293" i="21"/>
  <c r="R289" i="21"/>
  <c r="L289" i="21"/>
  <c r="K289" i="21"/>
  <c r="J289" i="21"/>
  <c r="I289" i="21"/>
  <c r="H289" i="21"/>
  <c r="G289" i="21"/>
  <c r="F289" i="21"/>
  <c r="E289" i="21"/>
  <c r="R288" i="21"/>
  <c r="Q288" i="21"/>
  <c r="P288" i="21"/>
  <c r="O288" i="21"/>
  <c r="N288" i="21"/>
  <c r="M288" i="21"/>
  <c r="L288" i="21"/>
  <c r="K288" i="21"/>
  <c r="J288" i="21"/>
  <c r="I288" i="21"/>
  <c r="H288" i="21"/>
  <c r="G288" i="21"/>
  <c r="F288" i="21"/>
  <c r="E288" i="21"/>
  <c r="I282" i="21"/>
  <c r="H282" i="21"/>
  <c r="G282" i="21"/>
  <c r="F282" i="21"/>
  <c r="E282" i="21"/>
  <c r="I281" i="21"/>
  <c r="F281" i="21"/>
  <c r="E281" i="21"/>
  <c r="I280" i="21"/>
  <c r="H280" i="21"/>
  <c r="G280" i="21"/>
  <c r="F280" i="21"/>
  <c r="E280" i="21"/>
  <c r="I279" i="21"/>
  <c r="H279" i="21"/>
  <c r="G279" i="21"/>
  <c r="F279" i="21"/>
  <c r="E279" i="21"/>
  <c r="I274" i="21"/>
  <c r="H274" i="21"/>
  <c r="G274" i="21"/>
  <c r="F274" i="21"/>
  <c r="E274" i="21"/>
  <c r="I273" i="21"/>
  <c r="H273" i="21"/>
  <c r="G273" i="21"/>
  <c r="G285" i="21" s="1"/>
  <c r="F273" i="21"/>
  <c r="E273" i="21"/>
  <c r="I270" i="21"/>
  <c r="H270" i="21"/>
  <c r="G270" i="21"/>
  <c r="F270" i="21"/>
  <c r="E270" i="21"/>
  <c r="I269" i="21"/>
  <c r="G269" i="21"/>
  <c r="F269" i="21"/>
  <c r="E269" i="21"/>
  <c r="R268" i="21"/>
  <c r="L268" i="21"/>
  <c r="K268" i="21"/>
  <c r="J268" i="21"/>
  <c r="I268" i="21"/>
  <c r="H268" i="21"/>
  <c r="G268" i="21"/>
  <c r="F268" i="21"/>
  <c r="E268" i="21"/>
  <c r="I265" i="21"/>
  <c r="H265" i="21"/>
  <c r="G265" i="21"/>
  <c r="F265" i="21"/>
  <c r="E265" i="21"/>
  <c r="I264" i="21"/>
  <c r="H264" i="21"/>
  <c r="G264" i="21"/>
  <c r="F264" i="21"/>
  <c r="E264" i="21"/>
  <c r="I263" i="21"/>
  <c r="H263" i="21"/>
  <c r="G263" i="21"/>
  <c r="F263" i="21"/>
  <c r="E263" i="21"/>
  <c r="I259" i="21"/>
  <c r="H259" i="21"/>
  <c r="G259" i="21"/>
  <c r="F259" i="21"/>
  <c r="E259" i="21"/>
  <c r="J258" i="21"/>
  <c r="I256" i="21"/>
  <c r="G256" i="21"/>
  <c r="F256" i="21"/>
  <c r="E256" i="21"/>
  <c r="I253" i="21"/>
  <c r="H253" i="21"/>
  <c r="F253" i="21"/>
  <c r="I252" i="21"/>
  <c r="H252" i="21"/>
  <c r="G252" i="21"/>
  <c r="F252" i="21"/>
  <c r="E252" i="21"/>
  <c r="G251" i="21"/>
  <c r="E251" i="21"/>
  <c r="I248" i="21"/>
  <c r="H248" i="21"/>
  <c r="G248" i="21"/>
  <c r="F248" i="21"/>
  <c r="E248" i="21"/>
  <c r="I247" i="21"/>
  <c r="H247" i="21"/>
  <c r="G247" i="21"/>
  <c r="F247" i="21"/>
  <c r="E247" i="21"/>
  <c r="R246" i="21"/>
  <c r="L246" i="21"/>
  <c r="K246" i="21"/>
  <c r="J246" i="21"/>
  <c r="I246" i="21"/>
  <c r="H246" i="21"/>
  <c r="G246" i="21"/>
  <c r="F246" i="21"/>
  <c r="E246" i="21"/>
  <c r="I243" i="21"/>
  <c r="H243" i="21"/>
  <c r="G243" i="21"/>
  <c r="F243" i="21"/>
  <c r="E243" i="21"/>
  <c r="I242" i="21"/>
  <c r="H242" i="21"/>
  <c r="G242" i="21"/>
  <c r="F242" i="21"/>
  <c r="E242" i="21"/>
  <c r="J239" i="21"/>
  <c r="I239" i="21"/>
  <c r="H239" i="21"/>
  <c r="G239" i="21"/>
  <c r="F239" i="21"/>
  <c r="E239" i="21"/>
  <c r="I238" i="21"/>
  <c r="H238" i="21"/>
  <c r="G238" i="21"/>
  <c r="F238" i="21"/>
  <c r="E238" i="21"/>
  <c r="I228" i="21"/>
  <c r="G228" i="21"/>
  <c r="F228" i="21"/>
  <c r="E228" i="21"/>
  <c r="I227" i="21"/>
  <c r="G227" i="21"/>
  <c r="F227" i="21"/>
  <c r="E227" i="21"/>
  <c r="I223" i="21"/>
  <c r="H223" i="21"/>
  <c r="G223" i="21"/>
  <c r="F223" i="21"/>
  <c r="E223" i="21"/>
  <c r="I222" i="21"/>
  <c r="G222" i="21"/>
  <c r="F222" i="21"/>
  <c r="E222" i="21"/>
  <c r="I218" i="21"/>
  <c r="H218" i="21"/>
  <c r="G218" i="21"/>
  <c r="F218" i="21"/>
  <c r="E218" i="21"/>
  <c r="I217" i="21"/>
  <c r="G217" i="21"/>
  <c r="F217" i="21"/>
  <c r="E217" i="21"/>
  <c r="R213" i="21"/>
  <c r="L213" i="21"/>
  <c r="K213" i="21"/>
  <c r="J213" i="21"/>
  <c r="I213" i="21"/>
  <c r="H213" i="21"/>
  <c r="G213" i="21"/>
  <c r="F213" i="21"/>
  <c r="E213" i="21"/>
  <c r="R212" i="21"/>
  <c r="Q212" i="21"/>
  <c r="P212" i="21"/>
  <c r="O212" i="21"/>
  <c r="N212" i="21"/>
  <c r="M212" i="21"/>
  <c r="L212" i="21"/>
  <c r="K212" i="21"/>
  <c r="J212" i="21"/>
  <c r="I212" i="21"/>
  <c r="H212" i="21"/>
  <c r="G212" i="21"/>
  <c r="F212" i="21"/>
  <c r="E212" i="21"/>
  <c r="I208" i="21"/>
  <c r="F208" i="21"/>
  <c r="I207" i="21"/>
  <c r="F207" i="21"/>
  <c r="I204" i="21"/>
  <c r="F204" i="21"/>
  <c r="I203" i="21"/>
  <c r="F203" i="21"/>
  <c r="I200" i="21"/>
  <c r="F200" i="21"/>
  <c r="I199" i="21"/>
  <c r="F199" i="21"/>
  <c r="I191" i="21"/>
  <c r="H191" i="21"/>
  <c r="G191" i="21"/>
  <c r="F191" i="21"/>
  <c r="E191" i="21"/>
  <c r="E15" i="42" s="1"/>
  <c r="I190" i="21"/>
  <c r="H190" i="21"/>
  <c r="G190" i="21"/>
  <c r="F190" i="21"/>
  <c r="E190" i="21"/>
  <c r="I189" i="21"/>
  <c r="F189" i="21"/>
  <c r="E189" i="21"/>
  <c r="E197" i="21" s="1"/>
  <c r="E208" i="21" s="1"/>
  <c r="I186" i="21"/>
  <c r="F186" i="21"/>
  <c r="E186" i="21"/>
  <c r="E194" i="21" s="1"/>
  <c r="E207" i="21" s="1"/>
  <c r="I185" i="21"/>
  <c r="H185" i="21"/>
  <c r="G185" i="21"/>
  <c r="F185" i="21"/>
  <c r="E185" i="21"/>
  <c r="E193" i="21" s="1"/>
  <c r="E203" i="21" s="1"/>
  <c r="I184" i="21"/>
  <c r="H184" i="21"/>
  <c r="G184" i="21"/>
  <c r="F184" i="21"/>
  <c r="E184" i="21"/>
  <c r="E192" i="21" s="1"/>
  <c r="E199" i="21" s="1"/>
  <c r="I178" i="21"/>
  <c r="H178" i="21"/>
  <c r="G178" i="21"/>
  <c r="F178" i="21"/>
  <c r="E178" i="21"/>
  <c r="I173" i="21"/>
  <c r="I79" i="21" s="1"/>
  <c r="H173" i="21"/>
  <c r="H79" i="21" s="1"/>
  <c r="G173" i="21"/>
  <c r="G79" i="21" s="1"/>
  <c r="F173" i="21"/>
  <c r="F79" i="21" s="1"/>
  <c r="E173" i="21"/>
  <c r="E79" i="21" s="1"/>
  <c r="I172" i="21"/>
  <c r="I78" i="21" s="1"/>
  <c r="H172" i="21"/>
  <c r="H78" i="21" s="1"/>
  <c r="G172" i="21"/>
  <c r="G78" i="21" s="1"/>
  <c r="F172" i="21"/>
  <c r="F78" i="21" s="1"/>
  <c r="E172" i="21"/>
  <c r="E78" i="21" s="1"/>
  <c r="I171" i="21"/>
  <c r="H171" i="21"/>
  <c r="G171" i="21"/>
  <c r="F171" i="21"/>
  <c r="E171" i="21"/>
  <c r="I170" i="21"/>
  <c r="H170" i="21"/>
  <c r="G170" i="21"/>
  <c r="F170" i="21"/>
  <c r="E170" i="21"/>
  <c r="R165" i="21"/>
  <c r="L165" i="21"/>
  <c r="K165" i="21"/>
  <c r="J165" i="21"/>
  <c r="I165" i="21"/>
  <c r="F165" i="21"/>
  <c r="E165" i="21"/>
  <c r="I164" i="21"/>
  <c r="F164" i="21"/>
  <c r="E164" i="21"/>
  <c r="G162" i="21"/>
  <c r="G164" i="21" s="1"/>
  <c r="I161" i="21"/>
  <c r="F161" i="21"/>
  <c r="E161" i="21"/>
  <c r="I160" i="21"/>
  <c r="F160" i="21"/>
  <c r="E160" i="21"/>
  <c r="I157" i="21"/>
  <c r="H157" i="21"/>
  <c r="G157" i="21"/>
  <c r="F157" i="21"/>
  <c r="E157" i="21"/>
  <c r="I156" i="21"/>
  <c r="H156" i="21"/>
  <c r="G156" i="21"/>
  <c r="F156" i="21"/>
  <c r="E156" i="21"/>
  <c r="I153" i="21"/>
  <c r="H153" i="21"/>
  <c r="G153" i="21"/>
  <c r="F153" i="21"/>
  <c r="E153" i="21"/>
  <c r="I152" i="21"/>
  <c r="G152" i="21"/>
  <c r="F152" i="21"/>
  <c r="E152" i="21"/>
  <c r="R151" i="21"/>
  <c r="L151" i="21"/>
  <c r="K151" i="21"/>
  <c r="J151" i="21"/>
  <c r="I151" i="21"/>
  <c r="H151" i="21"/>
  <c r="G151" i="21"/>
  <c r="F151" i="21"/>
  <c r="E151" i="21"/>
  <c r="I148" i="21"/>
  <c r="H148" i="21"/>
  <c r="G148" i="21"/>
  <c r="F148" i="21"/>
  <c r="E148" i="21"/>
  <c r="I147" i="21"/>
  <c r="H147" i="21"/>
  <c r="G147" i="21"/>
  <c r="F147" i="21"/>
  <c r="E147" i="21"/>
  <c r="I146" i="21"/>
  <c r="H146" i="21"/>
  <c r="G146" i="21"/>
  <c r="F146" i="21"/>
  <c r="E146" i="21"/>
  <c r="I143" i="21"/>
  <c r="H143" i="21"/>
  <c r="G143" i="21"/>
  <c r="F143" i="21"/>
  <c r="E143" i="21"/>
  <c r="I142" i="21"/>
  <c r="H142" i="21"/>
  <c r="G142" i="21"/>
  <c r="F142" i="21"/>
  <c r="E142" i="21"/>
  <c r="J141" i="21"/>
  <c r="I139" i="21"/>
  <c r="G139" i="21"/>
  <c r="F139" i="21"/>
  <c r="E139" i="21"/>
  <c r="G138" i="21"/>
  <c r="E138" i="21"/>
  <c r="I135" i="21"/>
  <c r="H135" i="21"/>
  <c r="G135" i="21"/>
  <c r="F135" i="21"/>
  <c r="E135" i="21"/>
  <c r="I134" i="21"/>
  <c r="H134" i="21"/>
  <c r="G134" i="21"/>
  <c r="F134" i="21"/>
  <c r="E134" i="21"/>
  <c r="R133" i="21"/>
  <c r="L133" i="21"/>
  <c r="K133" i="21"/>
  <c r="J133" i="21"/>
  <c r="I133" i="21"/>
  <c r="H133" i="21"/>
  <c r="G133" i="21"/>
  <c r="F133" i="21"/>
  <c r="E133" i="21"/>
  <c r="I130" i="21"/>
  <c r="H130" i="21"/>
  <c r="G130" i="21"/>
  <c r="F130" i="21"/>
  <c r="E130" i="21"/>
  <c r="I129" i="21"/>
  <c r="H129" i="21"/>
  <c r="G129" i="21"/>
  <c r="F129" i="21"/>
  <c r="E129" i="21"/>
  <c r="J126" i="21"/>
  <c r="I126" i="21"/>
  <c r="H126" i="21"/>
  <c r="G126" i="21"/>
  <c r="F126" i="21"/>
  <c r="E126" i="21"/>
  <c r="I125" i="21"/>
  <c r="H125" i="21"/>
  <c r="G125" i="21"/>
  <c r="F125" i="21"/>
  <c r="E125" i="21"/>
  <c r="G117" i="21"/>
  <c r="G165" i="21" s="1"/>
  <c r="I116" i="21"/>
  <c r="F116" i="21"/>
  <c r="E116" i="21"/>
  <c r="I115" i="21"/>
  <c r="H115" i="21"/>
  <c r="G115" i="21"/>
  <c r="F115" i="21"/>
  <c r="E115" i="21"/>
  <c r="G109" i="21"/>
  <c r="G161" i="21" s="1"/>
  <c r="I108" i="21"/>
  <c r="I188" i="21" s="1"/>
  <c r="H108" i="21"/>
  <c r="H188" i="21" s="1"/>
  <c r="G108" i="21"/>
  <c r="G188" i="21" s="1"/>
  <c r="F108" i="21"/>
  <c r="F188" i="21" s="1"/>
  <c r="E108" i="21"/>
  <c r="E188" i="21" s="1"/>
  <c r="E196" i="21" s="1"/>
  <c r="E204" i="21" s="1"/>
  <c r="I107" i="21"/>
  <c r="I187" i="21" s="1"/>
  <c r="H107" i="21"/>
  <c r="H187" i="21" s="1"/>
  <c r="G107" i="21"/>
  <c r="G187" i="21" s="1"/>
  <c r="F107" i="21"/>
  <c r="F187" i="21" s="1"/>
  <c r="E107" i="21"/>
  <c r="E187" i="21" s="1"/>
  <c r="E195" i="21" s="1"/>
  <c r="E200" i="21" s="1"/>
  <c r="I103" i="21"/>
  <c r="H103" i="21"/>
  <c r="G103" i="21"/>
  <c r="F103" i="21"/>
  <c r="E103" i="21"/>
  <c r="I102" i="21"/>
  <c r="G102" i="21"/>
  <c r="F102" i="21"/>
  <c r="E102" i="21"/>
  <c r="I99" i="21"/>
  <c r="H99" i="21"/>
  <c r="G99" i="21"/>
  <c r="F99" i="21"/>
  <c r="E99" i="21"/>
  <c r="I98" i="21"/>
  <c r="G98" i="21"/>
  <c r="F98" i="21"/>
  <c r="E98" i="21"/>
  <c r="R97" i="21"/>
  <c r="L97" i="21"/>
  <c r="K97" i="21"/>
  <c r="J97" i="21"/>
  <c r="I97" i="21"/>
  <c r="H97" i="21"/>
  <c r="G97" i="21"/>
  <c r="F97" i="21"/>
  <c r="E97" i="21"/>
  <c r="I93" i="21"/>
  <c r="H93" i="21"/>
  <c r="G93" i="21"/>
  <c r="F93" i="21"/>
  <c r="E93" i="21"/>
  <c r="I91" i="21"/>
  <c r="H91" i="21"/>
  <c r="G91" i="21"/>
  <c r="F91" i="21"/>
  <c r="E91" i="21"/>
  <c r="I88" i="21"/>
  <c r="H88" i="21"/>
  <c r="G88" i="21"/>
  <c r="F88" i="21"/>
  <c r="E88" i="21"/>
  <c r="I87" i="21"/>
  <c r="I92" i="21" s="1"/>
  <c r="H87" i="21"/>
  <c r="H92" i="21" s="1"/>
  <c r="G87" i="21"/>
  <c r="G92" i="21" s="1"/>
  <c r="F87" i="21"/>
  <c r="F92" i="21" s="1"/>
  <c r="E87" i="21"/>
  <c r="E92" i="21" s="1"/>
  <c r="J86" i="21"/>
  <c r="I84" i="21"/>
  <c r="G84" i="21"/>
  <c r="F84" i="21"/>
  <c r="E84" i="21"/>
  <c r="G83" i="21"/>
  <c r="E83" i="21"/>
  <c r="E13" i="42" s="1"/>
  <c r="I80" i="21"/>
  <c r="G80" i="21"/>
  <c r="F80" i="21"/>
  <c r="E80" i="21"/>
  <c r="G77" i="21"/>
  <c r="E77" i="21"/>
  <c r="I74" i="21"/>
  <c r="H74" i="21"/>
  <c r="G74" i="21"/>
  <c r="F74" i="21"/>
  <c r="E74" i="21"/>
  <c r="I73" i="21"/>
  <c r="H73" i="21"/>
  <c r="G73" i="21"/>
  <c r="F73" i="21"/>
  <c r="E73" i="21"/>
  <c r="R72" i="21"/>
  <c r="L72" i="21"/>
  <c r="K72" i="21"/>
  <c r="J72" i="21"/>
  <c r="I72" i="21"/>
  <c r="H72" i="21"/>
  <c r="G72" i="21"/>
  <c r="F72" i="21"/>
  <c r="E72" i="21"/>
  <c r="I69" i="21"/>
  <c r="H69" i="21"/>
  <c r="G69" i="21"/>
  <c r="F69" i="21"/>
  <c r="E69" i="21"/>
  <c r="I68" i="21"/>
  <c r="H68" i="21"/>
  <c r="G68" i="21"/>
  <c r="F68" i="21"/>
  <c r="E68" i="21"/>
  <c r="G53" i="21"/>
  <c r="I52" i="21"/>
  <c r="H52" i="21"/>
  <c r="G52" i="21"/>
  <c r="F52" i="21"/>
  <c r="E52" i="21"/>
  <c r="I51" i="21"/>
  <c r="H51" i="21"/>
  <c r="G51" i="21"/>
  <c r="F51" i="21"/>
  <c r="E51" i="21"/>
  <c r="I47" i="21"/>
  <c r="H47" i="21"/>
  <c r="G47" i="21"/>
  <c r="F47" i="21"/>
  <c r="E47" i="21"/>
  <c r="I46" i="21"/>
  <c r="G46" i="21"/>
  <c r="F46" i="21"/>
  <c r="E46" i="21"/>
  <c r="R45" i="21"/>
  <c r="L45" i="21"/>
  <c r="K45" i="21"/>
  <c r="J45" i="21"/>
  <c r="I45" i="21"/>
  <c r="H45" i="21"/>
  <c r="G45" i="21"/>
  <c r="F45" i="21"/>
  <c r="E45" i="21"/>
  <c r="I41" i="21"/>
  <c r="H41" i="21"/>
  <c r="G41" i="21"/>
  <c r="F41" i="21"/>
  <c r="E41" i="21"/>
  <c r="I40" i="21"/>
  <c r="H40" i="21"/>
  <c r="G40" i="21"/>
  <c r="F40" i="21"/>
  <c r="E40" i="21"/>
  <c r="I36" i="21"/>
  <c r="H36" i="21"/>
  <c r="G36" i="21"/>
  <c r="F36" i="21"/>
  <c r="E36" i="21"/>
  <c r="I35" i="21"/>
  <c r="H35" i="21"/>
  <c r="G35" i="21"/>
  <c r="F35" i="21"/>
  <c r="E35" i="21"/>
  <c r="J34" i="21"/>
  <c r="J22" i="21" s="1"/>
  <c r="I32" i="21"/>
  <c r="G32" i="21"/>
  <c r="F32" i="21"/>
  <c r="E32" i="21"/>
  <c r="G31" i="21"/>
  <c r="E31" i="21"/>
  <c r="I28" i="21"/>
  <c r="H28" i="21"/>
  <c r="G28" i="21"/>
  <c r="F28" i="21"/>
  <c r="E28" i="21"/>
  <c r="I27" i="21"/>
  <c r="I39" i="21" s="1"/>
  <c r="H27" i="21"/>
  <c r="H39" i="21" s="1"/>
  <c r="G27" i="21"/>
  <c r="G39" i="21" s="1"/>
  <c r="F27" i="21"/>
  <c r="F39" i="21" s="1"/>
  <c r="E27" i="21"/>
  <c r="E39" i="21" s="1"/>
  <c r="R26" i="21"/>
  <c r="L26" i="21"/>
  <c r="K26" i="21"/>
  <c r="J26" i="21"/>
  <c r="I26" i="21"/>
  <c r="H26" i="21"/>
  <c r="G26" i="21"/>
  <c r="F26" i="21"/>
  <c r="E26" i="21"/>
  <c r="I23" i="21"/>
  <c r="H23" i="21"/>
  <c r="G23" i="21"/>
  <c r="F23" i="21"/>
  <c r="E23" i="21"/>
  <c r="I22" i="21"/>
  <c r="H22" i="21"/>
  <c r="G22" i="21"/>
  <c r="F22" i="21"/>
  <c r="E22" i="21"/>
  <c r="I18" i="21"/>
  <c r="H18" i="21"/>
  <c r="G18" i="21"/>
  <c r="F18" i="21"/>
  <c r="E18" i="21"/>
  <c r="I17" i="21"/>
  <c r="G17" i="21"/>
  <c r="F17" i="21"/>
  <c r="E17" i="21"/>
  <c r="J14" i="21"/>
  <c r="I14" i="21"/>
  <c r="H14" i="21"/>
  <c r="G14" i="21"/>
  <c r="F14" i="21"/>
  <c r="E14" i="21"/>
  <c r="I13" i="21"/>
  <c r="H13" i="21"/>
  <c r="G13" i="21"/>
  <c r="F13" i="21"/>
  <c r="E13" i="21"/>
  <c r="E6" i="21"/>
  <c r="E3" i="21"/>
  <c r="E2" i="21"/>
  <c r="A1" i="21"/>
  <c r="D11" i="13" s="1"/>
  <c r="G134" i="16"/>
  <c r="E134" i="16"/>
  <c r="G133" i="16"/>
  <c r="E133" i="16"/>
  <c r="G130" i="16"/>
  <c r="E130" i="16"/>
  <c r="G129" i="16"/>
  <c r="E129" i="16"/>
  <c r="I126" i="16"/>
  <c r="G126" i="16"/>
  <c r="E126" i="16"/>
  <c r="G125" i="16"/>
  <c r="E125" i="16"/>
  <c r="G124" i="16"/>
  <c r="E124" i="16"/>
  <c r="G120" i="16"/>
  <c r="E120" i="16"/>
  <c r="G119" i="16"/>
  <c r="E119" i="16"/>
  <c r="I116" i="16"/>
  <c r="G116" i="16"/>
  <c r="E116" i="16"/>
  <c r="G115" i="16"/>
  <c r="E115" i="16"/>
  <c r="J112" i="16"/>
  <c r="J125" i="16" s="1"/>
  <c r="J111" i="16"/>
  <c r="J173" i="21" s="1"/>
  <c r="R108" i="16"/>
  <c r="R114" i="16" s="1"/>
  <c r="G108" i="16"/>
  <c r="G114" i="16" s="1"/>
  <c r="E108" i="16"/>
  <c r="E114" i="16" s="1"/>
  <c r="R107" i="16"/>
  <c r="G107" i="16"/>
  <c r="E107" i="16"/>
  <c r="R106" i="16"/>
  <c r="G106" i="16"/>
  <c r="E106" i="16"/>
  <c r="R105" i="16"/>
  <c r="G105" i="16"/>
  <c r="E105" i="16"/>
  <c r="R104" i="16"/>
  <c r="G104" i="16"/>
  <c r="E104" i="16"/>
  <c r="R103" i="16"/>
  <c r="G103" i="16"/>
  <c r="E103" i="16"/>
  <c r="R102" i="16"/>
  <c r="G102" i="16"/>
  <c r="E102" i="16"/>
  <c r="R101" i="16"/>
  <c r="G101" i="16"/>
  <c r="E101" i="16"/>
  <c r="R100" i="16"/>
  <c r="G100" i="16"/>
  <c r="E100" i="16"/>
  <c r="R99" i="16"/>
  <c r="G99" i="16"/>
  <c r="E99" i="16"/>
  <c r="R98" i="16"/>
  <c r="G98" i="16"/>
  <c r="E98" i="16"/>
  <c r="R97" i="16"/>
  <c r="G97" i="16"/>
  <c r="E97" i="16"/>
  <c r="I93" i="16"/>
  <c r="G93" i="16"/>
  <c r="E93" i="16"/>
  <c r="G92" i="16"/>
  <c r="E92" i="16"/>
  <c r="J89" i="16"/>
  <c r="J130" i="16" s="1"/>
  <c r="R86" i="16"/>
  <c r="R91" i="16" s="1"/>
  <c r="J86" i="16"/>
  <c r="J91" i="16" s="1"/>
  <c r="G86" i="16"/>
  <c r="G91" i="16" s="1"/>
  <c r="E86" i="16"/>
  <c r="E91" i="16" s="1"/>
  <c r="R85" i="16"/>
  <c r="J85" i="16"/>
  <c r="G85" i="16"/>
  <c r="E85" i="16"/>
  <c r="R84" i="16"/>
  <c r="J84" i="16"/>
  <c r="G84" i="16"/>
  <c r="E84" i="16"/>
  <c r="R83" i="16"/>
  <c r="J83" i="16"/>
  <c r="G83" i="16"/>
  <c r="E83" i="16"/>
  <c r="R82" i="16"/>
  <c r="J82" i="16"/>
  <c r="G82" i="16"/>
  <c r="E82" i="16"/>
  <c r="R81" i="16"/>
  <c r="J81" i="16"/>
  <c r="G81" i="16"/>
  <c r="E81" i="16"/>
  <c r="R80" i="16"/>
  <c r="J80" i="16"/>
  <c r="G80" i="16"/>
  <c r="E80" i="16"/>
  <c r="R79" i="16"/>
  <c r="J79" i="16"/>
  <c r="G79" i="16"/>
  <c r="E79" i="16"/>
  <c r="R78" i="16"/>
  <c r="J78" i="16"/>
  <c r="G78" i="16"/>
  <c r="E78" i="16"/>
  <c r="R77" i="16"/>
  <c r="J77" i="16"/>
  <c r="G77" i="16"/>
  <c r="E77" i="16"/>
  <c r="R76" i="16"/>
  <c r="J76" i="16"/>
  <c r="G76" i="16"/>
  <c r="E76" i="16"/>
  <c r="R75" i="16"/>
  <c r="J75" i="16"/>
  <c r="G75" i="16"/>
  <c r="E75" i="16"/>
  <c r="G70" i="16"/>
  <c r="E70" i="16"/>
  <c r="G69" i="16"/>
  <c r="E69" i="16"/>
  <c r="G66" i="16"/>
  <c r="E66" i="16"/>
  <c r="G65" i="16"/>
  <c r="E65" i="16"/>
  <c r="I62" i="16"/>
  <c r="G62" i="16"/>
  <c r="E62" i="16"/>
  <c r="G61" i="16"/>
  <c r="E61" i="16"/>
  <c r="G60" i="16"/>
  <c r="E60" i="16"/>
  <c r="G56" i="16"/>
  <c r="E56" i="16"/>
  <c r="G55" i="16"/>
  <c r="E55" i="16"/>
  <c r="I52" i="16"/>
  <c r="G52" i="16"/>
  <c r="E52" i="16"/>
  <c r="G51" i="16"/>
  <c r="E51" i="16"/>
  <c r="J48" i="16"/>
  <c r="J13" i="21" s="1"/>
  <c r="J47" i="16"/>
  <c r="J282" i="12" s="1"/>
  <c r="R44" i="16"/>
  <c r="R50" i="16" s="1"/>
  <c r="R253" i="12" s="1"/>
  <c r="Q44" i="16"/>
  <c r="Q50" i="16" s="1"/>
  <c r="P44" i="16"/>
  <c r="P50" i="16" s="1"/>
  <c r="P253" i="21" s="1"/>
  <c r="O44" i="16"/>
  <c r="O50" i="16" s="1"/>
  <c r="N44" i="16"/>
  <c r="N50" i="16" s="1"/>
  <c r="M44" i="16"/>
  <c r="M50" i="16" s="1"/>
  <c r="L44" i="16"/>
  <c r="L50" i="16" s="1"/>
  <c r="K44" i="16"/>
  <c r="K50" i="16" s="1"/>
  <c r="J44" i="16"/>
  <c r="J50" i="16" s="1"/>
  <c r="G44" i="16"/>
  <c r="G50" i="16" s="1"/>
  <c r="E44" i="16"/>
  <c r="E50" i="16" s="1"/>
  <c r="R43" i="16"/>
  <c r="Q43" i="16"/>
  <c r="P43" i="16"/>
  <c r="O43" i="16"/>
  <c r="N43" i="16"/>
  <c r="M43" i="16"/>
  <c r="L43" i="16"/>
  <c r="K43" i="16"/>
  <c r="J43" i="16"/>
  <c r="G43" i="16"/>
  <c r="E43" i="16"/>
  <c r="R42" i="16"/>
  <c r="Q42" i="16"/>
  <c r="P42" i="16"/>
  <c r="O42" i="16"/>
  <c r="N42" i="16"/>
  <c r="M42" i="16"/>
  <c r="L42" i="16"/>
  <c r="K42" i="16"/>
  <c r="J42" i="16"/>
  <c r="G42" i="16"/>
  <c r="E42" i="16"/>
  <c r="R41" i="16"/>
  <c r="Q41" i="16"/>
  <c r="P41" i="16"/>
  <c r="O41" i="16"/>
  <c r="N41" i="16"/>
  <c r="M41" i="16"/>
  <c r="L41" i="16"/>
  <c r="K41" i="16"/>
  <c r="J41" i="16"/>
  <c r="G41" i="16"/>
  <c r="E41" i="16"/>
  <c r="R40" i="16"/>
  <c r="Q40" i="16"/>
  <c r="P40" i="16"/>
  <c r="O40" i="16"/>
  <c r="N40" i="16"/>
  <c r="M40" i="16"/>
  <c r="L40" i="16"/>
  <c r="K40" i="16"/>
  <c r="J40" i="16"/>
  <c r="G40" i="16"/>
  <c r="E40" i="16"/>
  <c r="R39" i="16"/>
  <c r="Q39" i="16"/>
  <c r="P39" i="16"/>
  <c r="O39" i="16"/>
  <c r="N39" i="16"/>
  <c r="M39" i="16"/>
  <c r="L39" i="16"/>
  <c r="K39" i="16"/>
  <c r="J39" i="16"/>
  <c r="G39" i="16"/>
  <c r="E39" i="16"/>
  <c r="R38" i="16"/>
  <c r="Q38" i="16"/>
  <c r="P38" i="16"/>
  <c r="O38" i="16"/>
  <c r="N38" i="16"/>
  <c r="M38" i="16"/>
  <c r="L38" i="16"/>
  <c r="K38" i="16"/>
  <c r="J38" i="16"/>
  <c r="G38" i="16"/>
  <c r="E38" i="16"/>
  <c r="R37" i="16"/>
  <c r="Q37" i="16"/>
  <c r="P37" i="16"/>
  <c r="O37" i="16"/>
  <c r="N37" i="16"/>
  <c r="M37" i="16"/>
  <c r="L37" i="16"/>
  <c r="K37" i="16"/>
  <c r="J37" i="16"/>
  <c r="G37" i="16"/>
  <c r="E37" i="16"/>
  <c r="R36" i="16"/>
  <c r="Q36" i="16"/>
  <c r="P36" i="16"/>
  <c r="O36" i="16"/>
  <c r="N36" i="16"/>
  <c r="M36" i="16"/>
  <c r="L36" i="16"/>
  <c r="K36" i="16"/>
  <c r="J36" i="16"/>
  <c r="G36" i="16"/>
  <c r="E36" i="16"/>
  <c r="R35" i="16"/>
  <c r="Q35" i="16"/>
  <c r="P35" i="16"/>
  <c r="O35" i="16"/>
  <c r="N35" i="16"/>
  <c r="M35" i="16"/>
  <c r="L35" i="16"/>
  <c r="K35" i="16"/>
  <c r="J35" i="16"/>
  <c r="G35" i="16"/>
  <c r="E35" i="16"/>
  <c r="R34" i="16"/>
  <c r="Q34" i="16"/>
  <c r="P34" i="16"/>
  <c r="O34" i="16"/>
  <c r="N34" i="16"/>
  <c r="M34" i="16"/>
  <c r="L34" i="16"/>
  <c r="K34" i="16"/>
  <c r="J34" i="16"/>
  <c r="G34" i="16"/>
  <c r="E34" i="16"/>
  <c r="R33" i="16"/>
  <c r="Q33" i="16"/>
  <c r="P33" i="16"/>
  <c r="O33" i="16"/>
  <c r="N33" i="16"/>
  <c r="M33" i="16"/>
  <c r="L33" i="16"/>
  <c r="K33" i="16"/>
  <c r="J33" i="16"/>
  <c r="G33" i="16"/>
  <c r="E33" i="16"/>
  <c r="I29" i="16"/>
  <c r="G29" i="16"/>
  <c r="E29" i="16"/>
  <c r="G28" i="16"/>
  <c r="E28" i="16"/>
  <c r="J25" i="16"/>
  <c r="J66" i="16" s="1"/>
  <c r="R22" i="16"/>
  <c r="R27" i="16" s="1"/>
  <c r="Q22" i="16"/>
  <c r="Q27" i="16" s="1"/>
  <c r="P22" i="16"/>
  <c r="P27" i="16" s="1"/>
  <c r="O22" i="16"/>
  <c r="O27" i="16" s="1"/>
  <c r="N22" i="16"/>
  <c r="N27" i="16" s="1"/>
  <c r="M22" i="16"/>
  <c r="M27" i="16" s="1"/>
  <c r="L22" i="16"/>
  <c r="L27" i="16" s="1"/>
  <c r="K22" i="16"/>
  <c r="K27" i="16" s="1"/>
  <c r="J22" i="16"/>
  <c r="J27" i="16" s="1"/>
  <c r="G22" i="16"/>
  <c r="G27" i="16" s="1"/>
  <c r="E22" i="16"/>
  <c r="E27" i="16" s="1"/>
  <c r="R21" i="16"/>
  <c r="Q21" i="16"/>
  <c r="P21" i="16"/>
  <c r="O21" i="16"/>
  <c r="N21" i="16"/>
  <c r="M21" i="16"/>
  <c r="L21" i="16"/>
  <c r="K21" i="16"/>
  <c r="J21" i="16"/>
  <c r="G21" i="16"/>
  <c r="E21" i="16"/>
  <c r="R20" i="16"/>
  <c r="Q20" i="16"/>
  <c r="P20" i="16"/>
  <c r="O20" i="16"/>
  <c r="N20" i="16"/>
  <c r="M20" i="16"/>
  <c r="L20" i="16"/>
  <c r="K20" i="16"/>
  <c r="J20" i="16"/>
  <c r="G20" i="16"/>
  <c r="E20" i="16"/>
  <c r="R19" i="16"/>
  <c r="Q19" i="16"/>
  <c r="P19" i="16"/>
  <c r="O19" i="16"/>
  <c r="N19" i="16"/>
  <c r="M19" i="16"/>
  <c r="L19" i="16"/>
  <c r="K19" i="16"/>
  <c r="J19" i="16"/>
  <c r="G19" i="16"/>
  <c r="E19" i="16"/>
  <c r="R18" i="16"/>
  <c r="Q18" i="16"/>
  <c r="P18" i="16"/>
  <c r="O18" i="16"/>
  <c r="N18" i="16"/>
  <c r="M18" i="16"/>
  <c r="L18" i="16"/>
  <c r="K18" i="16"/>
  <c r="J18" i="16"/>
  <c r="G18" i="16"/>
  <c r="E18" i="16"/>
  <c r="R17" i="16"/>
  <c r="Q17" i="16"/>
  <c r="P17" i="16"/>
  <c r="O17" i="16"/>
  <c r="N17" i="16"/>
  <c r="M17" i="16"/>
  <c r="L17" i="16"/>
  <c r="K17" i="16"/>
  <c r="J17" i="16"/>
  <c r="G17" i="16"/>
  <c r="E17" i="16"/>
  <c r="R16" i="16"/>
  <c r="Q16" i="16"/>
  <c r="P16" i="16"/>
  <c r="O16" i="16"/>
  <c r="N16" i="16"/>
  <c r="M16" i="16"/>
  <c r="L16" i="16"/>
  <c r="K16" i="16"/>
  <c r="J16" i="16"/>
  <c r="G16" i="16"/>
  <c r="E16" i="16"/>
  <c r="R15" i="16"/>
  <c r="Q15" i="16"/>
  <c r="P15" i="16"/>
  <c r="O15" i="16"/>
  <c r="N15" i="16"/>
  <c r="M15" i="16"/>
  <c r="L15" i="16"/>
  <c r="K15" i="16"/>
  <c r="J15" i="16"/>
  <c r="G15" i="16"/>
  <c r="E15" i="16"/>
  <c r="R14" i="16"/>
  <c r="Q14" i="16"/>
  <c r="P14" i="16"/>
  <c r="O14" i="16"/>
  <c r="N14" i="16"/>
  <c r="M14" i="16"/>
  <c r="L14" i="16"/>
  <c r="K14" i="16"/>
  <c r="J14" i="16"/>
  <c r="G14" i="16"/>
  <c r="E14" i="16"/>
  <c r="R13" i="16"/>
  <c r="Q13" i="16"/>
  <c r="P13" i="16"/>
  <c r="O13" i="16"/>
  <c r="N13" i="16"/>
  <c r="M13" i="16"/>
  <c r="L13" i="16"/>
  <c r="K13" i="16"/>
  <c r="J13" i="16"/>
  <c r="G13" i="16"/>
  <c r="E13" i="16"/>
  <c r="R12" i="16"/>
  <c r="Q12" i="16"/>
  <c r="P12" i="16"/>
  <c r="O12" i="16"/>
  <c r="N12" i="16"/>
  <c r="M12" i="16"/>
  <c r="L12" i="16"/>
  <c r="K12" i="16"/>
  <c r="J12" i="16"/>
  <c r="G12" i="16"/>
  <c r="E12" i="16"/>
  <c r="R11" i="16"/>
  <c r="Q11" i="16"/>
  <c r="P11" i="16"/>
  <c r="O11" i="16"/>
  <c r="N11" i="16"/>
  <c r="M11" i="16"/>
  <c r="L11" i="16"/>
  <c r="K11" i="16"/>
  <c r="J11" i="16"/>
  <c r="G11" i="16"/>
  <c r="E11" i="16"/>
  <c r="E6" i="16"/>
  <c r="E3" i="16"/>
  <c r="E2" i="16"/>
  <c r="A1" i="16"/>
  <c r="D8" i="13" s="1"/>
  <c r="I85" i="8"/>
  <c r="G85" i="8"/>
  <c r="F85" i="8"/>
  <c r="E85" i="8"/>
  <c r="I84" i="8"/>
  <c r="H84" i="8"/>
  <c r="G84" i="8"/>
  <c r="F84" i="8"/>
  <c r="E84" i="8"/>
  <c r="G83" i="8"/>
  <c r="F83" i="8"/>
  <c r="E83" i="8"/>
  <c r="G82" i="8"/>
  <c r="F82" i="8"/>
  <c r="E82" i="8"/>
  <c r="G77" i="8"/>
  <c r="E77" i="8"/>
  <c r="G76" i="8"/>
  <c r="E76" i="8"/>
  <c r="G75" i="8"/>
  <c r="E75" i="8"/>
  <c r="G74" i="8"/>
  <c r="E74" i="8"/>
  <c r="I67" i="8"/>
  <c r="G67" i="8"/>
  <c r="F67" i="8"/>
  <c r="E67" i="8"/>
  <c r="I64" i="8"/>
  <c r="J65" i="8" s="1"/>
  <c r="J67" i="8" s="1"/>
  <c r="J68" i="8" s="1"/>
  <c r="G64" i="8"/>
  <c r="F64" i="8"/>
  <c r="E64" i="8"/>
  <c r="E179" i="12" s="1"/>
  <c r="I58" i="8"/>
  <c r="G58" i="8"/>
  <c r="F58" i="8"/>
  <c r="E58" i="8"/>
  <c r="I57" i="8"/>
  <c r="G57" i="8"/>
  <c r="F57" i="8"/>
  <c r="E57" i="8"/>
  <c r="I53" i="8"/>
  <c r="G53" i="8"/>
  <c r="F53" i="8"/>
  <c r="E53" i="8"/>
  <c r="I52" i="8"/>
  <c r="G52" i="8"/>
  <c r="F52" i="8"/>
  <c r="E52" i="8"/>
  <c r="I49" i="8"/>
  <c r="H49" i="8"/>
  <c r="G49" i="8"/>
  <c r="F49" i="8"/>
  <c r="E49" i="8"/>
  <c r="G48" i="8"/>
  <c r="E48" i="8"/>
  <c r="I45" i="8"/>
  <c r="J46" i="8" s="1"/>
  <c r="G45" i="8"/>
  <c r="F45" i="8"/>
  <c r="E45" i="8"/>
  <c r="I39" i="8"/>
  <c r="H39" i="8"/>
  <c r="G39" i="8"/>
  <c r="F39" i="8"/>
  <c r="E39" i="8"/>
  <c r="G38" i="8"/>
  <c r="F38" i="8"/>
  <c r="E38" i="8"/>
  <c r="I33" i="8"/>
  <c r="H33" i="8"/>
  <c r="G33" i="8"/>
  <c r="F33" i="8"/>
  <c r="E33" i="8"/>
  <c r="G32" i="8"/>
  <c r="F32" i="8"/>
  <c r="E32" i="8"/>
  <c r="I26" i="8"/>
  <c r="H26" i="8"/>
  <c r="G26" i="8"/>
  <c r="F26" i="8"/>
  <c r="E26" i="8"/>
  <c r="I25" i="8"/>
  <c r="H25" i="8"/>
  <c r="G25" i="8"/>
  <c r="F25" i="8"/>
  <c r="E25" i="8"/>
  <c r="I21" i="8"/>
  <c r="G21" i="8"/>
  <c r="F21" i="8"/>
  <c r="E21" i="8"/>
  <c r="G20" i="8"/>
  <c r="E20" i="8"/>
  <c r="G17" i="8"/>
  <c r="F17" i="8"/>
  <c r="F18" i="8" s="1"/>
  <c r="F20" i="8" s="1"/>
  <c r="E17" i="8"/>
  <c r="I14" i="8"/>
  <c r="H14" i="8"/>
  <c r="G14" i="8"/>
  <c r="F14" i="8"/>
  <c r="E14" i="8"/>
  <c r="J11" i="8"/>
  <c r="J6" i="21" s="1"/>
  <c r="E6" i="8"/>
  <c r="E3" i="8"/>
  <c r="E2" i="8"/>
  <c r="A1" i="8"/>
  <c r="D5" i="13" s="1"/>
  <c r="F17" i="7"/>
  <c r="F48" i="8" s="1"/>
  <c r="E6" i="7"/>
  <c r="E5" i="7"/>
  <c r="E3" i="7"/>
  <c r="E2" i="7"/>
  <c r="A1" i="7"/>
  <c r="B17" i="13" s="1"/>
  <c r="F138" i="38"/>
  <c r="F137" i="38"/>
  <c r="F136" i="38"/>
  <c r="G135" i="38"/>
  <c r="G134" i="38"/>
  <c r="G133" i="38"/>
  <c r="G132" i="38"/>
  <c r="G131" i="38"/>
  <c r="F130" i="38"/>
  <c r="F129" i="38"/>
  <c r="F128" i="38"/>
  <c r="F127" i="38"/>
  <c r="F126" i="38"/>
  <c r="F125" i="38"/>
  <c r="F124" i="38"/>
  <c r="F123" i="38"/>
  <c r="F122" i="38"/>
  <c r="F121" i="38"/>
  <c r="M27" i="33"/>
  <c r="Q81" i="7" s="1"/>
  <c r="Q108" i="16" s="1"/>
  <c r="Q114" i="16" s="1"/>
  <c r="L27" i="33"/>
  <c r="P81" i="7" s="1"/>
  <c r="P108" i="16" s="1"/>
  <c r="P114" i="16" s="1"/>
  <c r="K27" i="33"/>
  <c r="O81" i="7" s="1"/>
  <c r="O108" i="16" s="1"/>
  <c r="O114" i="16" s="1"/>
  <c r="J27" i="33"/>
  <c r="N81" i="7" s="1"/>
  <c r="N108" i="16" s="1"/>
  <c r="N114" i="16" s="1"/>
  <c r="I27" i="33"/>
  <c r="M81" i="7" s="1"/>
  <c r="M108" i="16" s="1"/>
  <c r="M114" i="16" s="1"/>
  <c r="H27" i="33"/>
  <c r="L81" i="7" s="1"/>
  <c r="L108" i="16" s="1"/>
  <c r="L114" i="16" s="1"/>
  <c r="G27" i="33"/>
  <c r="K81" i="7" s="1"/>
  <c r="K108" i="16" s="1"/>
  <c r="K114" i="16" s="1"/>
  <c r="F27" i="33"/>
  <c r="J81" i="7" s="1"/>
  <c r="J108" i="16" s="1"/>
  <c r="J114" i="16" s="1"/>
  <c r="E27" i="33"/>
  <c r="D27" i="33"/>
  <c r="C27" i="33"/>
  <c r="B27" i="33"/>
  <c r="M26" i="33"/>
  <c r="Q80" i="7" s="1"/>
  <c r="Q107" i="16" s="1"/>
  <c r="L26" i="33"/>
  <c r="P80" i="7" s="1"/>
  <c r="P107" i="16" s="1"/>
  <c r="K26" i="33"/>
  <c r="O80" i="7" s="1"/>
  <c r="O107" i="16" s="1"/>
  <c r="J26" i="33"/>
  <c r="N80" i="7" s="1"/>
  <c r="N107" i="16" s="1"/>
  <c r="I26" i="33"/>
  <c r="M80" i="7" s="1"/>
  <c r="M107" i="16" s="1"/>
  <c r="H26" i="33"/>
  <c r="L80" i="7" s="1"/>
  <c r="L107" i="16" s="1"/>
  <c r="G26" i="33"/>
  <c r="K80" i="7" s="1"/>
  <c r="K107" i="16" s="1"/>
  <c r="F26" i="33"/>
  <c r="J80" i="7" s="1"/>
  <c r="J107" i="16" s="1"/>
  <c r="E26" i="33"/>
  <c r="D26" i="33"/>
  <c r="C26" i="33"/>
  <c r="B26" i="33"/>
  <c r="M25" i="33"/>
  <c r="Q79" i="7" s="1"/>
  <c r="Q106" i="16" s="1"/>
  <c r="L25" i="33"/>
  <c r="P79" i="7" s="1"/>
  <c r="P106" i="16" s="1"/>
  <c r="K25" i="33"/>
  <c r="O79" i="7" s="1"/>
  <c r="O106" i="16" s="1"/>
  <c r="J25" i="33"/>
  <c r="N79" i="7" s="1"/>
  <c r="N106" i="16" s="1"/>
  <c r="I25" i="33"/>
  <c r="M79" i="7" s="1"/>
  <c r="M106" i="16" s="1"/>
  <c r="H25" i="33"/>
  <c r="L79" i="7" s="1"/>
  <c r="L106" i="16" s="1"/>
  <c r="G25" i="33"/>
  <c r="K79" i="7" s="1"/>
  <c r="K106" i="16" s="1"/>
  <c r="F25" i="33"/>
  <c r="J79" i="7" s="1"/>
  <c r="J106" i="16" s="1"/>
  <c r="E25" i="33"/>
  <c r="D25" i="33"/>
  <c r="C25" i="33"/>
  <c r="B25" i="33"/>
  <c r="M24" i="33"/>
  <c r="Q78" i="7" s="1"/>
  <c r="Q105" i="16" s="1"/>
  <c r="L24" i="33"/>
  <c r="P78" i="7" s="1"/>
  <c r="P105" i="16" s="1"/>
  <c r="K24" i="33"/>
  <c r="O78" i="7" s="1"/>
  <c r="O105" i="16" s="1"/>
  <c r="J24" i="33"/>
  <c r="N78" i="7" s="1"/>
  <c r="N105" i="16" s="1"/>
  <c r="I24" i="33"/>
  <c r="M78" i="7" s="1"/>
  <c r="M105" i="16" s="1"/>
  <c r="H24" i="33"/>
  <c r="L78" i="7" s="1"/>
  <c r="L105" i="16" s="1"/>
  <c r="G24" i="33"/>
  <c r="K78" i="7" s="1"/>
  <c r="K105" i="16" s="1"/>
  <c r="F24" i="33"/>
  <c r="J78" i="7" s="1"/>
  <c r="J105" i="16" s="1"/>
  <c r="E24" i="33"/>
  <c r="D24" i="33"/>
  <c r="C24" i="33"/>
  <c r="B24" i="33"/>
  <c r="M23" i="33"/>
  <c r="Q77" i="7" s="1"/>
  <c r="Q104" i="16" s="1"/>
  <c r="L23" i="33"/>
  <c r="P77" i="7" s="1"/>
  <c r="P104" i="16" s="1"/>
  <c r="K23" i="33"/>
  <c r="O77" i="7" s="1"/>
  <c r="O104" i="16" s="1"/>
  <c r="J23" i="33"/>
  <c r="N77" i="7" s="1"/>
  <c r="N104" i="16" s="1"/>
  <c r="I23" i="33"/>
  <c r="M77" i="7" s="1"/>
  <c r="M104" i="16" s="1"/>
  <c r="H23" i="33"/>
  <c r="L77" i="7" s="1"/>
  <c r="L104" i="16" s="1"/>
  <c r="G23" i="33"/>
  <c r="K77" i="7" s="1"/>
  <c r="K104" i="16" s="1"/>
  <c r="F23" i="33"/>
  <c r="J77" i="7" s="1"/>
  <c r="J104" i="16" s="1"/>
  <c r="E23" i="33"/>
  <c r="D23" i="33"/>
  <c r="C23" i="33"/>
  <c r="B23" i="33"/>
  <c r="M22" i="33"/>
  <c r="Q76" i="7" s="1"/>
  <c r="Q103" i="16" s="1"/>
  <c r="L22" i="33"/>
  <c r="P76" i="7" s="1"/>
  <c r="P103" i="16" s="1"/>
  <c r="K22" i="33"/>
  <c r="O76" i="7" s="1"/>
  <c r="O103" i="16" s="1"/>
  <c r="J22" i="33"/>
  <c r="N76" i="7" s="1"/>
  <c r="N103" i="16" s="1"/>
  <c r="I22" i="33"/>
  <c r="M76" i="7" s="1"/>
  <c r="M103" i="16" s="1"/>
  <c r="H22" i="33"/>
  <c r="L76" i="7" s="1"/>
  <c r="L103" i="16" s="1"/>
  <c r="G22" i="33"/>
  <c r="K76" i="7" s="1"/>
  <c r="K103" i="16" s="1"/>
  <c r="F22" i="33"/>
  <c r="J76" i="7" s="1"/>
  <c r="J103" i="16" s="1"/>
  <c r="E22" i="33"/>
  <c r="D22" i="33"/>
  <c r="C22" i="33"/>
  <c r="B22" i="33"/>
  <c r="M21" i="33"/>
  <c r="Q75" i="7" s="1"/>
  <c r="Q102" i="16" s="1"/>
  <c r="L21" i="33"/>
  <c r="P75" i="7" s="1"/>
  <c r="P102" i="16" s="1"/>
  <c r="K21" i="33"/>
  <c r="O75" i="7" s="1"/>
  <c r="O102" i="16" s="1"/>
  <c r="J21" i="33"/>
  <c r="N75" i="7" s="1"/>
  <c r="N102" i="16" s="1"/>
  <c r="I21" i="33"/>
  <c r="M75" i="7" s="1"/>
  <c r="M102" i="16" s="1"/>
  <c r="H21" i="33"/>
  <c r="L75" i="7" s="1"/>
  <c r="L102" i="16" s="1"/>
  <c r="G21" i="33"/>
  <c r="K75" i="7" s="1"/>
  <c r="K102" i="16" s="1"/>
  <c r="F21" i="33"/>
  <c r="J75" i="7" s="1"/>
  <c r="J102" i="16" s="1"/>
  <c r="E21" i="33"/>
  <c r="D21" i="33"/>
  <c r="C21" i="33"/>
  <c r="B21" i="33"/>
  <c r="M20" i="33"/>
  <c r="Q74" i="7" s="1"/>
  <c r="Q101" i="16" s="1"/>
  <c r="L20" i="33"/>
  <c r="P74" i="7" s="1"/>
  <c r="P101" i="16" s="1"/>
  <c r="K20" i="33"/>
  <c r="O74" i="7" s="1"/>
  <c r="O101" i="16" s="1"/>
  <c r="J20" i="33"/>
  <c r="N74" i="7" s="1"/>
  <c r="N101" i="16" s="1"/>
  <c r="I20" i="33"/>
  <c r="M74" i="7" s="1"/>
  <c r="M101" i="16" s="1"/>
  <c r="H20" i="33"/>
  <c r="L74" i="7" s="1"/>
  <c r="L101" i="16" s="1"/>
  <c r="G20" i="33"/>
  <c r="K74" i="7" s="1"/>
  <c r="K101" i="16" s="1"/>
  <c r="F20" i="33"/>
  <c r="J74" i="7" s="1"/>
  <c r="J101" i="16" s="1"/>
  <c r="E20" i="33"/>
  <c r="D20" i="33"/>
  <c r="C20" i="33"/>
  <c r="B20" i="33"/>
  <c r="M19" i="33"/>
  <c r="Q73" i="7" s="1"/>
  <c r="Q100" i="16" s="1"/>
  <c r="L19" i="33"/>
  <c r="P73" i="7" s="1"/>
  <c r="P100" i="16" s="1"/>
  <c r="K19" i="33"/>
  <c r="O73" i="7" s="1"/>
  <c r="O100" i="16" s="1"/>
  <c r="J19" i="33"/>
  <c r="N73" i="7" s="1"/>
  <c r="N100" i="16" s="1"/>
  <c r="I19" i="33"/>
  <c r="M73" i="7" s="1"/>
  <c r="M100" i="16" s="1"/>
  <c r="H19" i="33"/>
  <c r="L73" i="7" s="1"/>
  <c r="L100" i="16" s="1"/>
  <c r="G19" i="33"/>
  <c r="K73" i="7" s="1"/>
  <c r="K100" i="16" s="1"/>
  <c r="F19" i="33"/>
  <c r="J73" i="7" s="1"/>
  <c r="J100" i="16" s="1"/>
  <c r="E19" i="33"/>
  <c r="D19" i="33"/>
  <c r="C19" i="33"/>
  <c r="B19" i="33"/>
  <c r="M18" i="33"/>
  <c r="Q72" i="7" s="1"/>
  <c r="Q99" i="16" s="1"/>
  <c r="L18" i="33"/>
  <c r="P72" i="7" s="1"/>
  <c r="P99" i="16" s="1"/>
  <c r="K18" i="33"/>
  <c r="O72" i="7" s="1"/>
  <c r="O99" i="16" s="1"/>
  <c r="J18" i="33"/>
  <c r="N72" i="7" s="1"/>
  <c r="N99" i="16" s="1"/>
  <c r="I18" i="33"/>
  <c r="M72" i="7" s="1"/>
  <c r="M99" i="16" s="1"/>
  <c r="H18" i="33"/>
  <c r="L72" i="7" s="1"/>
  <c r="L99" i="16" s="1"/>
  <c r="G18" i="33"/>
  <c r="K72" i="7" s="1"/>
  <c r="K99" i="16" s="1"/>
  <c r="F18" i="33"/>
  <c r="J72" i="7" s="1"/>
  <c r="J99" i="16" s="1"/>
  <c r="E18" i="33"/>
  <c r="D18" i="33"/>
  <c r="C18" i="33"/>
  <c r="B18" i="33"/>
  <c r="M17" i="33"/>
  <c r="Q71" i="7" s="1"/>
  <c r="Q98" i="16" s="1"/>
  <c r="L17" i="33"/>
  <c r="P71" i="7" s="1"/>
  <c r="P98" i="16" s="1"/>
  <c r="K17" i="33"/>
  <c r="O71" i="7" s="1"/>
  <c r="O98" i="16" s="1"/>
  <c r="J17" i="33"/>
  <c r="N71" i="7" s="1"/>
  <c r="N98" i="16" s="1"/>
  <c r="I17" i="33"/>
  <c r="M71" i="7" s="1"/>
  <c r="M98" i="16" s="1"/>
  <c r="H17" i="33"/>
  <c r="L71" i="7" s="1"/>
  <c r="L98" i="16" s="1"/>
  <c r="G17" i="33"/>
  <c r="K71" i="7" s="1"/>
  <c r="K98" i="16" s="1"/>
  <c r="F17" i="33"/>
  <c r="J71" i="7" s="1"/>
  <c r="J98" i="16" s="1"/>
  <c r="E17" i="33"/>
  <c r="D17" i="33"/>
  <c r="C17" i="33"/>
  <c r="B17" i="33"/>
  <c r="M16" i="33"/>
  <c r="Q70" i="7" s="1"/>
  <c r="Q97" i="16" s="1"/>
  <c r="L16" i="33"/>
  <c r="P70" i="7" s="1"/>
  <c r="P97" i="16" s="1"/>
  <c r="K16" i="33"/>
  <c r="O70" i="7" s="1"/>
  <c r="O97" i="16" s="1"/>
  <c r="J16" i="33"/>
  <c r="N70" i="7" s="1"/>
  <c r="N97" i="16" s="1"/>
  <c r="I16" i="33"/>
  <c r="M70" i="7" s="1"/>
  <c r="M97" i="16" s="1"/>
  <c r="H16" i="33"/>
  <c r="L70" i="7" s="1"/>
  <c r="L97" i="16" s="1"/>
  <c r="G16" i="33"/>
  <c r="K70" i="7" s="1"/>
  <c r="K97" i="16" s="1"/>
  <c r="F16" i="33"/>
  <c r="J70" i="7" s="1"/>
  <c r="J97" i="16" s="1"/>
  <c r="E16" i="33"/>
  <c r="D16" i="33"/>
  <c r="C16" i="33"/>
  <c r="B16" i="33"/>
  <c r="M15" i="33"/>
  <c r="Q67" i="7" s="1"/>
  <c r="Q86" i="16" s="1"/>
  <c r="Q91" i="16" s="1"/>
  <c r="L15" i="33"/>
  <c r="P67" i="7" s="1"/>
  <c r="P86" i="16" s="1"/>
  <c r="P91" i="16" s="1"/>
  <c r="K15" i="33"/>
  <c r="O67" i="7" s="1"/>
  <c r="O86" i="16" s="1"/>
  <c r="O91" i="16" s="1"/>
  <c r="J15" i="33"/>
  <c r="N67" i="7" s="1"/>
  <c r="N86" i="16" s="1"/>
  <c r="N91" i="16" s="1"/>
  <c r="I15" i="33"/>
  <c r="M67" i="7" s="1"/>
  <c r="M86" i="16" s="1"/>
  <c r="M91" i="16" s="1"/>
  <c r="H15" i="33"/>
  <c r="L67" i="7" s="1"/>
  <c r="L86" i="16" s="1"/>
  <c r="L91" i="16" s="1"/>
  <c r="G15" i="33"/>
  <c r="K67" i="7" s="1"/>
  <c r="K86" i="16" s="1"/>
  <c r="K91" i="16" s="1"/>
  <c r="F15" i="33"/>
  <c r="E15" i="33"/>
  <c r="D15" i="33"/>
  <c r="C15" i="33"/>
  <c r="B15" i="33"/>
  <c r="M14" i="33"/>
  <c r="Q66" i="7" s="1"/>
  <c r="Q85" i="16" s="1"/>
  <c r="L14" i="33"/>
  <c r="P66" i="7" s="1"/>
  <c r="P85" i="16" s="1"/>
  <c r="K14" i="33"/>
  <c r="O66" i="7" s="1"/>
  <c r="O85" i="16" s="1"/>
  <c r="J14" i="33"/>
  <c r="N66" i="7" s="1"/>
  <c r="N85" i="16" s="1"/>
  <c r="I14" i="33"/>
  <c r="M66" i="7" s="1"/>
  <c r="M85" i="16" s="1"/>
  <c r="H14" i="33"/>
  <c r="L66" i="7" s="1"/>
  <c r="L85" i="16" s="1"/>
  <c r="G14" i="33"/>
  <c r="K66" i="7" s="1"/>
  <c r="K85" i="16" s="1"/>
  <c r="F14" i="33"/>
  <c r="E14" i="33"/>
  <c r="D14" i="33"/>
  <c r="C14" i="33"/>
  <c r="B14" i="33"/>
  <c r="M13" i="33"/>
  <c r="Q65" i="7" s="1"/>
  <c r="Q84" i="16" s="1"/>
  <c r="L13" i="33"/>
  <c r="P65" i="7" s="1"/>
  <c r="P84" i="16" s="1"/>
  <c r="K13" i="33"/>
  <c r="O65" i="7" s="1"/>
  <c r="O84" i="16" s="1"/>
  <c r="J13" i="33"/>
  <c r="N65" i="7" s="1"/>
  <c r="N84" i="16" s="1"/>
  <c r="I13" i="33"/>
  <c r="M65" i="7" s="1"/>
  <c r="M84" i="16" s="1"/>
  <c r="H13" i="33"/>
  <c r="L65" i="7" s="1"/>
  <c r="L84" i="16" s="1"/>
  <c r="G13" i="33"/>
  <c r="K65" i="7" s="1"/>
  <c r="K84" i="16" s="1"/>
  <c r="F13" i="33"/>
  <c r="E13" i="33"/>
  <c r="D13" i="33"/>
  <c r="C13" i="33"/>
  <c r="B13" i="33"/>
  <c r="M12" i="33"/>
  <c r="Q64" i="7" s="1"/>
  <c r="Q83" i="16" s="1"/>
  <c r="L12" i="33"/>
  <c r="P64" i="7" s="1"/>
  <c r="P83" i="16" s="1"/>
  <c r="K12" i="33"/>
  <c r="O64" i="7" s="1"/>
  <c r="O83" i="16" s="1"/>
  <c r="J12" i="33"/>
  <c r="N64" i="7" s="1"/>
  <c r="N83" i="16" s="1"/>
  <c r="I12" i="33"/>
  <c r="M64" i="7" s="1"/>
  <c r="M83" i="16" s="1"/>
  <c r="H12" i="33"/>
  <c r="L64" i="7" s="1"/>
  <c r="L83" i="16" s="1"/>
  <c r="G12" i="33"/>
  <c r="K64" i="7" s="1"/>
  <c r="K83" i="16" s="1"/>
  <c r="F12" i="33"/>
  <c r="E12" i="33"/>
  <c r="D12" i="33"/>
  <c r="C12" i="33"/>
  <c r="B12" i="33"/>
  <c r="M11" i="33"/>
  <c r="Q63" i="7" s="1"/>
  <c r="Q82" i="16" s="1"/>
  <c r="L11" i="33"/>
  <c r="P63" i="7" s="1"/>
  <c r="P82" i="16" s="1"/>
  <c r="K11" i="33"/>
  <c r="O63" i="7" s="1"/>
  <c r="O82" i="16" s="1"/>
  <c r="J11" i="33"/>
  <c r="N63" i="7" s="1"/>
  <c r="N82" i="16" s="1"/>
  <c r="I11" i="33"/>
  <c r="M63" i="7" s="1"/>
  <c r="M82" i="16" s="1"/>
  <c r="H11" i="33"/>
  <c r="L63" i="7" s="1"/>
  <c r="L82" i="16" s="1"/>
  <c r="G11" i="33"/>
  <c r="K63" i="7" s="1"/>
  <c r="K82" i="16" s="1"/>
  <c r="F11" i="33"/>
  <c r="E11" i="33"/>
  <c r="D11" i="33"/>
  <c r="C11" i="33"/>
  <c r="B11" i="33"/>
  <c r="M10" i="33"/>
  <c r="Q62" i="7" s="1"/>
  <c r="Q81" i="16" s="1"/>
  <c r="L10" i="33"/>
  <c r="P62" i="7" s="1"/>
  <c r="P81" i="16" s="1"/>
  <c r="K10" i="33"/>
  <c r="O62" i="7" s="1"/>
  <c r="O81" i="16" s="1"/>
  <c r="J10" i="33"/>
  <c r="N62" i="7" s="1"/>
  <c r="N81" i="16" s="1"/>
  <c r="I10" i="33"/>
  <c r="M62" i="7" s="1"/>
  <c r="M81" i="16" s="1"/>
  <c r="H10" i="33"/>
  <c r="L62" i="7" s="1"/>
  <c r="L81" i="16" s="1"/>
  <c r="G10" i="33"/>
  <c r="K62" i="7" s="1"/>
  <c r="K81" i="16" s="1"/>
  <c r="F10" i="33"/>
  <c r="E10" i="33"/>
  <c r="D10" i="33"/>
  <c r="C10" i="33"/>
  <c r="B10" i="33"/>
  <c r="M9" i="33"/>
  <c r="Q61" i="7" s="1"/>
  <c r="Q80" i="16" s="1"/>
  <c r="L9" i="33"/>
  <c r="P61" i="7" s="1"/>
  <c r="P80" i="16" s="1"/>
  <c r="K9" i="33"/>
  <c r="O61" i="7" s="1"/>
  <c r="O80" i="16" s="1"/>
  <c r="J9" i="33"/>
  <c r="N61" i="7" s="1"/>
  <c r="N80" i="16" s="1"/>
  <c r="I9" i="33"/>
  <c r="M61" i="7" s="1"/>
  <c r="M80" i="16" s="1"/>
  <c r="H9" i="33"/>
  <c r="L61" i="7" s="1"/>
  <c r="L80" i="16" s="1"/>
  <c r="G9" i="33"/>
  <c r="K61" i="7" s="1"/>
  <c r="K80" i="16" s="1"/>
  <c r="F9" i="33"/>
  <c r="E9" i="33"/>
  <c r="D9" i="33"/>
  <c r="C9" i="33"/>
  <c r="B9" i="33"/>
  <c r="M8" i="33"/>
  <c r="Q60" i="7" s="1"/>
  <c r="Q79" i="16" s="1"/>
  <c r="L8" i="33"/>
  <c r="P60" i="7" s="1"/>
  <c r="P79" i="16" s="1"/>
  <c r="K8" i="33"/>
  <c r="O60" i="7" s="1"/>
  <c r="O79" i="16" s="1"/>
  <c r="J8" i="33"/>
  <c r="N60" i="7" s="1"/>
  <c r="N79" i="16" s="1"/>
  <c r="I8" i="33"/>
  <c r="M60" i="7" s="1"/>
  <c r="M79" i="16" s="1"/>
  <c r="H8" i="33"/>
  <c r="L60" i="7" s="1"/>
  <c r="L79" i="16" s="1"/>
  <c r="G8" i="33"/>
  <c r="K60" i="7" s="1"/>
  <c r="K79" i="16" s="1"/>
  <c r="F8" i="33"/>
  <c r="E8" i="33"/>
  <c r="D8" i="33"/>
  <c r="C8" i="33"/>
  <c r="B8" i="33"/>
  <c r="M7" i="33"/>
  <c r="Q59" i="7" s="1"/>
  <c r="Q78" i="16" s="1"/>
  <c r="L7" i="33"/>
  <c r="P59" i="7" s="1"/>
  <c r="P78" i="16" s="1"/>
  <c r="K7" i="33"/>
  <c r="O59" i="7" s="1"/>
  <c r="O78" i="16" s="1"/>
  <c r="J7" i="33"/>
  <c r="N59" i="7" s="1"/>
  <c r="N78" i="16" s="1"/>
  <c r="I7" i="33"/>
  <c r="M59" i="7" s="1"/>
  <c r="M78" i="16" s="1"/>
  <c r="H7" i="33"/>
  <c r="L59" i="7" s="1"/>
  <c r="L78" i="16" s="1"/>
  <c r="G7" i="33"/>
  <c r="K59" i="7" s="1"/>
  <c r="K78" i="16" s="1"/>
  <c r="F7" i="33"/>
  <c r="E7" i="33"/>
  <c r="D7" i="33"/>
  <c r="C7" i="33"/>
  <c r="B7" i="33"/>
  <c r="M6" i="33"/>
  <c r="Q58" i="7" s="1"/>
  <c r="Q77" i="16" s="1"/>
  <c r="L6" i="33"/>
  <c r="P58" i="7" s="1"/>
  <c r="P77" i="16" s="1"/>
  <c r="K6" i="33"/>
  <c r="O58" i="7" s="1"/>
  <c r="O77" i="16" s="1"/>
  <c r="J6" i="33"/>
  <c r="N58" i="7" s="1"/>
  <c r="N77" i="16" s="1"/>
  <c r="I6" i="33"/>
  <c r="M58" i="7" s="1"/>
  <c r="M77" i="16" s="1"/>
  <c r="H6" i="33"/>
  <c r="L58" i="7" s="1"/>
  <c r="L77" i="16" s="1"/>
  <c r="G6" i="33"/>
  <c r="K58" i="7" s="1"/>
  <c r="K77" i="16" s="1"/>
  <c r="F6" i="33"/>
  <c r="E6" i="33"/>
  <c r="D6" i="33"/>
  <c r="C6" i="33"/>
  <c r="B6" i="33"/>
  <c r="M5" i="33"/>
  <c r="Q57" i="7" s="1"/>
  <c r="Q76" i="16" s="1"/>
  <c r="L5" i="33"/>
  <c r="P57" i="7" s="1"/>
  <c r="P76" i="16" s="1"/>
  <c r="K5" i="33"/>
  <c r="O57" i="7" s="1"/>
  <c r="O76" i="16" s="1"/>
  <c r="J5" i="33"/>
  <c r="N57" i="7" s="1"/>
  <c r="N76" i="16" s="1"/>
  <c r="I5" i="33"/>
  <c r="M57" i="7" s="1"/>
  <c r="M76" i="16" s="1"/>
  <c r="H5" i="33"/>
  <c r="L57" i="7" s="1"/>
  <c r="L76" i="16" s="1"/>
  <c r="G5" i="33"/>
  <c r="K57" i="7" s="1"/>
  <c r="K76" i="16" s="1"/>
  <c r="F5" i="33"/>
  <c r="E5" i="33"/>
  <c r="D5" i="33"/>
  <c r="C5" i="33"/>
  <c r="B5" i="33"/>
  <c r="M4" i="33"/>
  <c r="Q56" i="7" s="1"/>
  <c r="Q75" i="16" s="1"/>
  <c r="L4" i="33"/>
  <c r="P56" i="7" s="1"/>
  <c r="P75" i="16" s="1"/>
  <c r="K4" i="33"/>
  <c r="O56" i="7" s="1"/>
  <c r="O75" i="16" s="1"/>
  <c r="J4" i="33"/>
  <c r="N56" i="7" s="1"/>
  <c r="N75" i="16" s="1"/>
  <c r="I4" i="33"/>
  <c r="M56" i="7" s="1"/>
  <c r="M75" i="16" s="1"/>
  <c r="H4" i="33"/>
  <c r="L56" i="7" s="1"/>
  <c r="L75" i="16" s="1"/>
  <c r="G4" i="33"/>
  <c r="K56" i="7" s="1"/>
  <c r="K75" i="16" s="1"/>
  <c r="F4" i="33"/>
  <c r="E4" i="33"/>
  <c r="D4" i="33"/>
  <c r="C4" i="33"/>
  <c r="B4" i="33"/>
  <c r="A1" i="33"/>
  <c r="E27" i="35"/>
  <c r="D27" i="35"/>
  <c r="C27" i="35"/>
  <c r="B27" i="35"/>
  <c r="A27" i="35"/>
  <c r="A27" i="33" s="1"/>
  <c r="E26" i="35"/>
  <c r="D26" i="35"/>
  <c r="C26" i="35"/>
  <c r="B26" i="35"/>
  <c r="A26" i="35"/>
  <c r="A26" i="33" s="1"/>
  <c r="E25" i="35"/>
  <c r="D25" i="35"/>
  <c r="C25" i="35"/>
  <c r="B25" i="35"/>
  <c r="A25" i="35"/>
  <c r="A25" i="33" s="1"/>
  <c r="E24" i="35"/>
  <c r="D24" i="35"/>
  <c r="C24" i="35"/>
  <c r="B24" i="35"/>
  <c r="A24" i="35"/>
  <c r="A24" i="33" s="1"/>
  <c r="E23" i="35"/>
  <c r="D23" i="35"/>
  <c r="C23" i="35"/>
  <c r="B23" i="35"/>
  <c r="A23" i="35"/>
  <c r="A23" i="33" s="1"/>
  <c r="E22" i="35"/>
  <c r="D22" i="35"/>
  <c r="C22" i="35"/>
  <c r="B22" i="35"/>
  <c r="A22" i="35"/>
  <c r="A22" i="33" s="1"/>
  <c r="E21" i="35"/>
  <c r="D21" i="35"/>
  <c r="C21" i="35"/>
  <c r="B21" i="35"/>
  <c r="A21" i="35"/>
  <c r="A21" i="33" s="1"/>
  <c r="E20" i="35"/>
  <c r="D20" i="35"/>
  <c r="C20" i="35"/>
  <c r="B20" i="35"/>
  <c r="A20" i="35"/>
  <c r="A20" i="33" s="1"/>
  <c r="E19" i="35"/>
  <c r="D19" i="35"/>
  <c r="C19" i="35"/>
  <c r="B19" i="35"/>
  <c r="A19" i="35"/>
  <c r="A19" i="33" s="1"/>
  <c r="E18" i="35"/>
  <c r="D18" i="35"/>
  <c r="C18" i="35"/>
  <c r="B18" i="35"/>
  <c r="A18" i="35"/>
  <c r="A18" i="33" s="1"/>
  <c r="E17" i="35"/>
  <c r="D17" i="35"/>
  <c r="C17" i="35"/>
  <c r="B17" i="35"/>
  <c r="A17" i="35"/>
  <c r="A17" i="33" s="1"/>
  <c r="E16" i="35"/>
  <c r="D16" i="35"/>
  <c r="C16" i="35"/>
  <c r="B16" i="35"/>
  <c r="A16" i="35"/>
  <c r="A16" i="33" s="1"/>
  <c r="E15" i="35"/>
  <c r="D15" i="35"/>
  <c r="C15" i="35"/>
  <c r="B15" i="35"/>
  <c r="A15" i="35"/>
  <c r="A15" i="33" s="1"/>
  <c r="E14" i="35"/>
  <c r="D14" i="35"/>
  <c r="C14" i="35"/>
  <c r="B14" i="35"/>
  <c r="A14" i="35"/>
  <c r="A14" i="33" s="1"/>
  <c r="E13" i="35"/>
  <c r="D13" i="35"/>
  <c r="C13" i="35"/>
  <c r="B13" i="35"/>
  <c r="A13" i="35"/>
  <c r="A13" i="33" s="1"/>
  <c r="E12" i="35"/>
  <c r="D12" i="35"/>
  <c r="C12" i="35"/>
  <c r="B12" i="35"/>
  <c r="A12" i="35"/>
  <c r="A12" i="33" s="1"/>
  <c r="E11" i="35"/>
  <c r="D11" i="35"/>
  <c r="C11" i="35"/>
  <c r="B11" i="35"/>
  <c r="A11" i="35"/>
  <c r="A11" i="33" s="1"/>
  <c r="E10" i="35"/>
  <c r="D10" i="35"/>
  <c r="C10" i="35"/>
  <c r="B10" i="35"/>
  <c r="A10" i="35"/>
  <c r="A10" i="33" s="1"/>
  <c r="E9" i="35"/>
  <c r="D9" i="35"/>
  <c r="C9" i="35"/>
  <c r="B9" i="35"/>
  <c r="A9" i="35"/>
  <c r="A9" i="33" s="1"/>
  <c r="E8" i="35"/>
  <c r="D8" i="35"/>
  <c r="C8" i="35"/>
  <c r="B8" i="35"/>
  <c r="A8" i="35"/>
  <c r="A8" i="33" s="1"/>
  <c r="E7" i="35"/>
  <c r="D7" i="35"/>
  <c r="C7" i="35"/>
  <c r="B7" i="35"/>
  <c r="A7" i="35"/>
  <c r="A7" i="33" s="1"/>
  <c r="E6" i="35"/>
  <c r="D6" i="35"/>
  <c r="C6" i="35"/>
  <c r="B6" i="35"/>
  <c r="A6" i="35"/>
  <c r="A6" i="33" s="1"/>
  <c r="E5" i="35"/>
  <c r="D5" i="35"/>
  <c r="C5" i="35"/>
  <c r="B5" i="35"/>
  <c r="A5" i="35"/>
  <c r="A5" i="33" s="1"/>
  <c r="E4" i="35"/>
  <c r="D4" i="35"/>
  <c r="C4" i="35"/>
  <c r="B4" i="35"/>
  <c r="A4" i="35"/>
  <c r="A4" i="33" s="1"/>
  <c r="F88" i="7" s="1"/>
  <c r="P102" i="7" s="1"/>
  <c r="A1" i="35"/>
  <c r="A1" i="30"/>
  <c r="A1" i="13"/>
  <c r="B11" i="13" s="1"/>
  <c r="A1" i="2"/>
  <c r="B8" i="13" s="1"/>
  <c r="G194" i="22" l="1"/>
  <c r="G207" i="22" s="1"/>
  <c r="E14" i="42"/>
  <c r="E16" i="42"/>
  <c r="G189" i="21"/>
  <c r="J46" i="16"/>
  <c r="J252" i="12" s="1"/>
  <c r="K46" i="16"/>
  <c r="N46" i="16"/>
  <c r="N51" i="16" s="1"/>
  <c r="J290" i="12"/>
  <c r="J294" i="12" s="1"/>
  <c r="Q46" i="16"/>
  <c r="Q252" i="23" s="1"/>
  <c r="J24" i="16"/>
  <c r="K25" i="16" s="1"/>
  <c r="K66" i="16" s="1"/>
  <c r="J6" i="8"/>
  <c r="J214" i="22"/>
  <c r="G116" i="21"/>
  <c r="J73" i="12"/>
  <c r="J91" i="12"/>
  <c r="K290" i="24"/>
  <c r="K223" i="24" s="1"/>
  <c r="L290" i="21"/>
  <c r="L300" i="21" s="1"/>
  <c r="L290" i="24"/>
  <c r="L223" i="24" s="1"/>
  <c r="R214" i="21"/>
  <c r="G193" i="12"/>
  <c r="G203" i="12" s="1"/>
  <c r="P24" i="16"/>
  <c r="P28" i="16" s="1"/>
  <c r="G194" i="12"/>
  <c r="G207" i="12" s="1"/>
  <c r="J214" i="23"/>
  <c r="Q24" i="16"/>
  <c r="Q28" i="16" s="1"/>
  <c r="G197" i="12"/>
  <c r="G208" i="12" s="1"/>
  <c r="O112" i="7"/>
  <c r="O213" i="21" s="1"/>
  <c r="Q112" i="7"/>
  <c r="Q289" i="21" s="1"/>
  <c r="Q214" i="21" s="1"/>
  <c r="N113" i="7"/>
  <c r="N213" i="12" s="1"/>
  <c r="P114" i="7"/>
  <c r="P213" i="22" s="1"/>
  <c r="R290" i="12"/>
  <c r="R223" i="12" s="1"/>
  <c r="L46" i="16"/>
  <c r="L252" i="24" s="1"/>
  <c r="J263" i="23"/>
  <c r="G158" i="24"/>
  <c r="G186" i="24" s="1"/>
  <c r="J15" i="21"/>
  <c r="J23" i="21" s="1"/>
  <c r="J24" i="21" s="1"/>
  <c r="L24" i="16"/>
  <c r="L28" i="16" s="1"/>
  <c r="O106" i="7"/>
  <c r="O45" i="12" s="1"/>
  <c r="G194" i="24"/>
  <c r="G207" i="24" s="1"/>
  <c r="K290" i="23"/>
  <c r="K294" i="23" s="1"/>
  <c r="L214" i="23"/>
  <c r="J290" i="24"/>
  <c r="J223" i="24" s="1"/>
  <c r="P112" i="7"/>
  <c r="P289" i="21" s="1"/>
  <c r="P214" i="21" s="1"/>
  <c r="M113" i="7"/>
  <c r="M213" i="12" s="1"/>
  <c r="R88" i="16"/>
  <c r="R92" i="16" s="1"/>
  <c r="L214" i="12"/>
  <c r="O88" i="16"/>
  <c r="P88" i="16"/>
  <c r="P92" i="16" s="1"/>
  <c r="Q88" i="16"/>
  <c r="Q92" i="16" s="1"/>
  <c r="J29" i="16"/>
  <c r="J116" i="16"/>
  <c r="J126" i="16"/>
  <c r="O110" i="16"/>
  <c r="O115" i="16" s="1"/>
  <c r="G192" i="21"/>
  <c r="G199" i="21" s="1"/>
  <c r="G283" i="21"/>
  <c r="G293" i="21" s="1"/>
  <c r="J290" i="22"/>
  <c r="J300" i="22" s="1"/>
  <c r="L214" i="21"/>
  <c r="J242" i="22"/>
  <c r="G189" i="23"/>
  <c r="R290" i="21"/>
  <c r="G189" i="24"/>
  <c r="G197" i="21"/>
  <c r="G208" i="21" s="1"/>
  <c r="J134" i="16"/>
  <c r="K24" i="16"/>
  <c r="K28" i="16" s="1"/>
  <c r="J214" i="21"/>
  <c r="J129" i="24"/>
  <c r="G161" i="23"/>
  <c r="N24" i="16"/>
  <c r="N28" i="16" s="1"/>
  <c r="O24" i="16"/>
  <c r="G158" i="21"/>
  <c r="M46" i="16"/>
  <c r="R214" i="22"/>
  <c r="J242" i="23"/>
  <c r="L290" i="23"/>
  <c r="L300" i="23" s="1"/>
  <c r="G161" i="24"/>
  <c r="M88" i="16"/>
  <c r="M92" i="16" s="1"/>
  <c r="G193" i="21"/>
  <c r="G203" i="21" s="1"/>
  <c r="G194" i="21"/>
  <c r="G207" i="21" s="1"/>
  <c r="G195" i="21"/>
  <c r="G200" i="21" s="1"/>
  <c r="J134" i="24"/>
  <c r="J134" i="12"/>
  <c r="J263" i="22"/>
  <c r="K214" i="21"/>
  <c r="J129" i="12"/>
  <c r="J18" i="21"/>
  <c r="J28" i="16"/>
  <c r="L214" i="24"/>
  <c r="M24" i="16"/>
  <c r="J27" i="21"/>
  <c r="J39" i="21" s="1"/>
  <c r="J238" i="21"/>
  <c r="J240" i="21" s="1"/>
  <c r="J243" i="21" s="1"/>
  <c r="G283" i="12"/>
  <c r="G293" i="12" s="1"/>
  <c r="J88" i="16"/>
  <c r="J92" i="16" s="1"/>
  <c r="P46" i="16"/>
  <c r="P51" i="16" s="1"/>
  <c r="G284" i="12"/>
  <c r="G299" i="12" s="1"/>
  <c r="K214" i="12"/>
  <c r="J290" i="23"/>
  <c r="J294" i="23" s="1"/>
  <c r="J27" i="24"/>
  <c r="J39" i="24" s="1"/>
  <c r="N102" i="7"/>
  <c r="N246" i="24" s="1"/>
  <c r="J78" i="12"/>
  <c r="G285" i="12"/>
  <c r="K214" i="23"/>
  <c r="J214" i="24"/>
  <c r="R46" i="16"/>
  <c r="R252" i="22" s="1"/>
  <c r="R214" i="12"/>
  <c r="K214" i="24"/>
  <c r="O97" i="12"/>
  <c r="O151" i="12"/>
  <c r="O268" i="12"/>
  <c r="E253" i="24"/>
  <c r="E253" i="23"/>
  <c r="E253" i="22"/>
  <c r="E253" i="12"/>
  <c r="E253" i="21"/>
  <c r="L290" i="22"/>
  <c r="L214" i="22"/>
  <c r="J79" i="21"/>
  <c r="J175" i="21"/>
  <c r="N88" i="16"/>
  <c r="J247" i="21"/>
  <c r="J242" i="21"/>
  <c r="J263" i="21"/>
  <c r="P110" i="16"/>
  <c r="L88" i="16"/>
  <c r="O116" i="7"/>
  <c r="M112" i="7"/>
  <c r="P105" i="7"/>
  <c r="N99" i="7"/>
  <c r="P115" i="7"/>
  <c r="M109" i="7"/>
  <c r="O102" i="7"/>
  <c r="F95" i="7"/>
  <c r="O115" i="7"/>
  <c r="P108" i="7"/>
  <c r="Q101" i="7"/>
  <c r="F91" i="7"/>
  <c r="N115" i="7"/>
  <c r="O108" i="7"/>
  <c r="P101" i="7"/>
  <c r="M115" i="7"/>
  <c r="N108" i="7"/>
  <c r="O101" i="7"/>
  <c r="F87" i="7"/>
  <c r="O114" i="7"/>
  <c r="P107" i="7"/>
  <c r="Q100" i="7"/>
  <c r="N114" i="7"/>
  <c r="P100" i="7"/>
  <c r="O107" i="7"/>
  <c r="F122" i="7"/>
  <c r="F251" i="23" s="1"/>
  <c r="P109" i="7"/>
  <c r="M101" i="7"/>
  <c r="F120" i="7"/>
  <c r="F251" i="12" s="1"/>
  <c r="N109" i="7"/>
  <c r="N100" i="7"/>
  <c r="F119" i="7"/>
  <c r="F251" i="21" s="1"/>
  <c r="Q108" i="7"/>
  <c r="Q116" i="7"/>
  <c r="M108" i="7"/>
  <c r="Q99" i="7"/>
  <c r="Q114" i="7"/>
  <c r="F121" i="7"/>
  <c r="F251" i="22" s="1"/>
  <c r="O109" i="7"/>
  <c r="O100" i="7"/>
  <c r="P116" i="7"/>
  <c r="Q107" i="7"/>
  <c r="P99" i="7"/>
  <c r="N116" i="7"/>
  <c r="N107" i="7"/>
  <c r="O99" i="7"/>
  <c r="M116" i="7"/>
  <c r="M107" i="7"/>
  <c r="M99" i="7"/>
  <c r="Q115" i="7"/>
  <c r="Q106" i="7"/>
  <c r="Q98" i="7"/>
  <c r="P106" i="7"/>
  <c r="P98" i="7"/>
  <c r="M114" i="7"/>
  <c r="N106" i="7"/>
  <c r="N98" i="7"/>
  <c r="O113" i="7"/>
  <c r="O105" i="7"/>
  <c r="F93" i="7"/>
  <c r="Q113" i="7"/>
  <c r="M106" i="7"/>
  <c r="M98" i="7"/>
  <c r="P113" i="7"/>
  <c r="Q105" i="7"/>
  <c r="F94" i="7"/>
  <c r="N112" i="7"/>
  <c r="M102" i="7"/>
  <c r="M100" i="7"/>
  <c r="F123" i="7"/>
  <c r="F251" i="24" s="1"/>
  <c r="Q109" i="7"/>
  <c r="N101" i="7"/>
  <c r="F179" i="24"/>
  <c r="F179" i="21"/>
  <c r="F179" i="23"/>
  <c r="F179" i="22"/>
  <c r="F179" i="12"/>
  <c r="K253" i="24"/>
  <c r="K253" i="23"/>
  <c r="K253" i="22"/>
  <c r="K253" i="12"/>
  <c r="K253" i="21"/>
  <c r="G179" i="24"/>
  <c r="G179" i="22"/>
  <c r="G179" i="23"/>
  <c r="G179" i="21"/>
  <c r="G179" i="12"/>
  <c r="O253" i="24"/>
  <c r="O253" i="23"/>
  <c r="O253" i="12"/>
  <c r="O253" i="22"/>
  <c r="O253" i="21"/>
  <c r="P252" i="24"/>
  <c r="P252" i="23"/>
  <c r="P253" i="24"/>
  <c r="P253" i="22"/>
  <c r="P253" i="23"/>
  <c r="P253" i="12"/>
  <c r="M110" i="16"/>
  <c r="F92" i="7"/>
  <c r="Q253" i="24"/>
  <c r="Q253" i="23"/>
  <c r="Q253" i="22"/>
  <c r="Q253" i="21"/>
  <c r="Q253" i="12"/>
  <c r="N110" i="16"/>
  <c r="O98" i="7"/>
  <c r="R253" i="23"/>
  <c r="R253" i="22"/>
  <c r="R253" i="24"/>
  <c r="R253" i="21"/>
  <c r="G253" i="24"/>
  <c r="G253" i="23"/>
  <c r="G253" i="21"/>
  <c r="G253" i="12"/>
  <c r="G253" i="22"/>
  <c r="K88" i="16"/>
  <c r="J252" i="24"/>
  <c r="J252" i="23"/>
  <c r="J51" i="16"/>
  <c r="Q110" i="16"/>
  <c r="J22" i="12"/>
  <c r="J27" i="12"/>
  <c r="Q290" i="21"/>
  <c r="J253" i="23"/>
  <c r="J253" i="24"/>
  <c r="J253" i="22"/>
  <c r="J253" i="12"/>
  <c r="J253" i="21"/>
  <c r="N26" i="24"/>
  <c r="P26" i="24"/>
  <c r="P246" i="24"/>
  <c r="P133" i="24"/>
  <c r="P72" i="24"/>
  <c r="Q102" i="7"/>
  <c r="M105" i="7"/>
  <c r="L110" i="16"/>
  <c r="N105" i="7"/>
  <c r="J14" i="8"/>
  <c r="J15" i="8" s="1"/>
  <c r="M253" i="24"/>
  <c r="M253" i="12"/>
  <c r="M253" i="22"/>
  <c r="M253" i="23"/>
  <c r="M253" i="21"/>
  <c r="R110" i="16"/>
  <c r="R115" i="16" s="1"/>
  <c r="N253" i="24"/>
  <c r="N253" i="23"/>
  <c r="N253" i="22"/>
  <c r="N253" i="21"/>
  <c r="N253" i="12"/>
  <c r="J134" i="21"/>
  <c r="J146" i="21"/>
  <c r="K11" i="8"/>
  <c r="I179" i="24"/>
  <c r="I179" i="23"/>
  <c r="I179" i="21"/>
  <c r="I179" i="22"/>
  <c r="I179" i="12"/>
  <c r="J129" i="21"/>
  <c r="J93" i="16"/>
  <c r="J5" i="9"/>
  <c r="J6" i="24"/>
  <c r="J6" i="20"/>
  <c r="J6" i="23"/>
  <c r="J6" i="22"/>
  <c r="J6" i="12"/>
  <c r="J6" i="16"/>
  <c r="K252" i="24"/>
  <c r="K252" i="22"/>
  <c r="K252" i="23"/>
  <c r="K252" i="12"/>
  <c r="K252" i="21"/>
  <c r="N252" i="22"/>
  <c r="J285" i="12"/>
  <c r="J283" i="12"/>
  <c r="J173" i="24"/>
  <c r="J175" i="24" s="1"/>
  <c r="J191" i="23"/>
  <c r="J191" i="24"/>
  <c r="J79" i="23"/>
  <c r="J79" i="22"/>
  <c r="J173" i="22"/>
  <c r="J175" i="22" s="1"/>
  <c r="J79" i="12"/>
  <c r="J191" i="12"/>
  <c r="J191" i="21"/>
  <c r="J191" i="22"/>
  <c r="J173" i="12"/>
  <c r="J175" i="12" s="1"/>
  <c r="O46" i="16"/>
  <c r="O47" i="16" s="1"/>
  <c r="J284" i="12"/>
  <c r="J238" i="24"/>
  <c r="J240" i="24" s="1"/>
  <c r="J243" i="24" s="1"/>
  <c r="J125" i="24"/>
  <c r="J127" i="24" s="1"/>
  <c r="J130" i="24" s="1"/>
  <c r="J125" i="23"/>
  <c r="J127" i="23" s="1"/>
  <c r="J130" i="23" s="1"/>
  <c r="J13" i="23"/>
  <c r="J15" i="23" s="1"/>
  <c r="J23" i="23" s="1"/>
  <c r="J125" i="22"/>
  <c r="J127" i="22" s="1"/>
  <c r="J130" i="22" s="1"/>
  <c r="J13" i="22"/>
  <c r="J15" i="22" s="1"/>
  <c r="J23" i="22" s="1"/>
  <c r="J18" i="22"/>
  <c r="J13" i="24"/>
  <c r="J15" i="24" s="1"/>
  <c r="J23" i="24" s="1"/>
  <c r="J24" i="24" s="1"/>
  <c r="J13" i="12"/>
  <c r="J15" i="12" s="1"/>
  <c r="J23" i="12" s="1"/>
  <c r="J18" i="24"/>
  <c r="J238" i="23"/>
  <c r="J240" i="23" s="1"/>
  <c r="J243" i="23" s="1"/>
  <c r="J125" i="21"/>
  <c r="J127" i="21" s="1"/>
  <c r="J130" i="21" s="1"/>
  <c r="J125" i="12"/>
  <c r="J127" i="12" s="1"/>
  <c r="J130" i="12" s="1"/>
  <c r="J238" i="12"/>
  <c r="J240" i="12" s="1"/>
  <c r="J243" i="12" s="1"/>
  <c r="J18" i="12"/>
  <c r="J18" i="23"/>
  <c r="J61" i="16"/>
  <c r="J238" i="22"/>
  <c r="J240" i="22" s="1"/>
  <c r="J243" i="22" s="1"/>
  <c r="J70" i="16"/>
  <c r="J290" i="21"/>
  <c r="R24" i="16"/>
  <c r="R28" i="16" s="1"/>
  <c r="K290" i="21"/>
  <c r="J173" i="23"/>
  <c r="J175" i="23" s="1"/>
  <c r="G161" i="12"/>
  <c r="G189" i="12"/>
  <c r="G116" i="12"/>
  <c r="K300" i="12"/>
  <c r="K294" i="12"/>
  <c r="K218" i="12"/>
  <c r="K223" i="12"/>
  <c r="J110" i="16"/>
  <c r="J91" i="21"/>
  <c r="J73" i="21"/>
  <c r="J68" i="21"/>
  <c r="J52" i="16"/>
  <c r="K110" i="16"/>
  <c r="J52" i="8"/>
  <c r="J54" i="8" s="1"/>
  <c r="J62" i="16"/>
  <c r="J6" i="7"/>
  <c r="L253" i="24"/>
  <c r="L253" i="23"/>
  <c r="L253" i="22"/>
  <c r="L253" i="12"/>
  <c r="L253" i="21"/>
  <c r="N252" i="12"/>
  <c r="G161" i="22"/>
  <c r="G189" i="22"/>
  <c r="J27" i="23"/>
  <c r="J22" i="23"/>
  <c r="J134" i="22"/>
  <c r="J129" i="22"/>
  <c r="J146" i="22"/>
  <c r="J39" i="22"/>
  <c r="G197" i="22"/>
  <c r="G208" i="22" s="1"/>
  <c r="G284" i="22"/>
  <c r="G299" i="22" s="1"/>
  <c r="G193" i="22"/>
  <c r="G203" i="22" s="1"/>
  <c r="G283" i="22"/>
  <c r="G293" i="22" s="1"/>
  <c r="G196" i="22"/>
  <c r="G204" i="22" s="1"/>
  <c r="G192" i="22"/>
  <c r="G199" i="22" s="1"/>
  <c r="G158" i="22"/>
  <c r="G285" i="22"/>
  <c r="G195" i="22"/>
  <c r="G200" i="22" s="1"/>
  <c r="J282" i="24"/>
  <c r="J190" i="24"/>
  <c r="J172" i="24"/>
  <c r="J174" i="24" s="1"/>
  <c r="J282" i="23"/>
  <c r="J172" i="23"/>
  <c r="J174" i="23" s="1"/>
  <c r="J190" i="23"/>
  <c r="J78" i="23"/>
  <c r="J78" i="22"/>
  <c r="J190" i="21"/>
  <c r="J172" i="21"/>
  <c r="J172" i="12"/>
  <c r="J174" i="12" s="1"/>
  <c r="J190" i="22"/>
  <c r="J172" i="22"/>
  <c r="J174" i="22" s="1"/>
  <c r="J190" i="12"/>
  <c r="J282" i="22"/>
  <c r="J282" i="21"/>
  <c r="J22" i="22"/>
  <c r="G196" i="21"/>
  <c r="G204" i="21" s="1"/>
  <c r="G284" i="21"/>
  <c r="G299" i="21" s="1"/>
  <c r="G275" i="21"/>
  <c r="G281" i="21" s="1"/>
  <c r="J214" i="12"/>
  <c r="J242" i="12"/>
  <c r="J247" i="12"/>
  <c r="J263" i="12"/>
  <c r="E179" i="24"/>
  <c r="E179" i="23"/>
  <c r="E179" i="21"/>
  <c r="E179" i="22"/>
  <c r="K214" i="22"/>
  <c r="K290" i="22"/>
  <c r="G275" i="12"/>
  <c r="G281" i="12" s="1"/>
  <c r="G196" i="12"/>
  <c r="G204" i="12" s="1"/>
  <c r="G158" i="12"/>
  <c r="G195" i="12"/>
  <c r="G200" i="12" s="1"/>
  <c r="J129" i="23"/>
  <c r="J146" i="23"/>
  <c r="J91" i="23"/>
  <c r="J68" i="23"/>
  <c r="J73" i="23"/>
  <c r="R290" i="22"/>
  <c r="L290" i="12"/>
  <c r="G285" i="23"/>
  <c r="G275" i="23"/>
  <c r="G281" i="23" s="1"/>
  <c r="G283" i="23"/>
  <c r="G293" i="23" s="1"/>
  <c r="G196" i="23"/>
  <c r="G204" i="23" s="1"/>
  <c r="G193" i="23"/>
  <c r="G203" i="23" s="1"/>
  <c r="G158" i="23"/>
  <c r="G195" i="23"/>
  <c r="G200" i="23" s="1"/>
  <c r="G197" i="23"/>
  <c r="G208" i="23" s="1"/>
  <c r="G194" i="23"/>
  <c r="G207" i="23" s="1"/>
  <c r="G284" i="23"/>
  <c r="G299" i="23" s="1"/>
  <c r="R214" i="23"/>
  <c r="R290" i="23"/>
  <c r="J247" i="24"/>
  <c r="J242" i="24"/>
  <c r="J73" i="24"/>
  <c r="J91" i="24"/>
  <c r="G284" i="24"/>
  <c r="G299" i="24" s="1"/>
  <c r="G192" i="24"/>
  <c r="G199" i="24" s="1"/>
  <c r="G285" i="24"/>
  <c r="G283" i="24"/>
  <c r="G293" i="24" s="1"/>
  <c r="G275" i="24"/>
  <c r="G281" i="24" s="1"/>
  <c r="G197" i="24"/>
  <c r="G208" i="24" s="1"/>
  <c r="G195" i="24"/>
  <c r="G200" i="24" s="1"/>
  <c r="G196" i="24"/>
  <c r="G204" i="24" s="1"/>
  <c r="R214" i="24"/>
  <c r="R290" i="24"/>
  <c r="Q51" i="16" l="1"/>
  <c r="J223" i="12"/>
  <c r="Q252" i="21"/>
  <c r="J218" i="12"/>
  <c r="Q252" i="22"/>
  <c r="J300" i="12"/>
  <c r="Q252" i="12"/>
  <c r="L252" i="12"/>
  <c r="K300" i="23"/>
  <c r="K218" i="24"/>
  <c r="L252" i="23"/>
  <c r="Q252" i="24"/>
  <c r="L294" i="24"/>
  <c r="L294" i="21"/>
  <c r="N47" i="16"/>
  <c r="N172" i="12" s="1"/>
  <c r="L47" i="16"/>
  <c r="L190" i="12" s="1"/>
  <c r="J252" i="21"/>
  <c r="F254" i="21" s="1"/>
  <c r="F255" i="21" s="1"/>
  <c r="K218" i="23"/>
  <c r="L300" i="24"/>
  <c r="L223" i="21"/>
  <c r="K47" i="16"/>
  <c r="K172" i="22" s="1"/>
  <c r="J252" i="22"/>
  <c r="F254" i="22" s="1"/>
  <c r="F255" i="22" s="1"/>
  <c r="K223" i="23"/>
  <c r="L25" i="16"/>
  <c r="L66" i="16" s="1"/>
  <c r="N252" i="23"/>
  <c r="N252" i="24"/>
  <c r="N252" i="21"/>
  <c r="L218" i="21"/>
  <c r="K48" i="16"/>
  <c r="K18" i="24" s="1"/>
  <c r="K51" i="16"/>
  <c r="N25" i="16"/>
  <c r="N66" i="16" s="1"/>
  <c r="K294" i="24"/>
  <c r="K300" i="24"/>
  <c r="P25" i="16"/>
  <c r="P66" i="16" s="1"/>
  <c r="L218" i="24"/>
  <c r="Q25" i="16"/>
  <c r="Q66" i="16" s="1"/>
  <c r="R252" i="21"/>
  <c r="M25" i="16"/>
  <c r="M66" i="16" s="1"/>
  <c r="J131" i="24"/>
  <c r="J147" i="24" s="1"/>
  <c r="J218" i="24"/>
  <c r="J300" i="24"/>
  <c r="P89" i="16"/>
  <c r="P130" i="16" s="1"/>
  <c r="O289" i="21"/>
  <c r="O214" i="21" s="1"/>
  <c r="J131" i="12"/>
  <c r="J147" i="12" s="1"/>
  <c r="J244" i="23"/>
  <c r="J264" i="23" s="1"/>
  <c r="M51" i="16"/>
  <c r="N48" i="16"/>
  <c r="N125" i="24" s="1"/>
  <c r="L223" i="23"/>
  <c r="L48" i="16"/>
  <c r="L125" i="24" s="1"/>
  <c r="J244" i="21"/>
  <c r="J259" i="21" s="1"/>
  <c r="J294" i="24"/>
  <c r="L294" i="23"/>
  <c r="J218" i="23"/>
  <c r="M48" i="16"/>
  <c r="M125" i="23" s="1"/>
  <c r="P289" i="22"/>
  <c r="P214" i="22" s="1"/>
  <c r="J300" i="23"/>
  <c r="L252" i="21"/>
  <c r="N289" i="12"/>
  <c r="N290" i="12" s="1"/>
  <c r="M289" i="12"/>
  <c r="M290" i="12" s="1"/>
  <c r="L218" i="23"/>
  <c r="L51" i="16"/>
  <c r="K89" i="16"/>
  <c r="K130" i="16" s="1"/>
  <c r="L252" i="22"/>
  <c r="M28" i="16"/>
  <c r="J244" i="24"/>
  <c r="J259" i="24" s="1"/>
  <c r="P290" i="21"/>
  <c r="P223" i="21" s="1"/>
  <c r="P213" i="21"/>
  <c r="O92" i="16"/>
  <c r="G160" i="24"/>
  <c r="J176" i="22"/>
  <c r="J178" i="22" s="1"/>
  <c r="Q213" i="21"/>
  <c r="J223" i="23"/>
  <c r="O48" i="16"/>
  <c r="O61" i="16" s="1"/>
  <c r="R252" i="12"/>
  <c r="R252" i="24"/>
  <c r="F254" i="12"/>
  <c r="F255" i="12" s="1"/>
  <c r="R300" i="12"/>
  <c r="R218" i="12"/>
  <c r="R294" i="12"/>
  <c r="R89" i="16"/>
  <c r="R130" i="16" s="1"/>
  <c r="O28" i="16"/>
  <c r="O25" i="16"/>
  <c r="O66" i="16" s="1"/>
  <c r="Q89" i="16"/>
  <c r="Q130" i="16" s="1"/>
  <c r="J176" i="24"/>
  <c r="J178" i="24" s="1"/>
  <c r="J244" i="12"/>
  <c r="J259" i="12" s="1"/>
  <c r="G186" i="21"/>
  <c r="G160" i="21"/>
  <c r="M252" i="21"/>
  <c r="N72" i="24"/>
  <c r="F254" i="24"/>
  <c r="F255" i="24" s="1"/>
  <c r="J53" i="16"/>
  <c r="J56" i="16" s="1"/>
  <c r="Q47" i="16"/>
  <c r="Q190" i="24" s="1"/>
  <c r="N133" i="24"/>
  <c r="M252" i="12"/>
  <c r="Q48" i="16"/>
  <c r="Q125" i="23" s="1"/>
  <c r="J218" i="22"/>
  <c r="M252" i="24"/>
  <c r="M252" i="22"/>
  <c r="M252" i="23"/>
  <c r="J30" i="16"/>
  <c r="J55" i="16" s="1"/>
  <c r="R294" i="21"/>
  <c r="R218" i="21"/>
  <c r="R223" i="21"/>
  <c r="R300" i="21"/>
  <c r="R252" i="23"/>
  <c r="R48" i="16"/>
  <c r="R13" i="21" s="1"/>
  <c r="R47" i="16"/>
  <c r="R78" i="22" s="1"/>
  <c r="F254" i="23"/>
  <c r="F255" i="23" s="1"/>
  <c r="M47" i="16"/>
  <c r="M190" i="24" s="1"/>
  <c r="J223" i="22"/>
  <c r="P252" i="12"/>
  <c r="J294" i="22"/>
  <c r="J176" i="12"/>
  <c r="J178" i="12" s="1"/>
  <c r="R51" i="16"/>
  <c r="P252" i="21"/>
  <c r="J244" i="22"/>
  <c r="J259" i="22" s="1"/>
  <c r="P252" i="22"/>
  <c r="J40" i="24"/>
  <c r="J28" i="24"/>
  <c r="J29" i="24" s="1"/>
  <c r="J35" i="24"/>
  <c r="K112" i="16"/>
  <c r="K111" i="16"/>
  <c r="J115" i="16"/>
  <c r="J117" i="16" s="1"/>
  <c r="J120" i="16" s="1"/>
  <c r="N111" i="16"/>
  <c r="M115" i="16"/>
  <c r="N112" i="16"/>
  <c r="Q268" i="12"/>
  <c r="Q151" i="12"/>
  <c r="Q97" i="12"/>
  <c r="Q45" i="12"/>
  <c r="O72" i="24"/>
  <c r="O246" i="24"/>
  <c r="O133" i="24"/>
  <c r="O26" i="24"/>
  <c r="N172" i="21"/>
  <c r="N78" i="12"/>
  <c r="N282" i="21"/>
  <c r="N246" i="23"/>
  <c r="N133" i="23"/>
  <c r="N26" i="23"/>
  <c r="N72" i="23"/>
  <c r="Q213" i="23"/>
  <c r="Q289" i="23"/>
  <c r="M72" i="23"/>
  <c r="M246" i="23"/>
  <c r="M133" i="23"/>
  <c r="M26" i="23"/>
  <c r="M151" i="24"/>
  <c r="M97" i="24"/>
  <c r="M45" i="24"/>
  <c r="M268" i="24"/>
  <c r="N72" i="12"/>
  <c r="N246" i="12"/>
  <c r="N26" i="12"/>
  <c r="N133" i="12"/>
  <c r="P246" i="22"/>
  <c r="P26" i="22"/>
  <c r="P72" i="22"/>
  <c r="P133" i="22"/>
  <c r="Q246" i="22"/>
  <c r="Q133" i="22"/>
  <c r="Q26" i="22"/>
  <c r="Q72" i="22"/>
  <c r="M89" i="16"/>
  <c r="M130" i="16" s="1"/>
  <c r="L92" i="16"/>
  <c r="J194" i="24"/>
  <c r="J192" i="24"/>
  <c r="J193" i="24"/>
  <c r="P151" i="22"/>
  <c r="P45" i="22"/>
  <c r="P97" i="22"/>
  <c r="P268" i="22"/>
  <c r="R25" i="16"/>
  <c r="R66" i="16" s="1"/>
  <c r="Q268" i="21"/>
  <c r="Q151" i="21"/>
  <c r="Q45" i="21"/>
  <c r="Q97" i="21"/>
  <c r="P133" i="12"/>
  <c r="P246" i="12"/>
  <c r="P26" i="12"/>
  <c r="P72" i="12"/>
  <c r="J283" i="24"/>
  <c r="J284" i="24"/>
  <c r="J285" i="24"/>
  <c r="J131" i="22"/>
  <c r="J176" i="23"/>
  <c r="J178" i="23" s="1"/>
  <c r="O172" i="24"/>
  <c r="O190" i="24"/>
  <c r="O282" i="23"/>
  <c r="O172" i="23"/>
  <c r="O190" i="23"/>
  <c r="O282" i="24"/>
  <c r="O78" i="23"/>
  <c r="O282" i="22"/>
  <c r="O78" i="12"/>
  <c r="O172" i="22"/>
  <c r="O78" i="22"/>
  <c r="O172" i="12"/>
  <c r="O282" i="12"/>
  <c r="O190" i="22"/>
  <c r="O190" i="12"/>
  <c r="O172" i="21"/>
  <c r="O282" i="21"/>
  <c r="O190" i="21"/>
  <c r="Q133" i="24"/>
  <c r="Q72" i="24"/>
  <c r="Q246" i="24"/>
  <c r="Q26" i="24"/>
  <c r="P213" i="12"/>
  <c r="P289" i="12"/>
  <c r="Q151" i="22"/>
  <c r="Q268" i="22"/>
  <c r="Q97" i="22"/>
  <c r="Q45" i="22"/>
  <c r="O289" i="22"/>
  <c r="O213" i="22"/>
  <c r="Q45" i="24"/>
  <c r="Q97" i="24"/>
  <c r="Q151" i="24"/>
  <c r="Q268" i="24"/>
  <c r="M45" i="22"/>
  <c r="M268" i="22"/>
  <c r="M97" i="22"/>
  <c r="M151" i="22"/>
  <c r="J193" i="23"/>
  <c r="J192" i="23"/>
  <c r="J194" i="23"/>
  <c r="J197" i="24"/>
  <c r="J195" i="24"/>
  <c r="J196" i="24"/>
  <c r="P268" i="21"/>
  <c r="P97" i="21"/>
  <c r="P45" i="21"/>
  <c r="P151" i="21"/>
  <c r="M97" i="21"/>
  <c r="M45" i="21"/>
  <c r="M268" i="21"/>
  <c r="M151" i="21"/>
  <c r="O26" i="12"/>
  <c r="O246" i="12"/>
  <c r="O133" i="12"/>
  <c r="O72" i="12"/>
  <c r="R223" i="24"/>
  <c r="R218" i="24"/>
  <c r="R300" i="24"/>
  <c r="R294" i="24"/>
  <c r="P45" i="24"/>
  <c r="P151" i="24"/>
  <c r="P268" i="24"/>
  <c r="P97" i="24"/>
  <c r="M72" i="22"/>
  <c r="M246" i="22"/>
  <c r="M133" i="22"/>
  <c r="M26" i="22"/>
  <c r="N289" i="21"/>
  <c r="N213" i="21"/>
  <c r="J152" i="24"/>
  <c r="J269" i="24"/>
  <c r="J98" i="24"/>
  <c r="J46" i="24"/>
  <c r="J269" i="22"/>
  <c r="J152" i="12"/>
  <c r="J46" i="23"/>
  <c r="J46" i="22"/>
  <c r="J269" i="12"/>
  <c r="J98" i="23"/>
  <c r="J269" i="23"/>
  <c r="J152" i="23"/>
  <c r="J98" i="22"/>
  <c r="J46" i="12"/>
  <c r="J152" i="22"/>
  <c r="J98" i="12"/>
  <c r="J269" i="21"/>
  <c r="J152" i="21"/>
  <c r="J98" i="21"/>
  <c r="J46" i="21"/>
  <c r="J58" i="8"/>
  <c r="M151" i="12"/>
  <c r="M97" i="12"/>
  <c r="M268" i="12"/>
  <c r="M45" i="12"/>
  <c r="R112" i="16"/>
  <c r="Q115" i="16"/>
  <c r="R111" i="16"/>
  <c r="M289" i="24"/>
  <c r="M213" i="24"/>
  <c r="M289" i="21"/>
  <c r="M213" i="21"/>
  <c r="N268" i="22"/>
  <c r="N151" i="22"/>
  <c r="N45" i="22"/>
  <c r="N97" i="22"/>
  <c r="O246" i="23"/>
  <c r="O72" i="23"/>
  <c r="O133" i="23"/>
  <c r="O26" i="23"/>
  <c r="O151" i="24"/>
  <c r="O97" i="24"/>
  <c r="O268" i="24"/>
  <c r="O45" i="24"/>
  <c r="J24" i="22"/>
  <c r="J131" i="21"/>
  <c r="P133" i="23"/>
  <c r="P26" i="23"/>
  <c r="P246" i="23"/>
  <c r="P72" i="23"/>
  <c r="N92" i="16"/>
  <c r="O89" i="16"/>
  <c r="O130" i="16" s="1"/>
  <c r="R223" i="23"/>
  <c r="R300" i="23"/>
  <c r="R294" i="23"/>
  <c r="R218" i="23"/>
  <c r="L111" i="16"/>
  <c r="K115" i="16"/>
  <c r="L112" i="16"/>
  <c r="O252" i="23"/>
  <c r="O252" i="24"/>
  <c r="O252" i="22"/>
  <c r="O252" i="21"/>
  <c r="P47" i="16"/>
  <c r="P48" i="16"/>
  <c r="O51" i="16"/>
  <c r="O252" i="12"/>
  <c r="L190" i="24"/>
  <c r="L172" i="24"/>
  <c r="L282" i="23"/>
  <c r="L78" i="23"/>
  <c r="L172" i="23"/>
  <c r="L282" i="12"/>
  <c r="L78" i="22"/>
  <c r="J24" i="12"/>
  <c r="O289" i="12"/>
  <c r="O213" i="12"/>
  <c r="Q246" i="12"/>
  <c r="Q26" i="12"/>
  <c r="Q133" i="12"/>
  <c r="Q72" i="12"/>
  <c r="O268" i="23"/>
  <c r="O151" i="23"/>
  <c r="O45" i="23"/>
  <c r="O97" i="23"/>
  <c r="N89" i="16"/>
  <c r="N130" i="16" s="1"/>
  <c r="F77" i="23"/>
  <c r="F138" i="23"/>
  <c r="F31" i="23"/>
  <c r="K300" i="21"/>
  <c r="K223" i="21"/>
  <c r="K294" i="21"/>
  <c r="K218" i="21"/>
  <c r="Q112" i="16"/>
  <c r="Q111" i="16"/>
  <c r="P115" i="16"/>
  <c r="O246" i="22"/>
  <c r="O26" i="22"/>
  <c r="O72" i="22"/>
  <c r="O133" i="22"/>
  <c r="J299" i="12"/>
  <c r="J301" i="12" s="1"/>
  <c r="Q289" i="12"/>
  <c r="Q213" i="12"/>
  <c r="N268" i="23"/>
  <c r="N151" i="23"/>
  <c r="N45" i="23"/>
  <c r="N97" i="23"/>
  <c r="J223" i="21"/>
  <c r="J218" i="21"/>
  <c r="J294" i="21"/>
  <c r="J300" i="21"/>
  <c r="Q300" i="21"/>
  <c r="Q218" i="21"/>
  <c r="Q294" i="21"/>
  <c r="Q223" i="21"/>
  <c r="J94" i="16"/>
  <c r="J119" i="16" s="1"/>
  <c r="O246" i="21"/>
  <c r="O133" i="21"/>
  <c r="O26" i="21"/>
  <c r="O72" i="21"/>
  <c r="F77" i="22"/>
  <c r="F31" i="22"/>
  <c r="F138" i="22"/>
  <c r="M289" i="23"/>
  <c r="M213" i="23"/>
  <c r="K223" i="22"/>
  <c r="K300" i="22"/>
  <c r="K294" i="22"/>
  <c r="K218" i="22"/>
  <c r="J85" i="8"/>
  <c r="J86" i="8" s="1"/>
  <c r="J21" i="8"/>
  <c r="J22" i="8" s="1"/>
  <c r="J39" i="12"/>
  <c r="O112" i="16"/>
  <c r="O111" i="16"/>
  <c r="N115" i="16"/>
  <c r="O268" i="21"/>
  <c r="O97" i="21"/>
  <c r="O45" i="21"/>
  <c r="O151" i="21"/>
  <c r="Q289" i="22"/>
  <c r="Q213" i="22"/>
  <c r="L218" i="12"/>
  <c r="L294" i="12"/>
  <c r="L223" i="12"/>
  <c r="L300" i="12"/>
  <c r="J284" i="21"/>
  <c r="J285" i="21"/>
  <c r="J283" i="21"/>
  <c r="G186" i="22"/>
  <c r="G160" i="22"/>
  <c r="M18" i="24"/>
  <c r="N246" i="21"/>
  <c r="N26" i="21"/>
  <c r="N72" i="21"/>
  <c r="N133" i="21"/>
  <c r="M268" i="23"/>
  <c r="M151" i="23"/>
  <c r="M97" i="23"/>
  <c r="M45" i="23"/>
  <c r="N213" i="23"/>
  <c r="N289" i="23"/>
  <c r="M133" i="12"/>
  <c r="M246" i="12"/>
  <c r="M26" i="12"/>
  <c r="M72" i="12"/>
  <c r="J174" i="21"/>
  <c r="J176" i="21" s="1"/>
  <c r="J178" i="21" s="1"/>
  <c r="J78" i="21"/>
  <c r="J194" i="21"/>
  <c r="J193" i="21"/>
  <c r="J192" i="21"/>
  <c r="P213" i="23"/>
  <c r="P289" i="23"/>
  <c r="M111" i="16"/>
  <c r="L115" i="16"/>
  <c r="M112" i="16"/>
  <c r="G186" i="23"/>
  <c r="G160" i="23"/>
  <c r="J195" i="23"/>
  <c r="J197" i="23"/>
  <c r="J196" i="23"/>
  <c r="M246" i="24"/>
  <c r="M133" i="24"/>
  <c r="M72" i="24"/>
  <c r="M26" i="24"/>
  <c r="J285" i="23"/>
  <c r="J283" i="23"/>
  <c r="J284" i="23"/>
  <c r="O213" i="24"/>
  <c r="O289" i="24"/>
  <c r="J293" i="12"/>
  <c r="J295" i="12" s="1"/>
  <c r="N289" i="24"/>
  <c r="N213" i="24"/>
  <c r="G160" i="12"/>
  <c r="G186" i="12"/>
  <c r="J24" i="23"/>
  <c r="Q289" i="24"/>
  <c r="Q213" i="24"/>
  <c r="K92" i="16"/>
  <c r="L89" i="16"/>
  <c r="L130" i="16" s="1"/>
  <c r="M289" i="22"/>
  <c r="M213" i="22"/>
  <c r="Q45" i="23"/>
  <c r="Q268" i="23"/>
  <c r="Q151" i="23"/>
  <c r="Q97" i="23"/>
  <c r="Q72" i="23"/>
  <c r="Q246" i="23"/>
  <c r="Q133" i="23"/>
  <c r="Q26" i="23"/>
  <c r="J28" i="21"/>
  <c r="J29" i="21" s="1"/>
  <c r="J40" i="21"/>
  <c r="J35" i="21"/>
  <c r="J195" i="22"/>
  <c r="J197" i="22"/>
  <c r="J196" i="22"/>
  <c r="M172" i="22"/>
  <c r="P246" i="21"/>
  <c r="P133" i="21"/>
  <c r="P26" i="21"/>
  <c r="P72" i="21"/>
  <c r="P268" i="23"/>
  <c r="P45" i="23"/>
  <c r="P151" i="23"/>
  <c r="P97" i="23"/>
  <c r="P111" i="16"/>
  <c r="N45" i="21"/>
  <c r="N97" i="21"/>
  <c r="N268" i="21"/>
  <c r="N151" i="21"/>
  <c r="O268" i="22"/>
  <c r="O151" i="22"/>
  <c r="O97" i="22"/>
  <c r="O45" i="22"/>
  <c r="N289" i="22"/>
  <c r="N213" i="22"/>
  <c r="J131" i="23"/>
  <c r="M246" i="21"/>
  <c r="M133" i="21"/>
  <c r="M26" i="21"/>
  <c r="M72" i="21"/>
  <c r="R218" i="22"/>
  <c r="R223" i="22"/>
  <c r="R294" i="22"/>
  <c r="R300" i="22"/>
  <c r="F31" i="21"/>
  <c r="F138" i="21"/>
  <c r="F77" i="21"/>
  <c r="J194" i="12"/>
  <c r="J192" i="12"/>
  <c r="J193" i="12"/>
  <c r="J192" i="22"/>
  <c r="J193" i="22"/>
  <c r="J194" i="22"/>
  <c r="J197" i="21"/>
  <c r="J196" i="21"/>
  <c r="J195" i="21"/>
  <c r="K5" i="9"/>
  <c r="K6" i="24"/>
  <c r="K6" i="20"/>
  <c r="K6" i="23"/>
  <c r="K6" i="12"/>
  <c r="K14" i="8"/>
  <c r="K15" i="8" s="1"/>
  <c r="K6" i="22"/>
  <c r="K6" i="8"/>
  <c r="K6" i="21"/>
  <c r="L11" i="8"/>
  <c r="K6" i="16"/>
  <c r="K6" i="7"/>
  <c r="P268" i="12"/>
  <c r="P151" i="12"/>
  <c r="P97" i="12"/>
  <c r="P45" i="12"/>
  <c r="N246" i="22"/>
  <c r="N26" i="22"/>
  <c r="N133" i="22"/>
  <c r="N72" i="22"/>
  <c r="O289" i="23"/>
  <c r="O213" i="23"/>
  <c r="K13" i="24"/>
  <c r="K125" i="23"/>
  <c r="K238" i="22"/>
  <c r="P213" i="24"/>
  <c r="P289" i="24"/>
  <c r="J284" i="22"/>
  <c r="J283" i="22"/>
  <c r="J285" i="22"/>
  <c r="N97" i="12"/>
  <c r="N268" i="12"/>
  <c r="N151" i="12"/>
  <c r="N45" i="12"/>
  <c r="J39" i="23"/>
  <c r="J196" i="12"/>
  <c r="J197" i="12"/>
  <c r="J195" i="12"/>
  <c r="F138" i="12"/>
  <c r="F77" i="12"/>
  <c r="F31" i="12"/>
  <c r="Q26" i="21"/>
  <c r="Q246" i="21"/>
  <c r="Q133" i="21"/>
  <c r="Q72" i="21"/>
  <c r="N151" i="24"/>
  <c r="N268" i="24"/>
  <c r="N45" i="24"/>
  <c r="N97" i="24"/>
  <c r="F138" i="24"/>
  <c r="F31" i="24"/>
  <c r="F83" i="24"/>
  <c r="L218" i="22"/>
  <c r="L294" i="22"/>
  <c r="L300" i="22"/>
  <c r="L223" i="22"/>
  <c r="P112" i="16"/>
  <c r="K172" i="23" l="1"/>
  <c r="N190" i="12"/>
  <c r="K282" i="12"/>
  <c r="N282" i="22"/>
  <c r="N282" i="12"/>
  <c r="K78" i="12"/>
  <c r="N78" i="23"/>
  <c r="K78" i="23"/>
  <c r="N190" i="22"/>
  <c r="K282" i="24"/>
  <c r="N190" i="23"/>
  <c r="L190" i="22"/>
  <c r="K190" i="24"/>
  <c r="L172" i="12"/>
  <c r="N282" i="24"/>
  <c r="N190" i="24"/>
  <c r="M190" i="12"/>
  <c r="M282" i="23"/>
  <c r="M190" i="22"/>
  <c r="M78" i="22"/>
  <c r="N172" i="22"/>
  <c r="K190" i="23"/>
  <c r="K172" i="24"/>
  <c r="L190" i="23"/>
  <c r="M282" i="12"/>
  <c r="K190" i="22"/>
  <c r="N172" i="23"/>
  <c r="K282" i="23"/>
  <c r="N282" i="23"/>
  <c r="N172" i="24"/>
  <c r="L282" i="22"/>
  <c r="L282" i="24"/>
  <c r="N238" i="21"/>
  <c r="K70" i="16"/>
  <c r="K282" i="21"/>
  <c r="L282" i="21"/>
  <c r="O238" i="22"/>
  <c r="K125" i="24"/>
  <c r="K238" i="21"/>
  <c r="K125" i="21"/>
  <c r="K18" i="21"/>
  <c r="K13" i="21"/>
  <c r="K125" i="22"/>
  <c r="K18" i="23"/>
  <c r="L172" i="22"/>
  <c r="K282" i="22"/>
  <c r="O125" i="23"/>
  <c r="K78" i="22"/>
  <c r="K13" i="23"/>
  <c r="L190" i="21"/>
  <c r="K172" i="21"/>
  <c r="K78" i="21" s="1"/>
  <c r="N78" i="22"/>
  <c r="O125" i="24"/>
  <c r="N125" i="12"/>
  <c r="K18" i="22"/>
  <c r="N238" i="23"/>
  <c r="K172" i="12"/>
  <c r="N13" i="22"/>
  <c r="L78" i="12"/>
  <c r="K190" i="12"/>
  <c r="N190" i="21"/>
  <c r="K238" i="24"/>
  <c r="N61" i="16"/>
  <c r="K238" i="12"/>
  <c r="N18" i="12"/>
  <c r="K125" i="12"/>
  <c r="K190" i="21"/>
  <c r="N13" i="12"/>
  <c r="O238" i="21"/>
  <c r="K18" i="12"/>
  <c r="L172" i="21"/>
  <c r="L78" i="21" s="1"/>
  <c r="O13" i="22"/>
  <c r="J135" i="24"/>
  <c r="J136" i="24" s="1"/>
  <c r="J143" i="24" s="1"/>
  <c r="K13" i="12"/>
  <c r="K238" i="23"/>
  <c r="K13" i="22"/>
  <c r="M282" i="21"/>
  <c r="R190" i="22"/>
  <c r="M172" i="23"/>
  <c r="J142" i="24"/>
  <c r="M190" i="23"/>
  <c r="M18" i="21"/>
  <c r="O125" i="12"/>
  <c r="K61" i="16"/>
  <c r="M125" i="21"/>
  <c r="O13" i="24"/>
  <c r="J264" i="24"/>
  <c r="M61" i="16"/>
  <c r="M13" i="24"/>
  <c r="J264" i="21"/>
  <c r="M282" i="22"/>
  <c r="J248" i="21"/>
  <c r="J249" i="21" s="1"/>
  <c r="J279" i="21" s="1"/>
  <c r="N238" i="12"/>
  <c r="N18" i="22"/>
  <c r="M282" i="24"/>
  <c r="R282" i="22"/>
  <c r="N238" i="22"/>
  <c r="N125" i="23"/>
  <c r="L18" i="21"/>
  <c r="L125" i="12"/>
  <c r="P294" i="21"/>
  <c r="L238" i="22"/>
  <c r="R18" i="12"/>
  <c r="R13" i="22"/>
  <c r="O290" i="21"/>
  <c r="O223" i="21" s="1"/>
  <c r="P218" i="21"/>
  <c r="R18" i="22"/>
  <c r="M190" i="21"/>
  <c r="M172" i="24"/>
  <c r="N18" i="24"/>
  <c r="R238" i="21"/>
  <c r="L13" i="24"/>
  <c r="M78" i="12"/>
  <c r="N13" i="21"/>
  <c r="Q190" i="21"/>
  <c r="P300" i="21"/>
  <c r="L13" i="23"/>
  <c r="M172" i="21"/>
  <c r="M78" i="21" s="1"/>
  <c r="M172" i="12"/>
  <c r="N125" i="22"/>
  <c r="L125" i="22"/>
  <c r="O238" i="24"/>
  <c r="Q18" i="21"/>
  <c r="Q238" i="23"/>
  <c r="L125" i="21"/>
  <c r="Q172" i="12"/>
  <c r="Q13" i="23"/>
  <c r="M13" i="23"/>
  <c r="L61" i="16"/>
  <c r="Q190" i="12"/>
  <c r="M18" i="23"/>
  <c r="L70" i="16"/>
  <c r="Q172" i="24"/>
  <c r="J248" i="24"/>
  <c r="J249" i="24" s="1"/>
  <c r="J279" i="24" s="1"/>
  <c r="Q238" i="24"/>
  <c r="J135" i="12"/>
  <c r="J136" i="12" s="1"/>
  <c r="J184" i="12" s="1"/>
  <c r="L13" i="21"/>
  <c r="Q172" i="23"/>
  <c r="J264" i="12"/>
  <c r="J248" i="23"/>
  <c r="J249" i="23" s="1"/>
  <c r="J273" i="23" s="1"/>
  <c r="J259" i="23"/>
  <c r="L13" i="12"/>
  <c r="M238" i="24"/>
  <c r="L18" i="12"/>
  <c r="O125" i="22"/>
  <c r="N125" i="21"/>
  <c r="M238" i="23"/>
  <c r="J142" i="12"/>
  <c r="L238" i="21"/>
  <c r="M125" i="24"/>
  <c r="L238" i="12"/>
  <c r="O70" i="16"/>
  <c r="N18" i="21"/>
  <c r="L18" i="22"/>
  <c r="O238" i="12"/>
  <c r="N70" i="16"/>
  <c r="P290" i="22"/>
  <c r="P300" i="22" s="1"/>
  <c r="M70" i="16"/>
  <c r="M125" i="12"/>
  <c r="L18" i="23"/>
  <c r="N214" i="12"/>
  <c r="N13" i="23"/>
  <c r="M78" i="23"/>
  <c r="M125" i="22"/>
  <c r="L238" i="24"/>
  <c r="N18" i="23"/>
  <c r="M13" i="21"/>
  <c r="M238" i="21"/>
  <c r="M13" i="22"/>
  <c r="M18" i="12"/>
  <c r="M13" i="12"/>
  <c r="M214" i="12"/>
  <c r="L13" i="22"/>
  <c r="Q190" i="23"/>
  <c r="M238" i="12"/>
  <c r="L125" i="23"/>
  <c r="Q282" i="23"/>
  <c r="M18" i="22"/>
  <c r="L238" i="23"/>
  <c r="N13" i="24"/>
  <c r="M238" i="22"/>
  <c r="L18" i="24"/>
  <c r="N238" i="24"/>
  <c r="O13" i="12"/>
  <c r="R282" i="12"/>
  <c r="R190" i="23"/>
  <c r="R125" i="22"/>
  <c r="R190" i="24"/>
  <c r="R18" i="23"/>
  <c r="R78" i="23"/>
  <c r="R238" i="12"/>
  <c r="R282" i="23"/>
  <c r="R238" i="22"/>
  <c r="O18" i="23"/>
  <c r="R172" i="23"/>
  <c r="R125" i="12"/>
  <c r="O18" i="24"/>
  <c r="R172" i="24"/>
  <c r="R125" i="24"/>
  <c r="J248" i="12"/>
  <c r="J249" i="12" s="1"/>
  <c r="J273" i="12" s="1"/>
  <c r="O13" i="23"/>
  <c r="R282" i="24"/>
  <c r="R13" i="23"/>
  <c r="O238" i="23"/>
  <c r="R125" i="23"/>
  <c r="R282" i="21"/>
  <c r="R13" i="24"/>
  <c r="Q125" i="21"/>
  <c r="R78" i="12"/>
  <c r="R18" i="21"/>
  <c r="R125" i="21"/>
  <c r="O18" i="21"/>
  <c r="Q18" i="22"/>
  <c r="O13" i="21"/>
  <c r="Q125" i="24"/>
  <c r="Q282" i="21"/>
  <c r="O18" i="12"/>
  <c r="Q18" i="24"/>
  <c r="R172" i="12"/>
  <c r="R61" i="16"/>
  <c r="Q172" i="21"/>
  <c r="Q78" i="21" s="1"/>
  <c r="O18" i="22"/>
  <c r="R238" i="23"/>
  <c r="R18" i="24"/>
  <c r="R172" i="21"/>
  <c r="R78" i="21" s="1"/>
  <c r="R238" i="24"/>
  <c r="Q13" i="24"/>
  <c r="O125" i="21"/>
  <c r="Q13" i="22"/>
  <c r="R190" i="21"/>
  <c r="R190" i="12"/>
  <c r="R70" i="16"/>
  <c r="R172" i="22"/>
  <c r="R13" i="12"/>
  <c r="Q238" i="22"/>
  <c r="Q172" i="22"/>
  <c r="Q125" i="22"/>
  <c r="Q70" i="16"/>
  <c r="Q13" i="21"/>
  <c r="Q78" i="22"/>
  <c r="Q18" i="23"/>
  <c r="Q190" i="22"/>
  <c r="Q238" i="12"/>
  <c r="Q78" i="12"/>
  <c r="J57" i="16"/>
  <c r="J60" i="16" s="1"/>
  <c r="J63" i="16" s="1"/>
  <c r="J65" i="16" s="1"/>
  <c r="J67" i="16" s="1"/>
  <c r="J69" i="16" s="1"/>
  <c r="Q13" i="12"/>
  <c r="Q282" i="22"/>
  <c r="Q78" i="23"/>
  <c r="Q61" i="16"/>
  <c r="J248" i="22"/>
  <c r="J249" i="22" s="1"/>
  <c r="J273" i="22" s="1"/>
  <c r="Q282" i="24"/>
  <c r="Q125" i="12"/>
  <c r="Q238" i="21"/>
  <c r="J264" i="22"/>
  <c r="Q282" i="12"/>
  <c r="Q18" i="12"/>
  <c r="Q290" i="23"/>
  <c r="Q214" i="23"/>
  <c r="M173" i="24"/>
  <c r="M191" i="24"/>
  <c r="M79" i="23"/>
  <c r="M191" i="23"/>
  <c r="M173" i="23"/>
  <c r="M191" i="22"/>
  <c r="M173" i="12"/>
  <c r="M173" i="22"/>
  <c r="M79" i="22"/>
  <c r="M191" i="21"/>
  <c r="M191" i="12"/>
  <c r="M173" i="21"/>
  <c r="M79" i="12"/>
  <c r="O290" i="23"/>
  <c r="O214" i="23"/>
  <c r="J200" i="21"/>
  <c r="N214" i="22"/>
  <c r="N290" i="22"/>
  <c r="J36" i="21"/>
  <c r="J51" i="21"/>
  <c r="P290" i="23"/>
  <c r="P214" i="23"/>
  <c r="J204" i="21"/>
  <c r="N290" i="24"/>
  <c r="N214" i="24"/>
  <c r="J40" i="12"/>
  <c r="J28" i="12"/>
  <c r="J29" i="12" s="1"/>
  <c r="J35" i="12"/>
  <c r="J208" i="21"/>
  <c r="J2" i="7"/>
  <c r="J23" i="8"/>
  <c r="J26" i="8"/>
  <c r="O214" i="12"/>
  <c r="O290" i="12"/>
  <c r="P18" i="24"/>
  <c r="P125" i="24"/>
  <c r="P238" i="24"/>
  <c r="P13" i="24"/>
  <c r="P238" i="22"/>
  <c r="P238" i="23"/>
  <c r="P18" i="23"/>
  <c r="P13" i="23"/>
  <c r="P18" i="22"/>
  <c r="P238" i="12"/>
  <c r="P13" i="21"/>
  <c r="P125" i="23"/>
  <c r="P13" i="22"/>
  <c r="P125" i="22"/>
  <c r="P125" i="12"/>
  <c r="P18" i="12"/>
  <c r="P61" i="16"/>
  <c r="P18" i="21"/>
  <c r="P70" i="16"/>
  <c r="P125" i="21"/>
  <c r="P238" i="21"/>
  <c r="P13" i="12"/>
  <c r="J293" i="21"/>
  <c r="J295" i="21" s="1"/>
  <c r="J147" i="21"/>
  <c r="J135" i="21"/>
  <c r="J136" i="21" s="1"/>
  <c r="J142" i="21"/>
  <c r="M214" i="24"/>
  <c r="M290" i="24"/>
  <c r="J204" i="24"/>
  <c r="P190" i="24"/>
  <c r="P282" i="23"/>
  <c r="P172" i="23"/>
  <c r="P190" i="23"/>
  <c r="P172" i="24"/>
  <c r="P282" i="12"/>
  <c r="P282" i="24"/>
  <c r="P190" i="12"/>
  <c r="P172" i="12"/>
  <c r="P190" i="22"/>
  <c r="P78" i="23"/>
  <c r="P282" i="22"/>
  <c r="P78" i="22"/>
  <c r="P172" i="22"/>
  <c r="P78" i="12"/>
  <c r="P172" i="21"/>
  <c r="P190" i="21"/>
  <c r="P282" i="21"/>
  <c r="J203" i="21"/>
  <c r="P125" i="16"/>
  <c r="P134" i="16"/>
  <c r="J199" i="22"/>
  <c r="J199" i="21"/>
  <c r="O290" i="24"/>
  <c r="O214" i="24"/>
  <c r="N223" i="12"/>
  <c r="N300" i="12"/>
  <c r="N218" i="12"/>
  <c r="N294" i="12"/>
  <c r="J208" i="24"/>
  <c r="N78" i="21"/>
  <c r="J207" i="12"/>
  <c r="J207" i="23"/>
  <c r="P191" i="24"/>
  <c r="P173" i="24"/>
  <c r="P173" i="23"/>
  <c r="P173" i="22"/>
  <c r="P79" i="12"/>
  <c r="P79" i="22"/>
  <c r="P173" i="12"/>
  <c r="P191" i="21"/>
  <c r="P173" i="21"/>
  <c r="P191" i="22"/>
  <c r="P191" i="23"/>
  <c r="P79" i="23"/>
  <c r="P191" i="12"/>
  <c r="M290" i="23"/>
  <c r="M214" i="23"/>
  <c r="R134" i="16"/>
  <c r="R125" i="16"/>
  <c r="J199" i="23"/>
  <c r="P290" i="12"/>
  <c r="P214" i="12"/>
  <c r="J203" i="24"/>
  <c r="N134" i="16"/>
  <c r="N125" i="16"/>
  <c r="J199" i="12"/>
  <c r="J293" i="23"/>
  <c r="J295" i="23" s="1"/>
  <c r="J299" i="21"/>
  <c r="J301" i="21" s="1"/>
  <c r="J28" i="22"/>
  <c r="J29" i="22" s="1"/>
  <c r="J35" i="22"/>
  <c r="J40" i="22"/>
  <c r="R173" i="24"/>
  <c r="R175" i="24" s="1"/>
  <c r="R191" i="24"/>
  <c r="R173" i="23"/>
  <c r="R175" i="23" s="1"/>
  <c r="R79" i="23"/>
  <c r="R191" i="23"/>
  <c r="R173" i="22"/>
  <c r="R175" i="22" s="1"/>
  <c r="R173" i="12"/>
  <c r="R175" i="12" s="1"/>
  <c r="R191" i="21"/>
  <c r="R173" i="21"/>
  <c r="R79" i="12"/>
  <c r="R191" i="22"/>
  <c r="R191" i="12"/>
  <c r="R79" i="22"/>
  <c r="M290" i="22"/>
  <c r="M214" i="22"/>
  <c r="J203" i="23"/>
  <c r="J199" i="24"/>
  <c r="J305" i="12"/>
  <c r="J4" i="20"/>
  <c r="J4" i="9"/>
  <c r="J4" i="23"/>
  <c r="J4" i="24"/>
  <c r="J4" i="12"/>
  <c r="J4" i="21"/>
  <c r="J4" i="22"/>
  <c r="J4" i="8"/>
  <c r="J5" i="7"/>
  <c r="J4" i="16"/>
  <c r="Q191" i="24"/>
  <c r="Q173" i="24"/>
  <c r="Q173" i="23"/>
  <c r="Q191" i="22"/>
  <c r="Q173" i="22"/>
  <c r="Q79" i="23"/>
  <c r="Q191" i="12"/>
  <c r="Q79" i="22"/>
  <c r="Q79" i="12"/>
  <c r="Q191" i="23"/>
  <c r="Q191" i="21"/>
  <c r="Q173" i="21"/>
  <c r="Q173" i="12"/>
  <c r="J203" i="22"/>
  <c r="Q125" i="16"/>
  <c r="Q134" i="16"/>
  <c r="O290" i="22"/>
  <c r="O214" i="22"/>
  <c r="J207" i="21"/>
  <c r="J204" i="12"/>
  <c r="J207" i="24"/>
  <c r="Q214" i="22"/>
  <c r="Q290" i="22"/>
  <c r="Q290" i="12"/>
  <c r="Q214" i="12"/>
  <c r="L191" i="24"/>
  <c r="L173" i="24"/>
  <c r="L191" i="23"/>
  <c r="L79" i="23"/>
  <c r="L173" i="23"/>
  <c r="L191" i="22"/>
  <c r="L79" i="12"/>
  <c r="L173" i="22"/>
  <c r="L191" i="12"/>
  <c r="L79" i="22"/>
  <c r="L173" i="21"/>
  <c r="L191" i="21"/>
  <c r="L173" i="12"/>
  <c r="J208" i="23"/>
  <c r="N290" i="23"/>
  <c r="N214" i="23"/>
  <c r="K173" i="24"/>
  <c r="K191" i="23"/>
  <c r="K191" i="24"/>
  <c r="K79" i="23"/>
  <c r="K79" i="22"/>
  <c r="K191" i="22"/>
  <c r="K173" i="22"/>
  <c r="K191" i="21"/>
  <c r="K173" i="12"/>
  <c r="K173" i="21"/>
  <c r="K191" i="12"/>
  <c r="K173" i="23"/>
  <c r="K79" i="12"/>
  <c r="K134" i="16"/>
  <c r="K125" i="16"/>
  <c r="L125" i="16"/>
  <c r="L134" i="16"/>
  <c r="J200" i="23"/>
  <c r="M300" i="12"/>
  <c r="M294" i="12"/>
  <c r="M218" i="12"/>
  <c r="M223" i="12"/>
  <c r="J142" i="22"/>
  <c r="J135" i="22"/>
  <c r="J136" i="22" s="1"/>
  <c r="J147" i="22"/>
  <c r="J293" i="22"/>
  <c r="J295" i="22" s="1"/>
  <c r="K85" i="8"/>
  <c r="K21" i="8"/>
  <c r="J204" i="22"/>
  <c r="N290" i="21"/>
  <c r="N214" i="21"/>
  <c r="M214" i="21"/>
  <c r="M290" i="21"/>
  <c r="J200" i="12"/>
  <c r="J203" i="12"/>
  <c r="J299" i="23"/>
  <c r="J301" i="23" s="1"/>
  <c r="J200" i="24"/>
  <c r="Q214" i="24"/>
  <c r="Q290" i="24"/>
  <c r="N173" i="24"/>
  <c r="N191" i="22"/>
  <c r="N173" i="22"/>
  <c r="N191" i="24"/>
  <c r="N79" i="23"/>
  <c r="N173" i="23"/>
  <c r="N191" i="21"/>
  <c r="N191" i="12"/>
  <c r="N79" i="12"/>
  <c r="N173" i="21"/>
  <c r="N79" i="22"/>
  <c r="N173" i="12"/>
  <c r="N191" i="23"/>
  <c r="L6" i="20"/>
  <c r="L6" i="24"/>
  <c r="L5" i="9"/>
  <c r="L6" i="23"/>
  <c r="L14" i="8"/>
  <c r="L15" i="8" s="1"/>
  <c r="L6" i="12"/>
  <c r="L6" i="8"/>
  <c r="L6" i="22"/>
  <c r="L6" i="21"/>
  <c r="M11" i="8"/>
  <c r="L6" i="7"/>
  <c r="L6" i="16"/>
  <c r="J204" i="23"/>
  <c r="J299" i="22"/>
  <c r="J301" i="22" s="1"/>
  <c r="J208" i="22"/>
  <c r="J121" i="16"/>
  <c r="J124" i="16" s="1"/>
  <c r="J127" i="16" s="1"/>
  <c r="J129" i="16" s="1"/>
  <c r="J131" i="16" s="1"/>
  <c r="J306" i="12"/>
  <c r="J319" i="12"/>
  <c r="O78" i="21"/>
  <c r="J299" i="24"/>
  <c r="J301" i="24" s="1"/>
  <c r="J208" i="12"/>
  <c r="J200" i="22"/>
  <c r="J40" i="23"/>
  <c r="J28" i="23"/>
  <c r="J29" i="23" s="1"/>
  <c r="J35" i="23"/>
  <c r="M134" i="16"/>
  <c r="M125" i="16"/>
  <c r="O191" i="24"/>
  <c r="O79" i="23"/>
  <c r="O173" i="24"/>
  <c r="O191" i="23"/>
  <c r="O191" i="22"/>
  <c r="O79" i="12"/>
  <c r="O173" i="22"/>
  <c r="O79" i="22"/>
  <c r="O191" i="21"/>
  <c r="O173" i="21"/>
  <c r="O173" i="23"/>
  <c r="O191" i="12"/>
  <c r="O173" i="12"/>
  <c r="J135" i="23"/>
  <c r="J136" i="23" s="1"/>
  <c r="J147" i="23"/>
  <c r="J142" i="23"/>
  <c r="O134" i="16"/>
  <c r="O125" i="16"/>
  <c r="J51" i="24"/>
  <c r="J36" i="24"/>
  <c r="J207" i="22"/>
  <c r="P290" i="24"/>
  <c r="P214" i="24"/>
  <c r="J293" i="24"/>
  <c r="J295" i="24" s="1"/>
  <c r="J184" i="24" l="1"/>
  <c r="J156" i="24"/>
  <c r="O300" i="21"/>
  <c r="J209" i="24"/>
  <c r="J273" i="21"/>
  <c r="O218" i="21"/>
  <c r="O294" i="21"/>
  <c r="J143" i="12"/>
  <c r="J156" i="12"/>
  <c r="J273" i="24"/>
  <c r="J279" i="23"/>
  <c r="K22" i="8"/>
  <c r="K23" i="8" s="1"/>
  <c r="J279" i="12"/>
  <c r="P223" i="22"/>
  <c r="P218" i="22"/>
  <c r="P294" i="22"/>
  <c r="J205" i="22"/>
  <c r="J222" i="22" s="1"/>
  <c r="J224" i="22" s="1"/>
  <c r="J205" i="23"/>
  <c r="J222" i="23" s="1"/>
  <c r="J224" i="23" s="1"/>
  <c r="J279" i="22"/>
  <c r="J201" i="21"/>
  <c r="J217" i="21" s="1"/>
  <c r="J219" i="21" s="1"/>
  <c r="J201" i="24"/>
  <c r="J217" i="24" s="1"/>
  <c r="J219" i="24" s="1"/>
  <c r="J201" i="23"/>
  <c r="J217" i="23" s="1"/>
  <c r="J219" i="23" s="1"/>
  <c r="J201" i="22"/>
  <c r="J217" i="22" s="1"/>
  <c r="J219" i="22" s="1"/>
  <c r="J209" i="22"/>
  <c r="R195" i="22"/>
  <c r="R200" i="22" s="1"/>
  <c r="R197" i="22"/>
  <c r="R208" i="22" s="1"/>
  <c r="R196" i="22"/>
  <c r="R204" i="22" s="1"/>
  <c r="J305" i="21"/>
  <c r="J209" i="21"/>
  <c r="J307" i="12"/>
  <c r="R196" i="23"/>
  <c r="R204" i="23" s="1"/>
  <c r="R195" i="23"/>
  <c r="R200" i="23" s="1"/>
  <c r="R197" i="23"/>
  <c r="R208" i="23" s="1"/>
  <c r="P78" i="21"/>
  <c r="L85" i="8"/>
  <c r="L21" i="8"/>
  <c r="R195" i="24"/>
  <c r="R200" i="24" s="1"/>
  <c r="R197" i="24"/>
  <c r="R208" i="24" s="1"/>
  <c r="R196" i="24"/>
  <c r="R204" i="24" s="1"/>
  <c r="M300" i="23"/>
  <c r="M223" i="23"/>
  <c r="M294" i="23"/>
  <c r="M218" i="23"/>
  <c r="O294" i="23"/>
  <c r="O300" i="23"/>
  <c r="O223" i="23"/>
  <c r="O218" i="23"/>
  <c r="J305" i="22"/>
  <c r="Q300" i="12"/>
  <c r="Q218" i="12"/>
  <c r="Q223" i="12"/>
  <c r="Q294" i="12"/>
  <c r="M6" i="24"/>
  <c r="M5" i="9"/>
  <c r="M6" i="20"/>
  <c r="M6" i="22"/>
  <c r="M6" i="23"/>
  <c r="M6" i="12"/>
  <c r="M6" i="21"/>
  <c r="M6" i="8"/>
  <c r="M6" i="16"/>
  <c r="M14" i="8"/>
  <c r="M15" i="8" s="1"/>
  <c r="N11" i="8"/>
  <c r="M6" i="7"/>
  <c r="R79" i="21"/>
  <c r="R175" i="21"/>
  <c r="R195" i="21"/>
  <c r="R200" i="21" s="1"/>
  <c r="R197" i="21"/>
  <c r="R208" i="21" s="1"/>
  <c r="R196" i="21"/>
  <c r="R204" i="21" s="1"/>
  <c r="O300" i="24"/>
  <c r="O294" i="24"/>
  <c r="O223" i="24"/>
  <c r="O218" i="24"/>
  <c r="J69" i="22"/>
  <c r="J70" i="22" s="1"/>
  <c r="J69" i="24"/>
  <c r="J70" i="24" s="1"/>
  <c r="J69" i="21"/>
  <c r="J70" i="21" s="1"/>
  <c r="J69" i="12"/>
  <c r="J70" i="12" s="1"/>
  <c r="J133" i="16"/>
  <c r="J69" i="23"/>
  <c r="J70" i="23" s="1"/>
  <c r="Q79" i="21"/>
  <c r="P294" i="24"/>
  <c r="P300" i="24"/>
  <c r="P223" i="24"/>
  <c r="P218" i="24"/>
  <c r="J201" i="12"/>
  <c r="N300" i="23"/>
  <c r="N223" i="23"/>
  <c r="N294" i="23"/>
  <c r="N218" i="23"/>
  <c r="J51" i="23"/>
  <c r="J36" i="23"/>
  <c r="M300" i="22"/>
  <c r="M218" i="22"/>
  <c r="M223" i="22"/>
  <c r="M294" i="22"/>
  <c r="J36" i="22"/>
  <c r="J51" i="22"/>
  <c r="N300" i="21"/>
  <c r="N223" i="21"/>
  <c r="N294" i="21"/>
  <c r="N218" i="21"/>
  <c r="J209" i="23"/>
  <c r="P79" i="21"/>
  <c r="O300" i="12"/>
  <c r="O218" i="12"/>
  <c r="O223" i="12"/>
  <c r="O294" i="12"/>
  <c r="J51" i="12"/>
  <c r="J36" i="12"/>
  <c r="N300" i="24"/>
  <c r="N294" i="24"/>
  <c r="N218" i="24"/>
  <c r="N223" i="24"/>
  <c r="J306" i="22"/>
  <c r="J319" i="22"/>
  <c r="Q218" i="22"/>
  <c r="Q223" i="22"/>
  <c r="Q300" i="22"/>
  <c r="Q294" i="22"/>
  <c r="J205" i="24"/>
  <c r="Q223" i="24"/>
  <c r="Q218" i="24"/>
  <c r="Q300" i="24"/>
  <c r="Q294" i="24"/>
  <c r="O79" i="21"/>
  <c r="M223" i="21"/>
  <c r="M294" i="21"/>
  <c r="M300" i="21"/>
  <c r="M218" i="21"/>
  <c r="P300" i="12"/>
  <c r="P218" i="12"/>
  <c r="P223" i="12"/>
  <c r="P294" i="12"/>
  <c r="J2" i="20"/>
  <c r="J2" i="24"/>
  <c r="J2" i="9"/>
  <c r="J2" i="23"/>
  <c r="J2" i="12"/>
  <c r="J2" i="22"/>
  <c r="J3" i="7"/>
  <c r="J84" i="8"/>
  <c r="J2" i="21"/>
  <c r="J33" i="8"/>
  <c r="J2" i="16"/>
  <c r="J49" i="8"/>
  <c r="J39" i="8"/>
  <c r="J40" i="8" s="1"/>
  <c r="J2" i="8"/>
  <c r="J25" i="8"/>
  <c r="J27" i="8" s="1"/>
  <c r="M79" i="21"/>
  <c r="J156" i="23"/>
  <c r="J184" i="23"/>
  <c r="J143" i="23"/>
  <c r="J305" i="23"/>
  <c r="M223" i="24"/>
  <c r="M294" i="24"/>
  <c r="M218" i="24"/>
  <c r="M300" i="24"/>
  <c r="K79" i="21"/>
  <c r="N294" i="22"/>
  <c r="N223" i="22"/>
  <c r="N218" i="22"/>
  <c r="N300" i="22"/>
  <c r="J319" i="24"/>
  <c r="J306" i="24"/>
  <c r="O300" i="22"/>
  <c r="O223" i="22"/>
  <c r="O294" i="22"/>
  <c r="O218" i="22"/>
  <c r="N79" i="21"/>
  <c r="J306" i="21"/>
  <c r="J319" i="21"/>
  <c r="J205" i="21"/>
  <c r="P223" i="23"/>
  <c r="P218" i="23"/>
  <c r="P300" i="23"/>
  <c r="P294" i="23"/>
  <c r="J156" i="21"/>
  <c r="J143" i="21"/>
  <c r="J184" i="21"/>
  <c r="Q223" i="23"/>
  <c r="Q218" i="23"/>
  <c r="Q294" i="23"/>
  <c r="Q300" i="23"/>
  <c r="J305" i="24"/>
  <c r="J209" i="12"/>
  <c r="J306" i="23"/>
  <c r="J319" i="23"/>
  <c r="J156" i="22"/>
  <c r="J143" i="22"/>
  <c r="J184" i="22"/>
  <c r="L79" i="21"/>
  <c r="J205" i="12"/>
  <c r="R197" i="12"/>
  <c r="R208" i="12" s="1"/>
  <c r="R195" i="12"/>
  <c r="R200" i="12" s="1"/>
  <c r="R196" i="12"/>
  <c r="R204" i="12" s="1"/>
  <c r="K26" i="8" l="1"/>
  <c r="K2" i="7"/>
  <c r="J307" i="24"/>
  <c r="J74" i="12"/>
  <c r="J75" i="12" s="1"/>
  <c r="J87" i="12"/>
  <c r="J92" i="12" s="1"/>
  <c r="J222" i="21"/>
  <c r="J224" i="21" s="1"/>
  <c r="J222" i="24"/>
  <c r="J224" i="24" s="1"/>
  <c r="J87" i="21"/>
  <c r="J92" i="21" s="1"/>
  <c r="J74" i="21"/>
  <c r="J75" i="21" s="1"/>
  <c r="J84" i="24"/>
  <c r="J139" i="24"/>
  <c r="J144" i="24" s="1"/>
  <c r="J17" i="24"/>
  <c r="J19" i="24" s="1"/>
  <c r="J80" i="23"/>
  <c r="J32" i="24"/>
  <c r="J37" i="24" s="1"/>
  <c r="J84" i="23"/>
  <c r="J17" i="22"/>
  <c r="J19" i="22" s="1"/>
  <c r="J32" i="23"/>
  <c r="J37" i="23" s="1"/>
  <c r="J256" i="24"/>
  <c r="J261" i="24" s="1"/>
  <c r="J139" i="22"/>
  <c r="J144" i="22" s="1"/>
  <c r="J256" i="22"/>
  <c r="J261" i="22" s="1"/>
  <c r="J32" i="22"/>
  <c r="J37" i="22" s="1"/>
  <c r="J139" i="12"/>
  <c r="J144" i="12" s="1"/>
  <c r="J256" i="23"/>
  <c r="J261" i="23" s="1"/>
  <c r="J17" i="23"/>
  <c r="J19" i="23" s="1"/>
  <c r="J84" i="22"/>
  <c r="J84" i="21"/>
  <c r="J80" i="24"/>
  <c r="J84" i="12"/>
  <c r="J32" i="12"/>
  <c r="J37" i="12" s="1"/>
  <c r="J256" i="21"/>
  <c r="J261" i="21" s="1"/>
  <c r="J80" i="22"/>
  <c r="J80" i="12"/>
  <c r="J17" i="21"/>
  <c r="J19" i="21" s="1"/>
  <c r="J32" i="21"/>
  <c r="J37" i="21" s="1"/>
  <c r="J139" i="21"/>
  <c r="J144" i="21" s="1"/>
  <c r="J80" i="21"/>
  <c r="J17" i="12"/>
  <c r="J19" i="12" s="1"/>
  <c r="J256" i="12"/>
  <c r="J261" i="12" s="1"/>
  <c r="J139" i="23"/>
  <c r="J144" i="23" s="1"/>
  <c r="J50" i="8"/>
  <c r="L22" i="8"/>
  <c r="J307" i="21"/>
  <c r="K2" i="20"/>
  <c r="K2" i="9"/>
  <c r="K2" i="24"/>
  <c r="K2" i="23"/>
  <c r="K2" i="12"/>
  <c r="K2" i="22"/>
  <c r="K2" i="21"/>
  <c r="K33" i="8"/>
  <c r="K84" i="8"/>
  <c r="K86" i="8" s="1"/>
  <c r="K49" i="8"/>
  <c r="K50" i="8" s="1"/>
  <c r="K3" i="7"/>
  <c r="K2" i="8"/>
  <c r="K25" i="8"/>
  <c r="K2" i="16"/>
  <c r="K39" i="8"/>
  <c r="K40" i="8" s="1"/>
  <c r="J74" i="22"/>
  <c r="J75" i="22" s="1"/>
  <c r="J87" i="22"/>
  <c r="J92" i="22" s="1"/>
  <c r="J227" i="24"/>
  <c r="J313" i="24"/>
  <c r="J322" i="24" s="1"/>
  <c r="J227" i="21"/>
  <c r="J313" i="21"/>
  <c r="J322" i="21" s="1"/>
  <c r="J74" i="24"/>
  <c r="J75" i="24" s="1"/>
  <c r="J87" i="24"/>
  <c r="J92" i="24" s="1"/>
  <c r="J34" i="8"/>
  <c r="J35" i="8"/>
  <c r="J307" i="23"/>
  <c r="J217" i="12"/>
  <c r="J219" i="12" s="1"/>
  <c r="N6" i="20"/>
  <c r="N5" i="9"/>
  <c r="N6" i="24"/>
  <c r="N6" i="23"/>
  <c r="N6" i="8"/>
  <c r="N6" i="21"/>
  <c r="N6" i="16"/>
  <c r="N14" i="8"/>
  <c r="N15" i="8" s="1"/>
  <c r="N6" i="12"/>
  <c r="O11" i="8"/>
  <c r="N6" i="22"/>
  <c r="N6" i="7"/>
  <c r="J313" i="22"/>
  <c r="J322" i="22" s="1"/>
  <c r="J227" i="22"/>
  <c r="M85" i="8"/>
  <c r="M21" i="8"/>
  <c r="J227" i="23"/>
  <c r="J313" i="23"/>
  <c r="J322" i="23" s="1"/>
  <c r="J222" i="12"/>
  <c r="J224" i="12" s="1"/>
  <c r="J314" i="23"/>
  <c r="J323" i="23" s="1"/>
  <c r="J228" i="23"/>
  <c r="J314" i="22"/>
  <c r="J323" i="22" s="1"/>
  <c r="J228" i="22"/>
  <c r="J74" i="23"/>
  <c r="J75" i="23" s="1"/>
  <c r="J87" i="23"/>
  <c r="J92" i="23" s="1"/>
  <c r="J307" i="22"/>
  <c r="K27" i="8" l="1"/>
  <c r="K102" i="24"/>
  <c r="K102" i="23"/>
  <c r="K102" i="22"/>
  <c r="K102" i="12"/>
  <c r="K102" i="21"/>
  <c r="K64" i="8"/>
  <c r="K53" i="8"/>
  <c r="L23" i="8"/>
  <c r="M22" i="8" s="1"/>
  <c r="L26" i="8"/>
  <c r="L2" i="7"/>
  <c r="K141" i="12"/>
  <c r="J148" i="12"/>
  <c r="J149" i="12" s="1"/>
  <c r="J153" i="12" s="1"/>
  <c r="J154" i="12" s="1"/>
  <c r="J107" i="23"/>
  <c r="J88" i="23"/>
  <c r="J89" i="23" s="1"/>
  <c r="J229" i="22"/>
  <c r="J41" i="22"/>
  <c r="J42" i="22" s="1"/>
  <c r="J47" i="22" s="1"/>
  <c r="J48" i="22" s="1"/>
  <c r="J52" i="22" s="1"/>
  <c r="J53" i="22" s="1"/>
  <c r="J170" i="22"/>
  <c r="K34" i="22"/>
  <c r="K34" i="24"/>
  <c r="J170" i="24"/>
  <c r="J41" i="24"/>
  <c r="J42" i="24" s="1"/>
  <c r="J47" i="24" s="1"/>
  <c r="J48" i="24" s="1"/>
  <c r="J52" i="24" s="1"/>
  <c r="J53" i="24" s="1"/>
  <c r="J28" i="20"/>
  <c r="N85" i="8"/>
  <c r="N21" i="8"/>
  <c r="J148" i="21"/>
  <c r="J149" i="21" s="1"/>
  <c r="J153" i="21" s="1"/>
  <c r="J154" i="21" s="1"/>
  <c r="K141" i="21"/>
  <c r="J265" i="22"/>
  <c r="J266" i="22" s="1"/>
  <c r="J270" i="22" s="1"/>
  <c r="J271" i="22" s="1"/>
  <c r="K258" i="22"/>
  <c r="J265" i="24"/>
  <c r="J266" i="24" s="1"/>
  <c r="J270" i="24" s="1"/>
  <c r="J271" i="24" s="1"/>
  <c r="K258" i="24"/>
  <c r="K258" i="12"/>
  <c r="J265" i="12"/>
  <c r="J266" i="12" s="1"/>
  <c r="J270" i="12" s="1"/>
  <c r="J271" i="12" s="1"/>
  <c r="J107" i="24"/>
  <c r="J88" i="24"/>
  <c r="J89" i="24" s="1"/>
  <c r="K34" i="12"/>
  <c r="J170" i="12"/>
  <c r="J41" i="12"/>
  <c r="J42" i="12" s="1"/>
  <c r="J47" i="12" s="1"/>
  <c r="J48" i="12" s="1"/>
  <c r="J52" i="12" s="1"/>
  <c r="J53" i="12" s="1"/>
  <c r="K141" i="22"/>
  <c r="J148" i="22"/>
  <c r="J149" i="22" s="1"/>
  <c r="J153" i="22" s="1"/>
  <c r="J154" i="22" s="1"/>
  <c r="J22" i="20"/>
  <c r="J41" i="23"/>
  <c r="J42" i="23" s="1"/>
  <c r="J47" i="23" s="1"/>
  <c r="J48" i="23" s="1"/>
  <c r="J52" i="23" s="1"/>
  <c r="J53" i="23" s="1"/>
  <c r="J170" i="23"/>
  <c r="K34" i="23"/>
  <c r="J57" i="8"/>
  <c r="J59" i="8" s="1"/>
  <c r="J45" i="8"/>
  <c r="K46" i="8" s="1"/>
  <c r="J27" i="20"/>
  <c r="J9" i="20"/>
  <c r="J314" i="24"/>
  <c r="J323" i="24" s="1"/>
  <c r="J228" i="24"/>
  <c r="J229" i="24" s="1"/>
  <c r="J21" i="20"/>
  <c r="K141" i="23"/>
  <c r="J148" i="23"/>
  <c r="J149" i="23" s="1"/>
  <c r="J153" i="23" s="1"/>
  <c r="J154" i="23" s="1"/>
  <c r="J313" i="12"/>
  <c r="J322" i="12" s="1"/>
  <c r="J227" i="12"/>
  <c r="K4" i="20"/>
  <c r="K4" i="9"/>
  <c r="K4" i="24"/>
  <c r="K4" i="23"/>
  <c r="K4" i="22"/>
  <c r="K4" i="12"/>
  <c r="K4" i="8"/>
  <c r="K5" i="7"/>
  <c r="K4" i="16"/>
  <c r="K4" i="21"/>
  <c r="J314" i="21"/>
  <c r="J323" i="21" s="1"/>
  <c r="J228" i="21"/>
  <c r="J229" i="21" s="1"/>
  <c r="J229" i="23"/>
  <c r="K35" i="8"/>
  <c r="K57" i="8" s="1"/>
  <c r="K59" i="8" s="1"/>
  <c r="K34" i="8"/>
  <c r="K45" i="8" s="1"/>
  <c r="L46" i="8" s="1"/>
  <c r="K139" i="24"/>
  <c r="K84" i="24"/>
  <c r="K256" i="24"/>
  <c r="K256" i="22"/>
  <c r="K32" i="24"/>
  <c r="K256" i="23"/>
  <c r="K139" i="23"/>
  <c r="K80" i="24"/>
  <c r="K84" i="23"/>
  <c r="K17" i="24"/>
  <c r="K19" i="24" s="1"/>
  <c r="K139" i="22"/>
  <c r="K80" i="23"/>
  <c r="K32" i="23"/>
  <c r="K17" i="22"/>
  <c r="K19" i="22" s="1"/>
  <c r="K84" i="12"/>
  <c r="K17" i="23"/>
  <c r="K19" i="23" s="1"/>
  <c r="K84" i="22"/>
  <c r="K32" i="12"/>
  <c r="K17" i="12"/>
  <c r="K19" i="12" s="1"/>
  <c r="K256" i="21"/>
  <c r="K256" i="12"/>
  <c r="K80" i="12"/>
  <c r="K17" i="21"/>
  <c r="K19" i="21" s="1"/>
  <c r="K80" i="22"/>
  <c r="K84" i="21"/>
  <c r="K139" i="21"/>
  <c r="K32" i="22"/>
  <c r="K80" i="21"/>
  <c r="K32" i="21"/>
  <c r="K139" i="12"/>
  <c r="O6" i="20"/>
  <c r="O6" i="24"/>
  <c r="O5" i="9"/>
  <c r="O6" i="7"/>
  <c r="O6" i="22"/>
  <c r="O6" i="21"/>
  <c r="O6" i="23"/>
  <c r="O6" i="12"/>
  <c r="O6" i="16"/>
  <c r="O14" i="8"/>
  <c r="O15" i="8" s="1"/>
  <c r="O6" i="8"/>
  <c r="P11" i="8"/>
  <c r="J265" i="21"/>
  <c r="J266" i="21" s="1"/>
  <c r="J270" i="21" s="1"/>
  <c r="J271" i="21" s="1"/>
  <c r="K258" i="21"/>
  <c r="J107" i="12"/>
  <c r="J88" i="12"/>
  <c r="J89" i="12" s="1"/>
  <c r="J102" i="24"/>
  <c r="J102" i="23"/>
  <c r="J102" i="22"/>
  <c r="J53" i="8"/>
  <c r="J102" i="12"/>
  <c r="J102" i="21"/>
  <c r="J64" i="8"/>
  <c r="J88" i="22"/>
  <c r="J89" i="22" s="1"/>
  <c r="J107" i="22"/>
  <c r="J41" i="21"/>
  <c r="J42" i="21" s="1"/>
  <c r="J47" i="21" s="1"/>
  <c r="J48" i="21" s="1"/>
  <c r="J52" i="21" s="1"/>
  <c r="J53" i="21" s="1"/>
  <c r="K34" i="21"/>
  <c r="J170" i="21"/>
  <c r="J314" i="12"/>
  <c r="J323" i="12" s="1"/>
  <c r="J228" i="12"/>
  <c r="J148" i="24"/>
  <c r="J149" i="24" s="1"/>
  <c r="J153" i="24" s="1"/>
  <c r="J154" i="24" s="1"/>
  <c r="K141" i="24"/>
  <c r="J107" i="21"/>
  <c r="J88" i="21"/>
  <c r="J89" i="21" s="1"/>
  <c r="J33" i="20"/>
  <c r="J265" i="23"/>
  <c r="J266" i="23" s="1"/>
  <c r="J270" i="23" s="1"/>
  <c r="J271" i="23" s="1"/>
  <c r="K258" i="23"/>
  <c r="J171" i="23" l="1"/>
  <c r="J103" i="23"/>
  <c r="J104" i="23" s="1"/>
  <c r="J93" i="23"/>
  <c r="J94" i="23" s="1"/>
  <c r="J99" i="23" s="1"/>
  <c r="J100" i="23" s="1"/>
  <c r="J108" i="23" s="1"/>
  <c r="J188" i="23" s="1"/>
  <c r="K86" i="23"/>
  <c r="J171" i="12"/>
  <c r="J93" i="12"/>
  <c r="J94" i="12" s="1"/>
  <c r="J99" i="12" s="1"/>
  <c r="J100" i="12" s="1"/>
  <c r="J108" i="12" s="1"/>
  <c r="J188" i="12" s="1"/>
  <c r="K86" i="12"/>
  <c r="J103" i="12"/>
  <c r="J104" i="12" s="1"/>
  <c r="M23" i="8"/>
  <c r="N22" i="8" s="1"/>
  <c r="M26" i="8"/>
  <c r="M2" i="7"/>
  <c r="J103" i="21"/>
  <c r="J104" i="21" s="1"/>
  <c r="J93" i="21"/>
  <c r="J94" i="21" s="1"/>
  <c r="J99" i="21" s="1"/>
  <c r="J100" i="21" s="1"/>
  <c r="J108" i="21" s="1"/>
  <c r="J188" i="21" s="1"/>
  <c r="J171" i="21"/>
  <c r="K86" i="21"/>
  <c r="J274" i="23"/>
  <c r="J275" i="23" s="1"/>
  <c r="J280" i="23"/>
  <c r="J179" i="24"/>
  <c r="J180" i="24" s="1"/>
  <c r="J32" i="20" s="1"/>
  <c r="J179" i="23"/>
  <c r="J180" i="23" s="1"/>
  <c r="J26" i="20" s="1"/>
  <c r="J179" i="22"/>
  <c r="J180" i="22" s="1"/>
  <c r="J20" i="20" s="1"/>
  <c r="J179" i="12"/>
  <c r="J180" i="12" s="1"/>
  <c r="J14" i="20" s="1"/>
  <c r="J179" i="21"/>
  <c r="J180" i="21" s="1"/>
  <c r="J8" i="20" s="1"/>
  <c r="K65" i="8"/>
  <c r="J187" i="24"/>
  <c r="K86" i="24"/>
  <c r="J93" i="24"/>
  <c r="J94" i="24" s="1"/>
  <c r="J99" i="24" s="1"/>
  <c r="J100" i="24" s="1"/>
  <c r="J108" i="24" s="1"/>
  <c r="J188" i="24" s="1"/>
  <c r="J103" i="24"/>
  <c r="J104" i="24" s="1"/>
  <c r="J171" i="24"/>
  <c r="K27" i="22"/>
  <c r="K22" i="22"/>
  <c r="K263" i="24"/>
  <c r="K242" i="24"/>
  <c r="K247" i="24"/>
  <c r="J109" i="12"/>
  <c r="J187" i="12"/>
  <c r="J3" i="24"/>
  <c r="J3" i="20"/>
  <c r="J3" i="9"/>
  <c r="J3" i="23"/>
  <c r="J3" i="22"/>
  <c r="J3" i="21"/>
  <c r="J3" i="16"/>
  <c r="J3" i="12"/>
  <c r="J3" i="8"/>
  <c r="J4" i="7"/>
  <c r="J274" i="22"/>
  <c r="J275" i="22" s="1"/>
  <c r="J280" i="22"/>
  <c r="K129" i="12"/>
  <c r="K146" i="12"/>
  <c r="K134" i="12"/>
  <c r="J274" i="24"/>
  <c r="J275" i="24" s="1"/>
  <c r="J280" i="24"/>
  <c r="K263" i="21"/>
  <c r="K242" i="21"/>
  <c r="K247" i="21"/>
  <c r="J187" i="23"/>
  <c r="K93" i="16"/>
  <c r="K94" i="16" s="1"/>
  <c r="K119" i="16" s="1"/>
  <c r="K52" i="16"/>
  <c r="K53" i="16" s="1"/>
  <c r="K56" i="16" s="1"/>
  <c r="K29" i="16"/>
  <c r="K30" i="16" s="1"/>
  <c r="K55" i="16" s="1"/>
  <c r="K57" i="16" s="1"/>
  <c r="K60" i="16" s="1"/>
  <c r="K116" i="16"/>
  <c r="K117" i="16" s="1"/>
  <c r="K120" i="16" s="1"/>
  <c r="K126" i="16"/>
  <c r="K62" i="16"/>
  <c r="K52" i="8"/>
  <c r="K54" i="8" s="1"/>
  <c r="K263" i="22"/>
  <c r="K242" i="22"/>
  <c r="K247" i="22"/>
  <c r="J185" i="12"/>
  <c r="J157" i="12"/>
  <c r="J158" i="12" s="1"/>
  <c r="J187" i="21"/>
  <c r="K134" i="24"/>
  <c r="K146" i="24"/>
  <c r="K129" i="24"/>
  <c r="J280" i="21"/>
  <c r="J274" i="21"/>
  <c r="J275" i="21" s="1"/>
  <c r="J229" i="12"/>
  <c r="K146" i="21"/>
  <c r="K134" i="21"/>
  <c r="K129" i="21"/>
  <c r="J61" i="22"/>
  <c r="J115" i="22" s="1"/>
  <c r="J315" i="22"/>
  <c r="J324" i="22" s="1"/>
  <c r="O85" i="8"/>
  <c r="O21" i="8"/>
  <c r="K179" i="22"/>
  <c r="K179" i="24"/>
  <c r="K179" i="23"/>
  <c r="K179" i="21"/>
  <c r="L65" i="8"/>
  <c r="L67" i="8" s="1"/>
  <c r="K179" i="12"/>
  <c r="J171" i="22"/>
  <c r="J93" i="22"/>
  <c r="J94" i="22" s="1"/>
  <c r="J99" i="22" s="1"/>
  <c r="J100" i="22" s="1"/>
  <c r="J108" i="22" s="1"/>
  <c r="J188" i="22" s="1"/>
  <c r="K86" i="22"/>
  <c r="J103" i="22"/>
  <c r="J104" i="22" s="1"/>
  <c r="K27" i="21"/>
  <c r="K22" i="21"/>
  <c r="J315" i="21"/>
  <c r="J324" i="21" s="1"/>
  <c r="J185" i="22"/>
  <c r="J157" i="22"/>
  <c r="J158" i="22" s="1"/>
  <c r="K247" i="12"/>
  <c r="K242" i="12"/>
  <c r="K263" i="12"/>
  <c r="J185" i="24"/>
  <c r="J157" i="24"/>
  <c r="J158" i="24" s="1"/>
  <c r="L2" i="20"/>
  <c r="L2" i="24"/>
  <c r="L2" i="9"/>
  <c r="L2" i="23"/>
  <c r="L2" i="22"/>
  <c r="L2" i="16"/>
  <c r="L2" i="12"/>
  <c r="L39" i="8"/>
  <c r="L40" i="8" s="1"/>
  <c r="L2" i="8"/>
  <c r="L2" i="21"/>
  <c r="L33" i="8"/>
  <c r="L84" i="8"/>
  <c r="L86" i="8" s="1"/>
  <c r="L25" i="8"/>
  <c r="L27" i="8" s="1"/>
  <c r="L3" i="7"/>
  <c r="L49" i="8"/>
  <c r="P6" i="20"/>
  <c r="P5" i="9"/>
  <c r="P6" i="24"/>
  <c r="P6" i="23"/>
  <c r="P6" i="22"/>
  <c r="P6" i="21"/>
  <c r="P6" i="12"/>
  <c r="Q11" i="8"/>
  <c r="P14" i="8"/>
  <c r="P15" i="8" s="1"/>
  <c r="P6" i="7"/>
  <c r="P6" i="16"/>
  <c r="P6" i="8"/>
  <c r="J61" i="23"/>
  <c r="J115" i="23" s="1"/>
  <c r="K3" i="9"/>
  <c r="K3" i="20"/>
  <c r="K3" i="24"/>
  <c r="K3" i="23"/>
  <c r="K3" i="22"/>
  <c r="K3" i="8"/>
  <c r="K3" i="12"/>
  <c r="K3" i="16"/>
  <c r="K4" i="7"/>
  <c r="K3" i="21"/>
  <c r="K129" i="23"/>
  <c r="K146" i="23"/>
  <c r="K134" i="23"/>
  <c r="J61" i="12"/>
  <c r="J115" i="12" s="1"/>
  <c r="J185" i="21"/>
  <c r="J157" i="21"/>
  <c r="J158" i="21" s="1"/>
  <c r="J34" i="20"/>
  <c r="J61" i="24"/>
  <c r="J115" i="24" s="1"/>
  <c r="J274" i="12"/>
  <c r="J275" i="12" s="1"/>
  <c r="J280" i="12"/>
  <c r="J15" i="20"/>
  <c r="J185" i="23"/>
  <c r="J157" i="23"/>
  <c r="J158" i="23" s="1"/>
  <c r="K27" i="12"/>
  <c r="K22" i="12"/>
  <c r="K27" i="23"/>
  <c r="K22" i="23"/>
  <c r="J315" i="24"/>
  <c r="J324" i="24" s="1"/>
  <c r="L62" i="16"/>
  <c r="L29" i="16"/>
  <c r="L30" i="16" s="1"/>
  <c r="L55" i="16" s="1"/>
  <c r="L116" i="16"/>
  <c r="L117" i="16" s="1"/>
  <c r="L120" i="16" s="1"/>
  <c r="L52" i="8"/>
  <c r="L52" i="16"/>
  <c r="L53" i="16" s="1"/>
  <c r="L56" i="16" s="1"/>
  <c r="L126" i="16"/>
  <c r="L93" i="16"/>
  <c r="L94" i="16" s="1"/>
  <c r="L119" i="16" s="1"/>
  <c r="L121" i="16" s="1"/>
  <c r="L124" i="16" s="1"/>
  <c r="L127" i="16" s="1"/>
  <c r="L129" i="16" s="1"/>
  <c r="L131" i="16" s="1"/>
  <c r="J16" i="20"/>
  <c r="J61" i="21"/>
  <c r="J115" i="21" s="1"/>
  <c r="J315" i="23"/>
  <c r="J324" i="23" s="1"/>
  <c r="K129" i="22"/>
  <c r="K146" i="22"/>
  <c r="K134" i="22"/>
  <c r="J187" i="22"/>
  <c r="J109" i="22"/>
  <c r="J10" i="20"/>
  <c r="K247" i="23"/>
  <c r="K263" i="23"/>
  <c r="K242" i="23"/>
  <c r="K22" i="24"/>
  <c r="K27" i="24"/>
  <c r="L57" i="16" l="1"/>
  <c r="L60" i="16" s="1"/>
  <c r="L63" i="16" s="1"/>
  <c r="L65" i="16" s="1"/>
  <c r="L67" i="16" s="1"/>
  <c r="L69" i="16" s="1"/>
  <c r="L71" i="16" s="1"/>
  <c r="K63" i="16"/>
  <c r="K65" i="16" s="1"/>
  <c r="K67" i="16" s="1"/>
  <c r="K69" i="16" s="1"/>
  <c r="K71" i="16" s="1"/>
  <c r="K126" i="21" s="1"/>
  <c r="K127" i="21" s="1"/>
  <c r="K130" i="21" s="1"/>
  <c r="K131" i="21" s="1"/>
  <c r="J109" i="21"/>
  <c r="J189" i="21" s="1"/>
  <c r="J160" i="21"/>
  <c r="J186" i="21"/>
  <c r="P85" i="8"/>
  <c r="P21" i="8"/>
  <c r="Q5" i="9"/>
  <c r="Q6" i="24"/>
  <c r="Q6" i="22"/>
  <c r="Q6" i="23"/>
  <c r="Q6" i="20"/>
  <c r="Q6" i="12"/>
  <c r="R11" i="8"/>
  <c r="F12" i="8" s="1"/>
  <c r="F74" i="8" s="1"/>
  <c r="Q6" i="7"/>
  <c r="Q6" i="16"/>
  <c r="Q6" i="8"/>
  <c r="Q6" i="21"/>
  <c r="Q14" i="8"/>
  <c r="Q15" i="8" s="1"/>
  <c r="K39" i="23"/>
  <c r="J161" i="22"/>
  <c r="J189" i="22"/>
  <c r="J116" i="22"/>
  <c r="K39" i="12"/>
  <c r="J281" i="24"/>
  <c r="K152" i="24"/>
  <c r="K98" i="24"/>
  <c r="K269" i="23"/>
  <c r="K152" i="23"/>
  <c r="K98" i="22"/>
  <c r="K269" i="24"/>
  <c r="K46" i="24"/>
  <c r="K46" i="22"/>
  <c r="K152" i="12"/>
  <c r="K46" i="23"/>
  <c r="K152" i="22"/>
  <c r="K98" i="23"/>
  <c r="K98" i="12"/>
  <c r="K269" i="22"/>
  <c r="K269" i="12"/>
  <c r="K46" i="21"/>
  <c r="K269" i="21"/>
  <c r="K46" i="12"/>
  <c r="K152" i="21"/>
  <c r="K98" i="21"/>
  <c r="K58" i="8"/>
  <c r="J23" i="20"/>
  <c r="M2" i="20"/>
  <c r="M2" i="9"/>
  <c r="M2" i="24"/>
  <c r="M2" i="23"/>
  <c r="M2" i="22"/>
  <c r="M2" i="12"/>
  <c r="M39" i="8"/>
  <c r="M40" i="8" s="1"/>
  <c r="M3" i="7"/>
  <c r="M2" i="8"/>
  <c r="M84" i="8"/>
  <c r="M86" i="8" s="1"/>
  <c r="M33" i="8"/>
  <c r="M2" i="21"/>
  <c r="M25" i="8"/>
  <c r="M27" i="8" s="1"/>
  <c r="M2" i="16"/>
  <c r="M49" i="8"/>
  <c r="M50" i="8" s="1"/>
  <c r="K73" i="21"/>
  <c r="K68" i="21"/>
  <c r="K91" i="21"/>
  <c r="J186" i="23"/>
  <c r="J160" i="23"/>
  <c r="K39" i="22"/>
  <c r="K14" i="24"/>
  <c r="K15" i="24" s="1"/>
  <c r="K23" i="24" s="1"/>
  <c r="K24" i="24" s="1"/>
  <c r="K39" i="21"/>
  <c r="J281" i="12"/>
  <c r="N26" i="8"/>
  <c r="N2" i="7"/>
  <c r="N23" i="8"/>
  <c r="O22" i="8" s="1"/>
  <c r="K121" i="16"/>
  <c r="K124" i="16" s="1"/>
  <c r="K127" i="16" s="1"/>
  <c r="K129" i="16" s="1"/>
  <c r="K131" i="16" s="1"/>
  <c r="K73" i="24"/>
  <c r="K68" i="24"/>
  <c r="K91" i="24"/>
  <c r="J11" i="20"/>
  <c r="L80" i="24"/>
  <c r="L84" i="24"/>
  <c r="L89" i="24" s="1"/>
  <c r="L32" i="24"/>
  <c r="L37" i="24" s="1"/>
  <c r="L256" i="24"/>
  <c r="L261" i="24" s="1"/>
  <c r="L17" i="24"/>
  <c r="L19" i="24" s="1"/>
  <c r="L256" i="23"/>
  <c r="L261" i="23" s="1"/>
  <c r="L139" i="23"/>
  <c r="L144" i="23" s="1"/>
  <c r="L17" i="23"/>
  <c r="L19" i="23" s="1"/>
  <c r="L139" i="24"/>
  <c r="L144" i="24" s="1"/>
  <c r="L84" i="23"/>
  <c r="L139" i="22"/>
  <c r="L144" i="22" s="1"/>
  <c r="L32" i="23"/>
  <c r="L37" i="23" s="1"/>
  <c r="L256" i="22"/>
  <c r="L261" i="22" s="1"/>
  <c r="L32" i="22"/>
  <c r="L37" i="22" s="1"/>
  <c r="L80" i="12"/>
  <c r="L17" i="22"/>
  <c r="L19" i="22" s="1"/>
  <c r="L32" i="12"/>
  <c r="L37" i="12" s="1"/>
  <c r="L80" i="23"/>
  <c r="L84" i="22"/>
  <c r="L84" i="12"/>
  <c r="L17" i="12"/>
  <c r="L19" i="12" s="1"/>
  <c r="L17" i="21"/>
  <c r="L19" i="21" s="1"/>
  <c r="L139" i="12"/>
  <c r="L144" i="12" s="1"/>
  <c r="L256" i="12"/>
  <c r="L261" i="12" s="1"/>
  <c r="L80" i="22"/>
  <c r="L256" i="21"/>
  <c r="L261" i="21" s="1"/>
  <c r="L139" i="21"/>
  <c r="L144" i="21" s="1"/>
  <c r="L32" i="21"/>
  <c r="L37" i="21" s="1"/>
  <c r="L84" i="21"/>
  <c r="L80" i="21"/>
  <c r="J109" i="24"/>
  <c r="K91" i="23"/>
  <c r="K68" i="23"/>
  <c r="K73" i="23"/>
  <c r="J186" i="24"/>
  <c r="J160" i="24"/>
  <c r="L34" i="8"/>
  <c r="L35" i="8"/>
  <c r="J281" i="22"/>
  <c r="J315" i="12"/>
  <c r="J324" i="12" s="1"/>
  <c r="J109" i="23"/>
  <c r="K67" i="8"/>
  <c r="K68" i="8" s="1"/>
  <c r="K39" i="24"/>
  <c r="J35" i="20"/>
  <c r="J186" i="12"/>
  <c r="J160" i="12"/>
  <c r="J281" i="23"/>
  <c r="J189" i="12"/>
  <c r="J116" i="12"/>
  <c r="J161" i="12"/>
  <c r="L50" i="8"/>
  <c r="J281" i="21"/>
  <c r="L54" i="8"/>
  <c r="J186" i="22"/>
  <c r="J160" i="22"/>
  <c r="J29" i="20"/>
  <c r="L4" i="9"/>
  <c r="L4" i="20"/>
  <c r="L4" i="24"/>
  <c r="L4" i="22"/>
  <c r="L4" i="23"/>
  <c r="L4" i="21"/>
  <c r="L4" i="8"/>
  <c r="L5" i="7"/>
  <c r="L4" i="16"/>
  <c r="L4" i="12"/>
  <c r="K68" i="12"/>
  <c r="K91" i="12"/>
  <c r="K73" i="12"/>
  <c r="L69" i="24"/>
  <c r="L69" i="23"/>
  <c r="L69" i="22"/>
  <c r="L133" i="16"/>
  <c r="L135" i="16" s="1"/>
  <c r="L69" i="21"/>
  <c r="L69" i="12"/>
  <c r="K68" i="22"/>
  <c r="K91" i="22"/>
  <c r="K73" i="22"/>
  <c r="K239" i="24" l="1"/>
  <c r="K240" i="24" s="1"/>
  <c r="K243" i="24" s="1"/>
  <c r="K244" i="24" s="1"/>
  <c r="K264" i="24" s="1"/>
  <c r="J161" i="21"/>
  <c r="J162" i="21" s="1"/>
  <c r="K239" i="21"/>
  <c r="K240" i="21" s="1"/>
  <c r="K243" i="21" s="1"/>
  <c r="K244" i="21" s="1"/>
  <c r="K248" i="21" s="1"/>
  <c r="K249" i="21" s="1"/>
  <c r="K14" i="21"/>
  <c r="K15" i="21" s="1"/>
  <c r="K23" i="21" s="1"/>
  <c r="K24" i="21" s="1"/>
  <c r="K126" i="12"/>
  <c r="K127" i="12" s="1"/>
  <c r="K130" i="12" s="1"/>
  <c r="K131" i="12" s="1"/>
  <c r="K142" i="12" s="1"/>
  <c r="K239" i="22"/>
  <c r="K240" i="22" s="1"/>
  <c r="K243" i="22" s="1"/>
  <c r="K244" i="22" s="1"/>
  <c r="K248" i="22" s="1"/>
  <c r="K249" i="22" s="1"/>
  <c r="K14" i="12"/>
  <c r="K15" i="12" s="1"/>
  <c r="K23" i="12" s="1"/>
  <c r="K24" i="12" s="1"/>
  <c r="K28" i="12" s="1"/>
  <c r="K29" i="12" s="1"/>
  <c r="K239" i="12"/>
  <c r="K240" i="12" s="1"/>
  <c r="K243" i="12" s="1"/>
  <c r="K244" i="12" s="1"/>
  <c r="K264" i="12" s="1"/>
  <c r="K126" i="22"/>
  <c r="K127" i="22" s="1"/>
  <c r="K130" i="22" s="1"/>
  <c r="K131" i="22" s="1"/>
  <c r="K142" i="22" s="1"/>
  <c r="K14" i="23"/>
  <c r="K15" i="23" s="1"/>
  <c r="K23" i="23" s="1"/>
  <c r="K24" i="23" s="1"/>
  <c r="K28" i="23" s="1"/>
  <c r="K29" i="23" s="1"/>
  <c r="K14" i="22"/>
  <c r="K15" i="22" s="1"/>
  <c r="K23" i="22" s="1"/>
  <c r="K24" i="22" s="1"/>
  <c r="K28" i="22" s="1"/>
  <c r="K29" i="22" s="1"/>
  <c r="K239" i="23"/>
  <c r="K240" i="23" s="1"/>
  <c r="K243" i="23" s="1"/>
  <c r="K244" i="23" s="1"/>
  <c r="K259" i="23" s="1"/>
  <c r="K261" i="23" s="1"/>
  <c r="J116" i="21"/>
  <c r="K126" i="24"/>
  <c r="K127" i="24" s="1"/>
  <c r="K130" i="24" s="1"/>
  <c r="K131" i="24" s="1"/>
  <c r="K147" i="24" s="1"/>
  <c r="K126" i="23"/>
  <c r="K127" i="23" s="1"/>
  <c r="K130" i="23" s="1"/>
  <c r="K131" i="23" s="1"/>
  <c r="K142" i="23" s="1"/>
  <c r="K259" i="24"/>
  <c r="K261" i="24" s="1"/>
  <c r="K248" i="24"/>
  <c r="K249" i="24" s="1"/>
  <c r="K28" i="21"/>
  <c r="K29" i="21" s="1"/>
  <c r="K35" i="21"/>
  <c r="K40" i="21"/>
  <c r="O2" i="7"/>
  <c r="O23" i="8"/>
  <c r="P22" i="8" s="1"/>
  <c r="O26" i="8"/>
  <c r="K35" i="24"/>
  <c r="K40" i="24"/>
  <c r="K28" i="24"/>
  <c r="K29" i="24" s="1"/>
  <c r="L126" i="24"/>
  <c r="L127" i="24" s="1"/>
  <c r="L130" i="24" s="1"/>
  <c r="L239" i="24"/>
  <c r="L240" i="24" s="1"/>
  <c r="L243" i="24" s="1"/>
  <c r="L14" i="23"/>
  <c r="L15" i="23" s="1"/>
  <c r="L23" i="23" s="1"/>
  <c r="L239" i="23"/>
  <c r="L240" i="23" s="1"/>
  <c r="L243" i="23" s="1"/>
  <c r="L126" i="23"/>
  <c r="L127" i="23" s="1"/>
  <c r="L130" i="23" s="1"/>
  <c r="L239" i="12"/>
  <c r="L240" i="12" s="1"/>
  <c r="L243" i="12" s="1"/>
  <c r="L14" i="24"/>
  <c r="L15" i="24" s="1"/>
  <c r="L23" i="24" s="1"/>
  <c r="L239" i="22"/>
  <c r="L240" i="22" s="1"/>
  <c r="L243" i="22" s="1"/>
  <c r="L126" i="12"/>
  <c r="L127" i="12" s="1"/>
  <c r="L130" i="12" s="1"/>
  <c r="L126" i="22"/>
  <c r="L127" i="22" s="1"/>
  <c r="L130" i="22" s="1"/>
  <c r="L14" i="22"/>
  <c r="L15" i="22" s="1"/>
  <c r="L23" i="22" s="1"/>
  <c r="L14" i="12"/>
  <c r="L15" i="12" s="1"/>
  <c r="L23" i="12" s="1"/>
  <c r="L126" i="21"/>
  <c r="L127" i="21" s="1"/>
  <c r="L130" i="21" s="1"/>
  <c r="L239" i="21"/>
  <c r="L240" i="21" s="1"/>
  <c r="L243" i="21" s="1"/>
  <c r="L14" i="21"/>
  <c r="L15" i="21" s="1"/>
  <c r="L23" i="21" s="1"/>
  <c r="Q85" i="8"/>
  <c r="Q21" i="8"/>
  <c r="L148" i="22"/>
  <c r="M141" i="22"/>
  <c r="J116" i="24"/>
  <c r="J161" i="24"/>
  <c r="J162" i="24" s="1"/>
  <c r="J189" i="24"/>
  <c r="N2" i="9"/>
  <c r="N2" i="24"/>
  <c r="N2" i="20"/>
  <c r="N2" i="23"/>
  <c r="N2" i="22"/>
  <c r="N2" i="12"/>
  <c r="N39" i="8"/>
  <c r="N40" i="8" s="1"/>
  <c r="N3" i="7"/>
  <c r="N2" i="16"/>
  <c r="N2" i="21"/>
  <c r="N33" i="8"/>
  <c r="N25" i="8"/>
  <c r="N27" i="8" s="1"/>
  <c r="N84" i="8"/>
  <c r="N86" i="8" s="1"/>
  <c r="N49" i="8"/>
  <c r="N50" i="8" s="1"/>
  <c r="N2" i="8"/>
  <c r="J162" i="22"/>
  <c r="R5" i="9"/>
  <c r="R6" i="23"/>
  <c r="R6" i="24"/>
  <c r="R6" i="20"/>
  <c r="R6" i="22"/>
  <c r="R6" i="12"/>
  <c r="R6" i="21"/>
  <c r="R6" i="7"/>
  <c r="R6" i="16"/>
  <c r="R6" i="8"/>
  <c r="R14" i="8"/>
  <c r="R15" i="8" s="1"/>
  <c r="H15" i="8" s="1"/>
  <c r="L148" i="24"/>
  <c r="M141" i="24"/>
  <c r="M141" i="23"/>
  <c r="L148" i="23"/>
  <c r="M256" i="24"/>
  <c r="M17" i="24"/>
  <c r="M19" i="24" s="1"/>
  <c r="M84" i="24"/>
  <c r="M256" i="23"/>
  <c r="M139" i="23"/>
  <c r="M32" i="24"/>
  <c r="M139" i="24"/>
  <c r="M84" i="23"/>
  <c r="M80" i="22"/>
  <c r="M17" i="23"/>
  <c r="M19" i="23" s="1"/>
  <c r="M32" i="23"/>
  <c r="M139" i="22"/>
  <c r="M84" i="22"/>
  <c r="M256" i="21"/>
  <c r="M84" i="12"/>
  <c r="M256" i="22"/>
  <c r="M32" i="12"/>
  <c r="M17" i="12"/>
  <c r="M19" i="12" s="1"/>
  <c r="M17" i="21"/>
  <c r="M19" i="21" s="1"/>
  <c r="M80" i="24"/>
  <c r="M139" i="12"/>
  <c r="M256" i="12"/>
  <c r="M17" i="22"/>
  <c r="M19" i="22" s="1"/>
  <c r="M80" i="23"/>
  <c r="M84" i="21"/>
  <c r="M139" i="21"/>
  <c r="M80" i="12"/>
  <c r="M32" i="21"/>
  <c r="M32" i="22"/>
  <c r="M80" i="21"/>
  <c r="K147" i="12"/>
  <c r="K69" i="24"/>
  <c r="K70" i="24" s="1"/>
  <c r="K69" i="22"/>
  <c r="K70" i="22" s="1"/>
  <c r="K69" i="23"/>
  <c r="K70" i="23" s="1"/>
  <c r="K69" i="12"/>
  <c r="K70" i="12" s="1"/>
  <c r="K133" i="16"/>
  <c r="K135" i="16" s="1"/>
  <c r="K69" i="21"/>
  <c r="K70" i="21" s="1"/>
  <c r="L41" i="24"/>
  <c r="M34" i="24"/>
  <c r="L170" i="24"/>
  <c r="L174" i="24" s="1"/>
  <c r="J17" i="20"/>
  <c r="M258" i="12"/>
  <c r="L265" i="12"/>
  <c r="L171" i="24"/>
  <c r="L175" i="24" s="1"/>
  <c r="L93" i="24"/>
  <c r="L103" i="24"/>
  <c r="M86" i="24"/>
  <c r="L148" i="12"/>
  <c r="M141" i="12"/>
  <c r="K135" i="22"/>
  <c r="K136" i="22" s="1"/>
  <c r="L170" i="22"/>
  <c r="L174" i="22" s="1"/>
  <c r="L41" i="22"/>
  <c r="M34" i="22"/>
  <c r="L265" i="23"/>
  <c r="M258" i="23"/>
  <c r="L265" i="24"/>
  <c r="M258" i="24"/>
  <c r="K147" i="21"/>
  <c r="K142" i="21"/>
  <c r="K135" i="21"/>
  <c r="K136" i="21" s="1"/>
  <c r="J162" i="12"/>
  <c r="L57" i="8"/>
  <c r="L59" i="8" s="1"/>
  <c r="M34" i="21"/>
  <c r="L41" i="21"/>
  <c r="L170" i="21"/>
  <c r="L174" i="21" s="1"/>
  <c r="L148" i="21"/>
  <c r="M141" i="21"/>
  <c r="L45" i="8"/>
  <c r="M46" i="8" s="1"/>
  <c r="M34" i="8"/>
  <c r="M45" i="8" s="1"/>
  <c r="N46" i="8" s="1"/>
  <c r="M35" i="8"/>
  <c r="M57" i="8" s="1"/>
  <c r="J164" i="21"/>
  <c r="J166" i="21" s="1"/>
  <c r="L265" i="22"/>
  <c r="M258" i="22"/>
  <c r="L41" i="23"/>
  <c r="M34" i="23"/>
  <c r="L170" i="23"/>
  <c r="L174" i="23" s="1"/>
  <c r="L68" i="8"/>
  <c r="L269" i="24"/>
  <c r="L98" i="23"/>
  <c r="L98" i="24"/>
  <c r="L152" i="23"/>
  <c r="L98" i="22"/>
  <c r="L269" i="23"/>
  <c r="L152" i="24"/>
  <c r="L46" i="24"/>
  <c r="L46" i="23"/>
  <c r="L152" i="22"/>
  <c r="L269" i="21"/>
  <c r="L152" i="21"/>
  <c r="L46" i="21"/>
  <c r="L98" i="12"/>
  <c r="L269" i="22"/>
  <c r="L269" i="12"/>
  <c r="L152" i="12"/>
  <c r="L46" i="22"/>
  <c r="L46" i="12"/>
  <c r="L98" i="21"/>
  <c r="L58" i="8"/>
  <c r="J189" i="23"/>
  <c r="J116" i="23"/>
  <c r="J161" i="23"/>
  <c r="J162" i="23" s="1"/>
  <c r="M258" i="21"/>
  <c r="L265" i="21"/>
  <c r="L102" i="24"/>
  <c r="L102" i="23"/>
  <c r="L102" i="22"/>
  <c r="L102" i="21"/>
  <c r="L102" i="12"/>
  <c r="L53" i="8"/>
  <c r="L64" i="8"/>
  <c r="M102" i="24"/>
  <c r="M102" i="23"/>
  <c r="M102" i="22"/>
  <c r="M102" i="21"/>
  <c r="M102" i="12"/>
  <c r="M53" i="8"/>
  <c r="M64" i="8"/>
  <c r="K264" i="21"/>
  <c r="K259" i="21"/>
  <c r="K261" i="21" s="1"/>
  <c r="M34" i="12"/>
  <c r="L170" i="12"/>
  <c r="L174" i="12" s="1"/>
  <c r="L41" i="12"/>
  <c r="M4" i="9"/>
  <c r="M4" i="20"/>
  <c r="M4" i="24"/>
  <c r="M4" i="22"/>
  <c r="M4" i="12"/>
  <c r="M4" i="23"/>
  <c r="M4" i="21"/>
  <c r="M5" i="7"/>
  <c r="M4" i="16"/>
  <c r="M4" i="8"/>
  <c r="K135" i="12" l="1"/>
  <c r="K136" i="12" s="1"/>
  <c r="K147" i="23"/>
  <c r="K135" i="23"/>
  <c r="K136" i="23" s="1"/>
  <c r="K147" i="22"/>
  <c r="K259" i="12"/>
  <c r="K261" i="12" s="1"/>
  <c r="K40" i="23"/>
  <c r="K264" i="22"/>
  <c r="K248" i="12"/>
  <c r="K249" i="12" s="1"/>
  <c r="K273" i="12" s="1"/>
  <c r="K35" i="23"/>
  <c r="K40" i="12"/>
  <c r="K259" i="22"/>
  <c r="K261" i="22" s="1"/>
  <c r="K265" i="22" s="1"/>
  <c r="K35" i="12"/>
  <c r="K40" i="22"/>
  <c r="K35" i="22"/>
  <c r="K248" i="23"/>
  <c r="K249" i="23" s="1"/>
  <c r="K264" i="23"/>
  <c r="K135" i="24"/>
  <c r="K136" i="24" s="1"/>
  <c r="K143" i="24" s="1"/>
  <c r="K142" i="24"/>
  <c r="L176" i="24"/>
  <c r="L178" i="24" s="1"/>
  <c r="P26" i="8"/>
  <c r="P23" i="8"/>
  <c r="Q22" i="8" s="1"/>
  <c r="P2" i="7"/>
  <c r="N34" i="8"/>
  <c r="N45" i="8" s="1"/>
  <c r="O46" i="8" s="1"/>
  <c r="N35" i="8"/>
  <c r="K51" i="23"/>
  <c r="K36" i="23"/>
  <c r="K265" i="23"/>
  <c r="L258" i="23"/>
  <c r="K184" i="23"/>
  <c r="K192" i="23" s="1"/>
  <c r="K143" i="23"/>
  <c r="K144" i="23" s="1"/>
  <c r="K156" i="23"/>
  <c r="M27" i="24"/>
  <c r="M22" i="24"/>
  <c r="K184" i="21"/>
  <c r="K192" i="21" s="1"/>
  <c r="K143" i="21"/>
  <c r="K144" i="21" s="1"/>
  <c r="K156" i="21"/>
  <c r="L258" i="12"/>
  <c r="K265" i="12"/>
  <c r="K266" i="12" s="1"/>
  <c r="K270" i="12" s="1"/>
  <c r="K271" i="12" s="1"/>
  <c r="N102" i="24"/>
  <c r="N102" i="23"/>
  <c r="N102" i="22"/>
  <c r="N102" i="21"/>
  <c r="N53" i="8"/>
  <c r="N102" i="12"/>
  <c r="N64" i="8"/>
  <c r="M247" i="12"/>
  <c r="M263" i="12"/>
  <c r="M242" i="12"/>
  <c r="N17" i="24"/>
  <c r="N19" i="24" s="1"/>
  <c r="N139" i="24"/>
  <c r="N84" i="24"/>
  <c r="N256" i="24"/>
  <c r="N80" i="24"/>
  <c r="N32" i="24"/>
  <c r="N17" i="23"/>
  <c r="N19" i="23" s="1"/>
  <c r="N84" i="23"/>
  <c r="N139" i="22"/>
  <c r="N32" i="22"/>
  <c r="N256" i="23"/>
  <c r="N84" i="22"/>
  <c r="N80" i="12"/>
  <c r="N32" i="12"/>
  <c r="N80" i="23"/>
  <c r="N32" i="23"/>
  <c r="N256" i="21"/>
  <c r="N139" i="21"/>
  <c r="N17" i="22"/>
  <c r="N19" i="22" s="1"/>
  <c r="N139" i="12"/>
  <c r="N17" i="12"/>
  <c r="N19" i="12" s="1"/>
  <c r="N139" i="23"/>
  <c r="N80" i="22"/>
  <c r="N17" i="21"/>
  <c r="N19" i="21" s="1"/>
  <c r="N32" i="21"/>
  <c r="N84" i="21"/>
  <c r="N256" i="12"/>
  <c r="N256" i="22"/>
  <c r="N80" i="21"/>
  <c r="N84" i="12"/>
  <c r="L179" i="24"/>
  <c r="L179" i="22"/>
  <c r="L179" i="23"/>
  <c r="L179" i="21"/>
  <c r="M65" i="8"/>
  <c r="L179" i="12"/>
  <c r="K273" i="23"/>
  <c r="K279" i="23"/>
  <c r="K283" i="23" s="1"/>
  <c r="K87" i="24"/>
  <c r="K74" i="24"/>
  <c r="K75" i="24" s="1"/>
  <c r="K87" i="12"/>
  <c r="K74" i="12"/>
  <c r="K75" i="12" s="1"/>
  <c r="K36" i="22"/>
  <c r="K51" i="22"/>
  <c r="K74" i="22"/>
  <c r="K75" i="22" s="1"/>
  <c r="K87" i="22"/>
  <c r="K273" i="24"/>
  <c r="K279" i="24"/>
  <c r="K283" i="24" s="1"/>
  <c r="K265" i="21"/>
  <c r="K266" i="21" s="1"/>
  <c r="K270" i="21" s="1"/>
  <c r="K271" i="21" s="1"/>
  <c r="L258" i="21"/>
  <c r="M263" i="21"/>
  <c r="M242" i="21"/>
  <c r="M247" i="21"/>
  <c r="M247" i="23"/>
  <c r="M242" i="23"/>
  <c r="M263" i="23"/>
  <c r="M146" i="12"/>
  <c r="M134" i="12"/>
  <c r="M129" i="12"/>
  <c r="M146" i="24"/>
  <c r="M129" i="24"/>
  <c r="M134" i="24"/>
  <c r="M134" i="22"/>
  <c r="M146" i="22"/>
  <c r="M129" i="22"/>
  <c r="K265" i="24"/>
  <c r="K266" i="24" s="1"/>
  <c r="K270" i="24" s="1"/>
  <c r="K271" i="24" s="1"/>
  <c r="L258" i="24"/>
  <c r="O2" i="20"/>
  <c r="O2" i="24"/>
  <c r="O2" i="9"/>
  <c r="O2" i="23"/>
  <c r="O2" i="21"/>
  <c r="O25" i="8"/>
  <c r="O27" i="8" s="1"/>
  <c r="O2" i="22"/>
  <c r="O2" i="12"/>
  <c r="O84" i="8"/>
  <c r="O86" i="8" s="1"/>
  <c r="O3" i="7"/>
  <c r="O2" i="16"/>
  <c r="O33" i="8"/>
  <c r="O2" i="8"/>
  <c r="O49" i="8"/>
  <c r="O50" i="8" s="1"/>
  <c r="O39" i="8"/>
  <c r="O40" i="8" s="1"/>
  <c r="K156" i="22"/>
  <c r="K143" i="22"/>
  <c r="K144" i="22" s="1"/>
  <c r="K184" i="22"/>
  <c r="K192" i="22" s="1"/>
  <c r="J164" i="12"/>
  <c r="J166" i="12" s="1"/>
  <c r="M22" i="12"/>
  <c r="M27" i="12"/>
  <c r="H85" i="8"/>
  <c r="H21" i="8"/>
  <c r="J164" i="23"/>
  <c r="J166" i="23" s="1"/>
  <c r="M93" i="16"/>
  <c r="M94" i="16" s="1"/>
  <c r="M119" i="16" s="1"/>
  <c r="M52" i="16"/>
  <c r="M53" i="16" s="1"/>
  <c r="M56" i="16" s="1"/>
  <c r="M62" i="16"/>
  <c r="M29" i="16"/>
  <c r="M30" i="16" s="1"/>
  <c r="M55" i="16" s="1"/>
  <c r="M116" i="16"/>
  <c r="M117" i="16" s="1"/>
  <c r="M120" i="16" s="1"/>
  <c r="M126" i="16"/>
  <c r="M52" i="8"/>
  <c r="M54" i="8" s="1"/>
  <c r="J164" i="22"/>
  <c r="J166" i="22" s="1"/>
  <c r="L3" i="20"/>
  <c r="L3" i="24"/>
  <c r="L3" i="9"/>
  <c r="L3" i="23"/>
  <c r="L3" i="22"/>
  <c r="L3" i="12"/>
  <c r="L3" i="8"/>
  <c r="L3" i="16"/>
  <c r="L4" i="7"/>
  <c r="L3" i="21"/>
  <c r="K74" i="23"/>
  <c r="K75" i="23" s="1"/>
  <c r="K87" i="23"/>
  <c r="K51" i="24"/>
  <c r="K36" i="24"/>
  <c r="K37" i="24" s="1"/>
  <c r="K279" i="21"/>
  <c r="K283" i="21" s="1"/>
  <c r="K273" i="21"/>
  <c r="M179" i="24"/>
  <c r="M179" i="23"/>
  <c r="M179" i="22"/>
  <c r="M179" i="12"/>
  <c r="M179" i="21"/>
  <c r="N65" i="8"/>
  <c r="N67" i="8" s="1"/>
  <c r="K273" i="22"/>
  <c r="K279" i="22"/>
  <c r="K283" i="22" s="1"/>
  <c r="K156" i="12"/>
  <c r="K184" i="12"/>
  <c r="K192" i="12" s="1"/>
  <c r="K143" i="12"/>
  <c r="K144" i="12" s="1"/>
  <c r="M242" i="22"/>
  <c r="M263" i="22"/>
  <c r="M247" i="22"/>
  <c r="N62" i="16"/>
  <c r="N29" i="16"/>
  <c r="N30" i="16" s="1"/>
  <c r="N55" i="16" s="1"/>
  <c r="N93" i="16"/>
  <c r="N94" i="16" s="1"/>
  <c r="N119" i="16" s="1"/>
  <c r="N52" i="16"/>
  <c r="N53" i="16" s="1"/>
  <c r="N56" i="16" s="1"/>
  <c r="N126" i="16"/>
  <c r="N116" i="16"/>
  <c r="N117" i="16" s="1"/>
  <c r="N120" i="16" s="1"/>
  <c r="N52" i="8"/>
  <c r="R21" i="8"/>
  <c r="R85" i="8"/>
  <c r="N4" i="20"/>
  <c r="N4" i="9"/>
  <c r="N4" i="23"/>
  <c r="N4" i="24"/>
  <c r="N4" i="22"/>
  <c r="N4" i="21"/>
  <c r="N5" i="7"/>
  <c r="N4" i="8"/>
  <c r="N4" i="16"/>
  <c r="N4" i="12"/>
  <c r="K36" i="12"/>
  <c r="K51" i="12"/>
  <c r="M27" i="23"/>
  <c r="M22" i="23"/>
  <c r="K74" i="21"/>
  <c r="K75" i="21" s="1"/>
  <c r="K87" i="21"/>
  <c r="M242" i="24"/>
  <c r="M247" i="24"/>
  <c r="M263" i="24"/>
  <c r="M129" i="23"/>
  <c r="M134" i="23"/>
  <c r="M146" i="23"/>
  <c r="J164" i="24"/>
  <c r="J166" i="24" s="1"/>
  <c r="K51" i="21"/>
  <c r="K36" i="21"/>
  <c r="K37" i="21" s="1"/>
  <c r="M134" i="21"/>
  <c r="M146" i="21"/>
  <c r="M129" i="21"/>
  <c r="M22" i="22"/>
  <c r="M27" i="22"/>
  <c r="M91" i="24"/>
  <c r="M73" i="24"/>
  <c r="M68" i="24"/>
  <c r="M22" i="21"/>
  <c r="M27" i="21"/>
  <c r="L104" i="24"/>
  <c r="K266" i="22" l="1"/>
  <c r="K270" i="22" s="1"/>
  <c r="K271" i="22" s="1"/>
  <c r="K37" i="12"/>
  <c r="L34" i="12" s="1"/>
  <c r="K144" i="24"/>
  <c r="L258" i="22"/>
  <c r="K279" i="12"/>
  <c r="K283" i="12" s="1"/>
  <c r="K266" i="23"/>
  <c r="K270" i="23" s="1"/>
  <c r="K271" i="23" s="1"/>
  <c r="K37" i="23"/>
  <c r="K170" i="23" s="1"/>
  <c r="K174" i="23" s="1"/>
  <c r="K37" i="22"/>
  <c r="K41" i="22" s="1"/>
  <c r="K42" i="22" s="1"/>
  <c r="K47" i="22" s="1"/>
  <c r="K48" i="22" s="1"/>
  <c r="K52" i="22" s="1"/>
  <c r="K53" i="22" s="1"/>
  <c r="L180" i="24"/>
  <c r="L32" i="20" s="1"/>
  <c r="K156" i="24"/>
  <c r="K184" i="24"/>
  <c r="K192" i="24" s="1"/>
  <c r="K199" i="24" s="1"/>
  <c r="N57" i="16"/>
  <c r="N60" i="16" s="1"/>
  <c r="N63" i="16" s="1"/>
  <c r="N65" i="16" s="1"/>
  <c r="N67" i="16" s="1"/>
  <c r="N69" i="16" s="1"/>
  <c r="N71" i="16" s="1"/>
  <c r="N126" i="12" s="1"/>
  <c r="N127" i="12" s="1"/>
  <c r="N130" i="12" s="1"/>
  <c r="K280" i="21"/>
  <c r="K284" i="21" s="1"/>
  <c r="K274" i="21"/>
  <c r="K275" i="21" s="1"/>
  <c r="K274" i="22"/>
  <c r="K275" i="22" s="1"/>
  <c r="K280" i="22"/>
  <c r="K284" i="22" s="1"/>
  <c r="K148" i="12"/>
  <c r="K149" i="12" s="1"/>
  <c r="K153" i="12" s="1"/>
  <c r="K154" i="12" s="1"/>
  <c r="L141" i="12"/>
  <c r="K148" i="22"/>
  <c r="K149" i="22" s="1"/>
  <c r="K153" i="22" s="1"/>
  <c r="K154" i="22" s="1"/>
  <c r="L141" i="22"/>
  <c r="K280" i="23"/>
  <c r="K284" i="23" s="1"/>
  <c r="K274" i="23"/>
  <c r="K275" i="23" s="1"/>
  <c r="L34" i="24"/>
  <c r="K170" i="24"/>
  <c r="K174" i="24" s="1"/>
  <c r="K41" i="24"/>
  <c r="K42" i="24" s="1"/>
  <c r="K47" i="24" s="1"/>
  <c r="K48" i="24" s="1"/>
  <c r="K52" i="24" s="1"/>
  <c r="K53" i="24" s="1"/>
  <c r="O102" i="24"/>
  <c r="O102" i="23"/>
  <c r="O102" i="22"/>
  <c r="O102" i="21"/>
  <c r="O64" i="8"/>
  <c r="O102" i="12"/>
  <c r="O53" i="8"/>
  <c r="K280" i="12"/>
  <c r="K284" i="12" s="1"/>
  <c r="K274" i="12"/>
  <c r="K275" i="12" s="1"/>
  <c r="L242" i="21"/>
  <c r="L244" i="21" s="1"/>
  <c r="L263" i="21"/>
  <c r="L247" i="21"/>
  <c r="K293" i="12"/>
  <c r="K295" i="12" s="1"/>
  <c r="K293" i="21"/>
  <c r="K295" i="21" s="1"/>
  <c r="M67" i="8"/>
  <c r="M68" i="8" s="1"/>
  <c r="K199" i="23"/>
  <c r="L247" i="23"/>
  <c r="L242" i="23"/>
  <c r="L244" i="23" s="1"/>
  <c r="L263" i="23"/>
  <c r="K41" i="21"/>
  <c r="K42" i="21" s="1"/>
  <c r="K47" i="21" s="1"/>
  <c r="K48" i="21" s="1"/>
  <c r="K52" i="21" s="1"/>
  <c r="K53" i="21" s="1"/>
  <c r="L34" i="21"/>
  <c r="K170" i="21"/>
  <c r="K174" i="21" s="1"/>
  <c r="L242" i="24"/>
  <c r="L244" i="24" s="1"/>
  <c r="L263" i="24"/>
  <c r="L247" i="24"/>
  <c r="K293" i="24"/>
  <c r="K295" i="24" s="1"/>
  <c r="L242" i="12"/>
  <c r="L244" i="12" s="1"/>
  <c r="L263" i="12"/>
  <c r="L247" i="12"/>
  <c r="K170" i="12"/>
  <c r="K174" i="12" s="1"/>
  <c r="K41" i="12"/>
  <c r="K42" i="12" s="1"/>
  <c r="K47" i="12" s="1"/>
  <c r="K48" i="12" s="1"/>
  <c r="K52" i="12" s="1"/>
  <c r="K53" i="12" s="1"/>
  <c r="L242" i="22"/>
  <c r="L244" i="22" s="1"/>
  <c r="L247" i="22"/>
  <c r="L263" i="22"/>
  <c r="K280" i="24"/>
  <c r="K284" i="24" s="1"/>
  <c r="K274" i="24"/>
  <c r="K275" i="24" s="1"/>
  <c r="K148" i="24"/>
  <c r="K149" i="24" s="1"/>
  <c r="K153" i="24" s="1"/>
  <c r="K154" i="24" s="1"/>
  <c r="L141" i="24"/>
  <c r="M39" i="21"/>
  <c r="K92" i="21"/>
  <c r="K88" i="21"/>
  <c r="K89" i="21" s="1"/>
  <c r="K107" i="21"/>
  <c r="K92" i="22"/>
  <c r="K199" i="22"/>
  <c r="K88" i="22"/>
  <c r="K89" i="22" s="1"/>
  <c r="K107" i="22"/>
  <c r="K199" i="21"/>
  <c r="M46" i="24"/>
  <c r="M152" i="24"/>
  <c r="M98" i="24"/>
  <c r="M269" i="22"/>
  <c r="M152" i="23"/>
  <c r="M98" i="22"/>
  <c r="M98" i="12"/>
  <c r="M269" i="24"/>
  <c r="M152" i="22"/>
  <c r="M98" i="23"/>
  <c r="M269" i="23"/>
  <c r="M269" i="12"/>
  <c r="M152" i="12"/>
  <c r="M98" i="21"/>
  <c r="M46" i="12"/>
  <c r="M269" i="21"/>
  <c r="M46" i="22"/>
  <c r="M152" i="21"/>
  <c r="M46" i="23"/>
  <c r="M58" i="8"/>
  <c r="M59" i="8" s="1"/>
  <c r="M46" i="21"/>
  <c r="O139" i="24"/>
  <c r="O256" i="24"/>
  <c r="O17" i="24"/>
  <c r="O19" i="24" s="1"/>
  <c r="O32" i="23"/>
  <c r="O80" i="22"/>
  <c r="O17" i="23"/>
  <c r="O19" i="23" s="1"/>
  <c r="O84" i="24"/>
  <c r="O80" i="23"/>
  <c r="O17" i="22"/>
  <c r="O19" i="22" s="1"/>
  <c r="O256" i="23"/>
  <c r="O84" i="23"/>
  <c r="O139" i="23"/>
  <c r="O32" i="22"/>
  <c r="O256" i="21"/>
  <c r="O32" i="24"/>
  <c r="O80" i="24"/>
  <c r="O256" i="12"/>
  <c r="O139" i="22"/>
  <c r="O84" i="22"/>
  <c r="O32" i="12"/>
  <c r="O139" i="21"/>
  <c r="O84" i="12"/>
  <c r="O139" i="12"/>
  <c r="O80" i="12"/>
  <c r="O17" i="12"/>
  <c r="O19" i="12" s="1"/>
  <c r="O32" i="21"/>
  <c r="O17" i="21"/>
  <c r="O19" i="21" s="1"/>
  <c r="O84" i="21"/>
  <c r="O256" i="22"/>
  <c r="O80" i="21"/>
  <c r="N57" i="8"/>
  <c r="M57" i="16"/>
  <c r="M60" i="16" s="1"/>
  <c r="M63" i="16" s="1"/>
  <c r="M65" i="16" s="1"/>
  <c r="M67" i="16" s="1"/>
  <c r="M69" i="16" s="1"/>
  <c r="M71" i="16" s="1"/>
  <c r="K92" i="12"/>
  <c r="O52" i="8"/>
  <c r="O52" i="16"/>
  <c r="O53" i="16" s="1"/>
  <c r="O56" i="16" s="1"/>
  <c r="O93" i="16"/>
  <c r="O94" i="16" s="1"/>
  <c r="O119" i="16" s="1"/>
  <c r="O29" i="16"/>
  <c r="O30" i="16" s="1"/>
  <c r="O55" i="16" s="1"/>
  <c r="O57" i="16" s="1"/>
  <c r="O60" i="16" s="1"/>
  <c r="O116" i="16"/>
  <c r="O117" i="16" s="1"/>
  <c r="O120" i="16" s="1"/>
  <c r="O126" i="16"/>
  <c r="O62" i="16"/>
  <c r="M39" i="23"/>
  <c r="O34" i="8"/>
  <c r="O45" i="8" s="1"/>
  <c r="P46" i="8" s="1"/>
  <c r="O35" i="8"/>
  <c r="O57" i="8" s="1"/>
  <c r="K107" i="24"/>
  <c r="K88" i="24"/>
  <c r="K89" i="24" s="1"/>
  <c r="K92" i="24"/>
  <c r="Q23" i="8"/>
  <c r="R22" i="8" s="1"/>
  <c r="Q2" i="7"/>
  <c r="Q26" i="8"/>
  <c r="P2" i="9"/>
  <c r="P2" i="24"/>
  <c r="P2" i="20"/>
  <c r="P2" i="23"/>
  <c r="P2" i="22"/>
  <c r="P2" i="12"/>
  <c r="P2" i="8"/>
  <c r="P25" i="8"/>
  <c r="P27" i="8" s="1"/>
  <c r="P2" i="21"/>
  <c r="P84" i="8"/>
  <c r="P86" i="8" s="1"/>
  <c r="P33" i="8"/>
  <c r="P2" i="16"/>
  <c r="P39" i="8"/>
  <c r="P40" i="8" s="1"/>
  <c r="P3" i="7"/>
  <c r="P49" i="8"/>
  <c r="K148" i="21"/>
  <c r="K149" i="21" s="1"/>
  <c r="K153" i="21" s="1"/>
  <c r="K154" i="21" s="1"/>
  <c r="L141" i="21"/>
  <c r="N54" i="8"/>
  <c r="K293" i="22"/>
  <c r="K295" i="22" s="1"/>
  <c r="P50" i="8"/>
  <c r="K88" i="12"/>
  <c r="K89" i="12" s="1"/>
  <c r="K107" i="12"/>
  <c r="M121" i="16"/>
  <c r="M124" i="16" s="1"/>
  <c r="M127" i="16" s="1"/>
  <c r="M129" i="16" s="1"/>
  <c r="M131" i="16" s="1"/>
  <c r="N179" i="24"/>
  <c r="N179" i="21"/>
  <c r="N179" i="12"/>
  <c r="N179" i="23"/>
  <c r="O65" i="8"/>
  <c r="O67" i="8" s="1"/>
  <c r="N179" i="22"/>
  <c r="M39" i="12"/>
  <c r="K92" i="23"/>
  <c r="L141" i="23"/>
  <c r="K148" i="23"/>
  <c r="K149" i="23" s="1"/>
  <c r="K153" i="23" s="1"/>
  <c r="K154" i="23" s="1"/>
  <c r="M39" i="22"/>
  <c r="K199" i="12"/>
  <c r="K107" i="23"/>
  <c r="K88" i="23"/>
  <c r="K89" i="23" s="1"/>
  <c r="K293" i="23"/>
  <c r="K295" i="23" s="1"/>
  <c r="M39" i="24"/>
  <c r="N121" i="16"/>
  <c r="N124" i="16" s="1"/>
  <c r="N127" i="16" s="1"/>
  <c r="N129" i="16" s="1"/>
  <c r="N131" i="16" s="1"/>
  <c r="O4" i="20"/>
  <c r="O4" i="24"/>
  <c r="O4" i="23"/>
  <c r="O4" i="9"/>
  <c r="O4" i="22"/>
  <c r="O4" i="12"/>
  <c r="O4" i="16"/>
  <c r="O4" i="21"/>
  <c r="O5" i="7"/>
  <c r="O4" i="8"/>
  <c r="N14" i="22" l="1"/>
  <c r="N15" i="22" s="1"/>
  <c r="N23" i="22" s="1"/>
  <c r="N239" i="21"/>
  <c r="N240" i="21" s="1"/>
  <c r="N243" i="21" s="1"/>
  <c r="N14" i="12"/>
  <c r="N15" i="12" s="1"/>
  <c r="N23" i="12" s="1"/>
  <c r="N239" i="12"/>
  <c r="N240" i="12" s="1"/>
  <c r="N243" i="12" s="1"/>
  <c r="N14" i="23"/>
  <c r="N15" i="23" s="1"/>
  <c r="N23" i="23" s="1"/>
  <c r="N126" i="22"/>
  <c r="N127" i="22" s="1"/>
  <c r="N130" i="22" s="1"/>
  <c r="N239" i="22"/>
  <c r="N240" i="22" s="1"/>
  <c r="N243" i="22" s="1"/>
  <c r="K41" i="23"/>
  <c r="K42" i="23" s="1"/>
  <c r="K47" i="23" s="1"/>
  <c r="K48" i="23" s="1"/>
  <c r="K52" i="23" s="1"/>
  <c r="K53" i="23" s="1"/>
  <c r="K61" i="23" s="1"/>
  <c r="K115" i="23" s="1"/>
  <c r="N14" i="24"/>
  <c r="N15" i="24" s="1"/>
  <c r="N23" i="24" s="1"/>
  <c r="N126" i="23"/>
  <c r="N127" i="23" s="1"/>
  <c r="N130" i="23" s="1"/>
  <c r="N239" i="23"/>
  <c r="N240" i="23" s="1"/>
  <c r="N243" i="23" s="1"/>
  <c r="L34" i="23"/>
  <c r="L34" i="22"/>
  <c r="L27" i="22" s="1"/>
  <c r="O63" i="16"/>
  <c r="O65" i="16" s="1"/>
  <c r="O67" i="16" s="1"/>
  <c r="O69" i="16" s="1"/>
  <c r="O71" i="16" s="1"/>
  <c r="O126" i="23" s="1"/>
  <c r="O127" i="23" s="1"/>
  <c r="O130" i="23" s="1"/>
  <c r="K170" i="22"/>
  <c r="K174" i="22" s="1"/>
  <c r="N126" i="21"/>
  <c r="N127" i="21" s="1"/>
  <c r="N130" i="21" s="1"/>
  <c r="N126" i="24"/>
  <c r="N127" i="24" s="1"/>
  <c r="N130" i="24" s="1"/>
  <c r="N239" i="24"/>
  <c r="N240" i="24" s="1"/>
  <c r="N243" i="24" s="1"/>
  <c r="N14" i="21"/>
  <c r="N15" i="21" s="1"/>
  <c r="N23" i="21" s="1"/>
  <c r="K61" i="24"/>
  <c r="K115" i="24" s="1"/>
  <c r="R23" i="8"/>
  <c r="R2" i="7"/>
  <c r="R26" i="8"/>
  <c r="K61" i="21"/>
  <c r="K115" i="21" s="1"/>
  <c r="K281" i="24"/>
  <c r="K285" i="24" s="1"/>
  <c r="K103" i="24"/>
  <c r="K104" i="24" s="1"/>
  <c r="K93" i="24"/>
  <c r="K94" i="24" s="1"/>
  <c r="K99" i="24" s="1"/>
  <c r="K100" i="24" s="1"/>
  <c r="K108" i="24" s="1"/>
  <c r="K188" i="24" s="1"/>
  <c r="K196" i="24" s="1"/>
  <c r="K171" i="24"/>
  <c r="K175" i="24" s="1"/>
  <c r="K176" i="24" s="1"/>
  <c r="K178" i="24" s="1"/>
  <c r="K180" i="24" s="1"/>
  <c r="K32" i="20" s="1"/>
  <c r="L86" i="24"/>
  <c r="K103" i="12"/>
  <c r="K104" i="12" s="1"/>
  <c r="L86" i="12"/>
  <c r="K171" i="12"/>
  <c r="K175" i="12" s="1"/>
  <c r="K176" i="12" s="1"/>
  <c r="K178" i="12" s="1"/>
  <c r="K180" i="12" s="1"/>
  <c r="K14" i="20" s="1"/>
  <c r="K93" i="12"/>
  <c r="K94" i="12" s="1"/>
  <c r="K99" i="12" s="1"/>
  <c r="K100" i="12" s="1"/>
  <c r="K108" i="12" s="1"/>
  <c r="K171" i="22"/>
  <c r="K175" i="22" s="1"/>
  <c r="L86" i="22"/>
  <c r="K93" i="22"/>
  <c r="K94" i="22" s="1"/>
  <c r="K99" i="22" s="1"/>
  <c r="K100" i="22" s="1"/>
  <c r="K108" i="22" s="1"/>
  <c r="K103" i="22"/>
  <c r="K104" i="22" s="1"/>
  <c r="K305" i="22"/>
  <c r="N152" i="24"/>
  <c r="N269" i="24"/>
  <c r="N98" i="24"/>
  <c r="N46" i="24"/>
  <c r="N98" i="23"/>
  <c r="N46" i="23"/>
  <c r="N152" i="23"/>
  <c r="N46" i="22"/>
  <c r="N152" i="22"/>
  <c r="N269" i="21"/>
  <c r="N98" i="22"/>
  <c r="N269" i="23"/>
  <c r="N98" i="21"/>
  <c r="N152" i="12"/>
  <c r="N46" i="21"/>
  <c r="N269" i="12"/>
  <c r="N152" i="21"/>
  <c r="N98" i="12"/>
  <c r="N58" i="8"/>
  <c r="N59" i="8" s="1"/>
  <c r="N46" i="12"/>
  <c r="N269" i="22"/>
  <c r="L259" i="24"/>
  <c r="L264" i="24"/>
  <c r="L266" i="24" s="1"/>
  <c r="L270" i="24" s="1"/>
  <c r="L271" i="24" s="1"/>
  <c r="L248" i="24"/>
  <c r="L249" i="24" s="1"/>
  <c r="K281" i="21"/>
  <c r="K285" i="21" s="1"/>
  <c r="L134" i="21"/>
  <c r="L129" i="21"/>
  <c r="L131" i="21" s="1"/>
  <c r="L146" i="21"/>
  <c r="K305" i="12"/>
  <c r="K171" i="21"/>
  <c r="K175" i="21" s="1"/>
  <c r="K176" i="21" s="1"/>
  <c r="K178" i="21" s="1"/>
  <c r="K180" i="21" s="1"/>
  <c r="K8" i="20" s="1"/>
  <c r="K103" i="21"/>
  <c r="K104" i="21" s="1"/>
  <c r="K93" i="21"/>
  <c r="K94" i="21" s="1"/>
  <c r="K99" i="21" s="1"/>
  <c r="K100" i="21" s="1"/>
  <c r="K108" i="21" s="1"/>
  <c r="L86" i="21"/>
  <c r="M3" i="20"/>
  <c r="M3" i="9"/>
  <c r="M3" i="24"/>
  <c r="M3" i="23"/>
  <c r="M4" i="7"/>
  <c r="M3" i="22"/>
  <c r="M3" i="16"/>
  <c r="M3" i="12"/>
  <c r="M3" i="21"/>
  <c r="M3" i="8"/>
  <c r="K187" i="12"/>
  <c r="K195" i="12" s="1"/>
  <c r="K157" i="24"/>
  <c r="K158" i="24" s="1"/>
  <c r="K185" i="24"/>
  <c r="K193" i="24" s="1"/>
  <c r="N69" i="24"/>
  <c r="N69" i="23"/>
  <c r="N69" i="22"/>
  <c r="N133" i="16"/>
  <c r="N135" i="16" s="1"/>
  <c r="N69" i="21"/>
  <c r="N69" i="12"/>
  <c r="K157" i="21"/>
  <c r="K158" i="21" s="1"/>
  <c r="K185" i="21"/>
  <c r="K193" i="21" s="1"/>
  <c r="O54" i="8"/>
  <c r="P35" i="8"/>
  <c r="P34" i="8"/>
  <c r="K187" i="21"/>
  <c r="K195" i="21" s="1"/>
  <c r="L22" i="12"/>
  <c r="L24" i="12" s="1"/>
  <c r="L27" i="12"/>
  <c r="K157" i="22"/>
  <c r="K158" i="22" s="1"/>
  <c r="K185" i="22"/>
  <c r="K193" i="22" s="1"/>
  <c r="K281" i="23"/>
  <c r="K285" i="23" s="1"/>
  <c r="K171" i="23"/>
  <c r="K175" i="23" s="1"/>
  <c r="K176" i="23" s="1"/>
  <c r="K178" i="23" s="1"/>
  <c r="K180" i="23" s="1"/>
  <c r="K26" i="20" s="1"/>
  <c r="K93" i="23"/>
  <c r="K94" i="23" s="1"/>
  <c r="K99" i="23" s="1"/>
  <c r="K100" i="23" s="1"/>
  <c r="K108" i="23" s="1"/>
  <c r="K103" i="23"/>
  <c r="K104" i="23" s="1"/>
  <c r="L86" i="23"/>
  <c r="P102" i="24"/>
  <c r="P102" i="23"/>
  <c r="P102" i="22"/>
  <c r="P102" i="12"/>
  <c r="P102" i="21"/>
  <c r="P64" i="8"/>
  <c r="P53" i="8"/>
  <c r="L134" i="24"/>
  <c r="L146" i="24"/>
  <c r="L129" i="24"/>
  <c r="L131" i="24" s="1"/>
  <c r="K305" i="23"/>
  <c r="Q2" i="9"/>
  <c r="Q2" i="20"/>
  <c r="Q2" i="24"/>
  <c r="Q2" i="23"/>
  <c r="Q2" i="22"/>
  <c r="Q49" i="8"/>
  <c r="Q50" i="8" s="1"/>
  <c r="Q2" i="21"/>
  <c r="Q2" i="8"/>
  <c r="Q2" i="12"/>
  <c r="Q25" i="8"/>
  <c r="Q27" i="8" s="1"/>
  <c r="Q39" i="8"/>
  <c r="Q40" i="8" s="1"/>
  <c r="Q33" i="8"/>
  <c r="Q2" i="16"/>
  <c r="Q3" i="7"/>
  <c r="Q84" i="8"/>
  <c r="Q86" i="8" s="1"/>
  <c r="L259" i="23"/>
  <c r="L264" i="23"/>
  <c r="L266" i="23" s="1"/>
  <c r="L270" i="23" s="1"/>
  <c r="L271" i="23" s="1"/>
  <c r="L248" i="23"/>
  <c r="L249" i="23" s="1"/>
  <c r="L248" i="22"/>
  <c r="L249" i="22" s="1"/>
  <c r="L259" i="22"/>
  <c r="L264" i="22"/>
  <c r="L266" i="22" s="1"/>
  <c r="L270" i="22" s="1"/>
  <c r="L271" i="22" s="1"/>
  <c r="L129" i="22"/>
  <c r="L131" i="22" s="1"/>
  <c r="L134" i="22"/>
  <c r="L146" i="22"/>
  <c r="K187" i="23"/>
  <c r="K195" i="23" s="1"/>
  <c r="P4" i="20"/>
  <c r="P4" i="9"/>
  <c r="P4" i="23"/>
  <c r="P4" i="24"/>
  <c r="P4" i="12"/>
  <c r="P4" i="22"/>
  <c r="P4" i="21"/>
  <c r="P4" i="16"/>
  <c r="P5" i="7"/>
  <c r="P4" i="8"/>
  <c r="K299" i="12"/>
  <c r="K301" i="12" s="1"/>
  <c r="L134" i="12"/>
  <c r="L146" i="12"/>
  <c r="L129" i="12"/>
  <c r="L131" i="12" s="1"/>
  <c r="L129" i="23"/>
  <c r="L131" i="23" s="1"/>
  <c r="L146" i="23"/>
  <c r="L134" i="23"/>
  <c r="K305" i="24"/>
  <c r="K299" i="22"/>
  <c r="K301" i="22" s="1"/>
  <c r="K61" i="22"/>
  <c r="K115" i="22" s="1"/>
  <c r="K281" i="12"/>
  <c r="K285" i="12" s="1"/>
  <c r="P29" i="16"/>
  <c r="P30" i="16" s="1"/>
  <c r="P55" i="16" s="1"/>
  <c r="P52" i="16"/>
  <c r="P53" i="16" s="1"/>
  <c r="P56" i="16" s="1"/>
  <c r="P93" i="16"/>
  <c r="P94" i="16" s="1"/>
  <c r="P119" i="16" s="1"/>
  <c r="P116" i="16"/>
  <c r="P117" i="16" s="1"/>
  <c r="P120" i="16" s="1"/>
  <c r="P126" i="16"/>
  <c r="P62" i="16"/>
  <c r="P52" i="8"/>
  <c r="K187" i="22"/>
  <c r="K195" i="22" s="1"/>
  <c r="L22" i="24"/>
  <c r="L24" i="24" s="1"/>
  <c r="L27" i="24"/>
  <c r="K299" i="24"/>
  <c r="K301" i="24" s="1"/>
  <c r="K299" i="23"/>
  <c r="K301" i="23" s="1"/>
  <c r="K185" i="12"/>
  <c r="K193" i="12" s="1"/>
  <c r="K157" i="12"/>
  <c r="K158" i="12" s="1"/>
  <c r="M126" i="23"/>
  <c r="M127" i="23" s="1"/>
  <c r="M130" i="23" s="1"/>
  <c r="M131" i="23" s="1"/>
  <c r="M239" i="23"/>
  <c r="M240" i="23" s="1"/>
  <c r="M243" i="23" s="1"/>
  <c r="M244" i="23" s="1"/>
  <c r="M126" i="24"/>
  <c r="M127" i="24" s="1"/>
  <c r="M130" i="24" s="1"/>
  <c r="M131" i="24" s="1"/>
  <c r="M239" i="24"/>
  <c r="M240" i="24" s="1"/>
  <c r="M243" i="24" s="1"/>
  <c r="M244" i="24" s="1"/>
  <c r="M14" i="24"/>
  <c r="M15" i="24" s="1"/>
  <c r="M23" i="24" s="1"/>
  <c r="M24" i="24" s="1"/>
  <c r="M14" i="23"/>
  <c r="M15" i="23" s="1"/>
  <c r="M23" i="23" s="1"/>
  <c r="M24" i="23" s="1"/>
  <c r="M126" i="22"/>
  <c r="M127" i="22" s="1"/>
  <c r="M130" i="22" s="1"/>
  <c r="M131" i="22" s="1"/>
  <c r="M126" i="12"/>
  <c r="M127" i="12" s="1"/>
  <c r="M130" i="12" s="1"/>
  <c r="M131" i="12" s="1"/>
  <c r="M239" i="12"/>
  <c r="M240" i="12" s="1"/>
  <c r="M243" i="12" s="1"/>
  <c r="M244" i="12" s="1"/>
  <c r="M239" i="22"/>
  <c r="M240" i="22" s="1"/>
  <c r="M243" i="22" s="1"/>
  <c r="M244" i="22" s="1"/>
  <c r="M239" i="21"/>
  <c r="M240" i="21" s="1"/>
  <c r="M243" i="21" s="1"/>
  <c r="M244" i="21" s="1"/>
  <c r="M126" i="21"/>
  <c r="M127" i="21" s="1"/>
  <c r="M14" i="22"/>
  <c r="M15" i="22" s="1"/>
  <c r="M23" i="22" s="1"/>
  <c r="M24" i="22" s="1"/>
  <c r="M14" i="21"/>
  <c r="M15" i="21" s="1"/>
  <c r="M23" i="21" s="1"/>
  <c r="M24" i="21" s="1"/>
  <c r="M14" i="12"/>
  <c r="M15" i="12" s="1"/>
  <c r="M23" i="12" s="1"/>
  <c r="M24" i="12" s="1"/>
  <c r="K187" i="24"/>
  <c r="K195" i="24" s="1"/>
  <c r="L22" i="21"/>
  <c r="L24" i="21" s="1"/>
  <c r="L27" i="21"/>
  <c r="L27" i="23"/>
  <c r="L22" i="23"/>
  <c r="L24" i="23" s="1"/>
  <c r="O121" i="16"/>
  <c r="O124" i="16" s="1"/>
  <c r="O127" i="16" s="1"/>
  <c r="O129" i="16" s="1"/>
  <c r="O131" i="16" s="1"/>
  <c r="P139" i="24"/>
  <c r="P80" i="24"/>
  <c r="P84" i="24"/>
  <c r="P256" i="24"/>
  <c r="P17" i="24"/>
  <c r="P19" i="24" s="1"/>
  <c r="P32" i="24"/>
  <c r="P256" i="23"/>
  <c r="P32" i="23"/>
  <c r="P139" i="23"/>
  <c r="P17" i="23"/>
  <c r="P19" i="23" s="1"/>
  <c r="P80" i="23"/>
  <c r="P84" i="22"/>
  <c r="P84" i="23"/>
  <c r="P139" i="22"/>
  <c r="P17" i="12"/>
  <c r="P19" i="12" s="1"/>
  <c r="P256" i="22"/>
  <c r="P256" i="12"/>
  <c r="P80" i="22"/>
  <c r="P84" i="12"/>
  <c r="P17" i="21"/>
  <c r="P19" i="21" s="1"/>
  <c r="P139" i="12"/>
  <c r="P32" i="12"/>
  <c r="P80" i="21"/>
  <c r="P256" i="21"/>
  <c r="P139" i="21"/>
  <c r="P17" i="22"/>
  <c r="P19" i="22" s="1"/>
  <c r="P32" i="21"/>
  <c r="P80" i="12"/>
  <c r="P84" i="21"/>
  <c r="P32" i="22"/>
  <c r="L259" i="21"/>
  <c r="L248" i="21"/>
  <c r="L249" i="21" s="1"/>
  <c r="L264" i="21"/>
  <c r="L266" i="21" s="1"/>
  <c r="L270" i="21" s="1"/>
  <c r="L271" i="21" s="1"/>
  <c r="M69" i="24"/>
  <c r="M70" i="24" s="1"/>
  <c r="M69" i="23"/>
  <c r="M69" i="22"/>
  <c r="M69" i="12"/>
  <c r="M69" i="21"/>
  <c r="M133" i="16"/>
  <c r="M135" i="16" s="1"/>
  <c r="K281" i="22"/>
  <c r="K285" i="22" s="1"/>
  <c r="N68" i="8"/>
  <c r="O68" i="8" s="1"/>
  <c r="O179" i="24"/>
  <c r="O179" i="23"/>
  <c r="O179" i="22"/>
  <c r="O179" i="12"/>
  <c r="P65" i="8"/>
  <c r="P67" i="8" s="1"/>
  <c r="O179" i="21"/>
  <c r="K305" i="21"/>
  <c r="K185" i="23"/>
  <c r="K193" i="23" s="1"/>
  <c r="K157" i="23"/>
  <c r="K158" i="23" s="1"/>
  <c r="K61" i="12"/>
  <c r="K115" i="12" s="1"/>
  <c r="L248" i="12"/>
  <c r="L249" i="12" s="1"/>
  <c r="L259" i="12"/>
  <c r="L264" i="12"/>
  <c r="L266" i="12" s="1"/>
  <c r="L270" i="12" s="1"/>
  <c r="L271" i="12" s="1"/>
  <c r="K299" i="21"/>
  <c r="K301" i="21" s="1"/>
  <c r="L22" i="22" l="1"/>
  <c r="L24" i="22" s="1"/>
  <c r="O14" i="21"/>
  <c r="O15" i="21" s="1"/>
  <c r="O23" i="21" s="1"/>
  <c r="O239" i="21"/>
  <c r="O240" i="21" s="1"/>
  <c r="O243" i="21" s="1"/>
  <c r="O14" i="12"/>
  <c r="O15" i="12" s="1"/>
  <c r="O23" i="12" s="1"/>
  <c r="O239" i="22"/>
  <c r="O240" i="22" s="1"/>
  <c r="O243" i="22" s="1"/>
  <c r="O126" i="21"/>
  <c r="O127" i="21" s="1"/>
  <c r="O130" i="21" s="1"/>
  <c r="O239" i="12"/>
  <c r="O240" i="12" s="1"/>
  <c r="O243" i="12" s="1"/>
  <c r="O14" i="23"/>
  <c r="O15" i="23" s="1"/>
  <c r="O23" i="23" s="1"/>
  <c r="O239" i="24"/>
  <c r="O240" i="24" s="1"/>
  <c r="O243" i="24" s="1"/>
  <c r="O239" i="23"/>
  <c r="O240" i="23" s="1"/>
  <c r="O243" i="23" s="1"/>
  <c r="O14" i="24"/>
  <c r="O15" i="24" s="1"/>
  <c r="O23" i="24" s="1"/>
  <c r="O126" i="24"/>
  <c r="O127" i="24" s="1"/>
  <c r="O130" i="24" s="1"/>
  <c r="O126" i="12"/>
  <c r="O127" i="12" s="1"/>
  <c r="O130" i="12" s="1"/>
  <c r="O126" i="22"/>
  <c r="O127" i="22" s="1"/>
  <c r="O130" i="22" s="1"/>
  <c r="O14" i="22"/>
  <c r="O15" i="22" s="1"/>
  <c r="O23" i="22" s="1"/>
  <c r="M130" i="21"/>
  <c r="M131" i="21" s="1"/>
  <c r="M147" i="21" s="1"/>
  <c r="K176" i="22"/>
  <c r="K178" i="22" s="1"/>
  <c r="K180" i="22" s="1"/>
  <c r="K20" i="20" s="1"/>
  <c r="P57" i="16"/>
  <c r="P60" i="16" s="1"/>
  <c r="P63" i="16" s="1"/>
  <c r="P65" i="16" s="1"/>
  <c r="P67" i="16" s="1"/>
  <c r="P69" i="16" s="1"/>
  <c r="P71" i="16" s="1"/>
  <c r="L280" i="21"/>
  <c r="L284" i="21" s="1"/>
  <c r="L274" i="21"/>
  <c r="K188" i="22"/>
  <c r="K196" i="22" s="1"/>
  <c r="K109" i="22"/>
  <c r="L273" i="12"/>
  <c r="L279" i="12"/>
  <c r="L283" i="12" s="1"/>
  <c r="N3" i="20"/>
  <c r="N3" i="24"/>
  <c r="N3" i="23"/>
  <c r="N3" i="9"/>
  <c r="N3" i="22"/>
  <c r="N3" i="12"/>
  <c r="N3" i="8"/>
  <c r="N3" i="16"/>
  <c r="N4" i="7"/>
  <c r="N3" i="21"/>
  <c r="Q102" i="23"/>
  <c r="Q102" i="24"/>
  <c r="Q102" i="22"/>
  <c r="Q102" i="12"/>
  <c r="Q53" i="8"/>
  <c r="Q102" i="21"/>
  <c r="Q64" i="8"/>
  <c r="K188" i="12"/>
  <c r="K196" i="12" s="1"/>
  <c r="K109" i="12"/>
  <c r="K188" i="21"/>
  <c r="K196" i="21" s="1"/>
  <c r="K109" i="21"/>
  <c r="L273" i="22"/>
  <c r="L279" i="22"/>
  <c r="L283" i="22" s="1"/>
  <c r="L273" i="24"/>
  <c r="L279" i="24"/>
  <c r="L283" i="24" s="1"/>
  <c r="K188" i="23"/>
  <c r="K196" i="23" s="1"/>
  <c r="K109" i="23"/>
  <c r="L279" i="21"/>
  <c r="L283" i="21" s="1"/>
  <c r="L273" i="21"/>
  <c r="L279" i="23"/>
  <c r="L283" i="23" s="1"/>
  <c r="L273" i="23"/>
  <c r="L142" i="23"/>
  <c r="L135" i="23"/>
  <c r="L136" i="23" s="1"/>
  <c r="L147" i="23"/>
  <c r="L149" i="23" s="1"/>
  <c r="L153" i="23" s="1"/>
  <c r="L154" i="23" s="1"/>
  <c r="L39" i="21"/>
  <c r="M28" i="23"/>
  <c r="M29" i="23" s="1"/>
  <c r="M35" i="23"/>
  <c r="M40" i="23"/>
  <c r="L142" i="12"/>
  <c r="L135" i="12"/>
  <c r="L147" i="12"/>
  <c r="L149" i="12" s="1"/>
  <c r="L153" i="12" s="1"/>
  <c r="L154" i="12" s="1"/>
  <c r="K160" i="24"/>
  <c r="K186" i="24"/>
  <c r="K194" i="24" s="1"/>
  <c r="L91" i="22"/>
  <c r="L68" i="22"/>
  <c r="L70" i="22" s="1"/>
  <c r="L73" i="22"/>
  <c r="M35" i="21"/>
  <c r="M28" i="21"/>
  <c r="M29" i="21" s="1"/>
  <c r="M40" i="21"/>
  <c r="K319" i="22"/>
  <c r="K306" i="22"/>
  <c r="K307" i="22" s="1"/>
  <c r="K203" i="23"/>
  <c r="L35" i="23"/>
  <c r="L28" i="23"/>
  <c r="L29" i="23" s="1"/>
  <c r="L40" i="23"/>
  <c r="M147" i="12"/>
  <c r="M142" i="12"/>
  <c r="M135" i="12"/>
  <c r="M136" i="12" s="1"/>
  <c r="M87" i="24"/>
  <c r="M74" i="24"/>
  <c r="M75" i="24" s="1"/>
  <c r="L39" i="23"/>
  <c r="M142" i="22"/>
  <c r="M135" i="22"/>
  <c r="M136" i="22" s="1"/>
  <c r="M147" i="22"/>
  <c r="L142" i="22"/>
  <c r="L147" i="22"/>
  <c r="L149" i="22" s="1"/>
  <c r="L153" i="22" s="1"/>
  <c r="L154" i="22" s="1"/>
  <c r="L135" i="22"/>
  <c r="L136" i="22" s="1"/>
  <c r="L40" i="12"/>
  <c r="L35" i="12"/>
  <c r="L28" i="12"/>
  <c r="L29" i="12" s="1"/>
  <c r="K203" i="24"/>
  <c r="L35" i="21"/>
  <c r="L28" i="21"/>
  <c r="L29" i="21" s="1"/>
  <c r="L40" i="21"/>
  <c r="M40" i="24"/>
  <c r="M35" i="24"/>
  <c r="M28" i="24"/>
  <c r="M29" i="24" s="1"/>
  <c r="P54" i="8"/>
  <c r="L135" i="24"/>
  <c r="L136" i="24" s="1"/>
  <c r="L142" i="24"/>
  <c r="L147" i="24"/>
  <c r="L149" i="24" s="1"/>
  <c r="L153" i="24" s="1"/>
  <c r="L154" i="24" s="1"/>
  <c r="K200" i="21"/>
  <c r="K201" i="21" s="1"/>
  <c r="M259" i="23"/>
  <c r="M261" i="23" s="1"/>
  <c r="M248" i="23"/>
  <c r="M249" i="23" s="1"/>
  <c r="M264" i="23"/>
  <c r="K306" i="12"/>
  <c r="K307" i="12" s="1"/>
  <c r="K319" i="12"/>
  <c r="P45" i="8"/>
  <c r="Q46" i="8" s="1"/>
  <c r="K200" i="12"/>
  <c r="K201" i="12" s="1"/>
  <c r="L91" i="12"/>
  <c r="L68" i="12"/>
  <c r="L70" i="12" s="1"/>
  <c r="L73" i="12"/>
  <c r="M142" i="23"/>
  <c r="M135" i="23"/>
  <c r="M136" i="23" s="1"/>
  <c r="M147" i="23"/>
  <c r="P121" i="16"/>
  <c r="P124" i="16" s="1"/>
  <c r="P127" i="16" s="1"/>
  <c r="P129" i="16" s="1"/>
  <c r="P131" i="16" s="1"/>
  <c r="P179" i="24"/>
  <c r="P179" i="23"/>
  <c r="P179" i="12"/>
  <c r="Q65" i="8"/>
  <c r="Q67" i="8" s="1"/>
  <c r="P179" i="22"/>
  <c r="P179" i="21"/>
  <c r="P57" i="8"/>
  <c r="K109" i="24"/>
  <c r="K186" i="12"/>
  <c r="K194" i="12" s="1"/>
  <c r="K160" i="12"/>
  <c r="L91" i="24"/>
  <c r="L73" i="24"/>
  <c r="L68" i="24"/>
  <c r="L70" i="24" s="1"/>
  <c r="M135" i="24"/>
  <c r="M136" i="24" s="1"/>
  <c r="M142" i="24"/>
  <c r="M147" i="24"/>
  <c r="K200" i="24"/>
  <c r="K201" i="24" s="1"/>
  <c r="K203" i="12"/>
  <c r="Q4" i="24"/>
  <c r="Q4" i="20"/>
  <c r="Q4" i="9"/>
  <c r="Q4" i="22"/>
  <c r="Q4" i="23"/>
  <c r="Q5" i="7"/>
  <c r="Q4" i="8"/>
  <c r="Q4" i="12"/>
  <c r="Q4" i="16"/>
  <c r="Q4" i="21"/>
  <c r="O152" i="24"/>
  <c r="O46" i="24"/>
  <c r="O269" i="24"/>
  <c r="O269" i="23"/>
  <c r="O98" i="23"/>
  <c r="O98" i="24"/>
  <c r="O152" i="23"/>
  <c r="O46" i="23"/>
  <c r="O152" i="22"/>
  <c r="O269" i="12"/>
  <c r="O98" i="12"/>
  <c r="O98" i="22"/>
  <c r="O98" i="21"/>
  <c r="O269" i="22"/>
  <c r="O46" i="12"/>
  <c r="O152" i="12"/>
  <c r="O269" i="21"/>
  <c r="O46" i="22"/>
  <c r="O152" i="21"/>
  <c r="O58" i="8"/>
  <c r="O59" i="8" s="1"/>
  <c r="O46" i="21"/>
  <c r="M264" i="24"/>
  <c r="M259" i="24"/>
  <c r="M261" i="24" s="1"/>
  <c r="M248" i="24"/>
  <c r="M249" i="24" s="1"/>
  <c r="L142" i="21"/>
  <c r="L135" i="21"/>
  <c r="L136" i="21" s="1"/>
  <c r="L147" i="21"/>
  <c r="L149" i="21" s="1"/>
  <c r="L153" i="21" s="1"/>
  <c r="L154" i="21" s="1"/>
  <c r="K319" i="21"/>
  <c r="K306" i="21"/>
  <c r="K307" i="21" s="1"/>
  <c r="K306" i="23"/>
  <c r="K307" i="23" s="1"/>
  <c r="K319" i="23"/>
  <c r="Q256" i="24"/>
  <c r="Q139" i="24"/>
  <c r="Q32" i="24"/>
  <c r="Q256" i="23"/>
  <c r="Q84" i="24"/>
  <c r="Q139" i="23"/>
  <c r="Q32" i="23"/>
  <c r="Q80" i="23"/>
  <c r="Q17" i="23"/>
  <c r="Q19" i="23" s="1"/>
  <c r="Q84" i="23"/>
  <c r="Q84" i="22"/>
  <c r="Q256" i="12"/>
  <c r="Q17" i="24"/>
  <c r="Q19" i="24" s="1"/>
  <c r="Q84" i="12"/>
  <c r="Q80" i="24"/>
  <c r="Q139" i="21"/>
  <c r="Q80" i="22"/>
  <c r="Q256" i="22"/>
  <c r="Q32" i="12"/>
  <c r="Q139" i="22"/>
  <c r="Q80" i="21"/>
  <c r="Q80" i="12"/>
  <c r="Q139" i="12"/>
  <c r="Q256" i="21"/>
  <c r="Q17" i="22"/>
  <c r="Q19" i="22" s="1"/>
  <c r="Q17" i="21"/>
  <c r="Q19" i="21" s="1"/>
  <c r="Q17" i="12"/>
  <c r="Q19" i="12" s="1"/>
  <c r="Q32" i="21"/>
  <c r="Q84" i="21"/>
  <c r="Q32" i="22"/>
  <c r="L91" i="23"/>
  <c r="L68" i="23"/>
  <c r="L70" i="23" s="1"/>
  <c r="L73" i="23"/>
  <c r="P68" i="8"/>
  <c r="K204" i="24"/>
  <c r="L280" i="12"/>
  <c r="L284" i="12" s="1"/>
  <c r="L274" i="12"/>
  <c r="Q35" i="8"/>
  <c r="Q57" i="8" s="1"/>
  <c r="Q34" i="8"/>
  <c r="Q45" i="8" s="1"/>
  <c r="R46" i="8" s="1"/>
  <c r="L274" i="24"/>
  <c r="L280" i="24"/>
  <c r="L284" i="24" s="1"/>
  <c r="M35" i="12"/>
  <c r="M28" i="12"/>
  <c r="M29" i="12" s="1"/>
  <c r="M40" i="12"/>
  <c r="L274" i="22"/>
  <c r="L280" i="22"/>
  <c r="L284" i="22" s="1"/>
  <c r="K203" i="21"/>
  <c r="K160" i="21"/>
  <c r="K186" i="21"/>
  <c r="K194" i="21" s="1"/>
  <c r="L28" i="22"/>
  <c r="L29" i="22" s="1"/>
  <c r="L35" i="22"/>
  <c r="L40" i="22"/>
  <c r="L68" i="21"/>
  <c r="L70" i="21" s="1"/>
  <c r="L91" i="21"/>
  <c r="L73" i="21"/>
  <c r="L39" i="22"/>
  <c r="L280" i="23"/>
  <c r="L284" i="23" s="1"/>
  <c r="L274" i="23"/>
  <c r="M35" i="22"/>
  <c r="M40" i="22"/>
  <c r="M28" i="22"/>
  <c r="M29" i="22" s="1"/>
  <c r="K319" i="24"/>
  <c r="K306" i="24"/>
  <c r="K307" i="24" s="1"/>
  <c r="O69" i="24"/>
  <c r="O69" i="23"/>
  <c r="O69" i="12"/>
  <c r="O69" i="22"/>
  <c r="O69" i="21"/>
  <c r="O133" i="16"/>
  <c r="O135" i="16" s="1"/>
  <c r="M264" i="21"/>
  <c r="M259" i="21"/>
  <c r="M261" i="21" s="1"/>
  <c r="M248" i="21"/>
  <c r="M249" i="21" s="1"/>
  <c r="L39" i="24"/>
  <c r="K200" i="23"/>
  <c r="K201" i="23" s="1"/>
  <c r="M248" i="22"/>
  <c r="M249" i="22" s="1"/>
  <c r="M264" i="22"/>
  <c r="M259" i="22"/>
  <c r="M261" i="22" s="1"/>
  <c r="L28" i="24"/>
  <c r="L29" i="24" s="1"/>
  <c r="L40" i="24"/>
  <c r="L35" i="24"/>
  <c r="K203" i="22"/>
  <c r="R2" i="9"/>
  <c r="R2" i="24"/>
  <c r="R2" i="20"/>
  <c r="R2" i="23"/>
  <c r="R2" i="22"/>
  <c r="R33" i="8"/>
  <c r="R25" i="8"/>
  <c r="R27" i="8" s="1"/>
  <c r="H27" i="8" s="1"/>
  <c r="R2" i="8"/>
  <c r="R2" i="21"/>
  <c r="R2" i="12"/>
  <c r="R2" i="16"/>
  <c r="R49" i="8"/>
  <c r="R50" i="8" s="1"/>
  <c r="R39" i="8"/>
  <c r="R40" i="8" s="1"/>
  <c r="R3" i="7"/>
  <c r="R84" i="8"/>
  <c r="R86" i="8" s="1"/>
  <c r="K186" i="23"/>
  <c r="K194" i="23" s="1"/>
  <c r="K160" i="23"/>
  <c r="M248" i="12"/>
  <c r="M249" i="12" s="1"/>
  <c r="M264" i="12"/>
  <c r="M259" i="12"/>
  <c r="M261" i="12" s="1"/>
  <c r="K200" i="22"/>
  <c r="K201" i="22" s="1"/>
  <c r="K186" i="22"/>
  <c r="K194" i="22" s="1"/>
  <c r="K160" i="22"/>
  <c r="L136" i="12"/>
  <c r="L39" i="12"/>
  <c r="M142" i="21" l="1"/>
  <c r="M135" i="21"/>
  <c r="M136" i="21" s="1"/>
  <c r="M184" i="21" s="1"/>
  <c r="M192" i="21" s="1"/>
  <c r="M199" i="21" s="1"/>
  <c r="L42" i="21"/>
  <c r="L47" i="21" s="1"/>
  <c r="L48" i="21" s="1"/>
  <c r="L52" i="21" s="1"/>
  <c r="L42" i="24"/>
  <c r="L47" i="24" s="1"/>
  <c r="L48" i="24" s="1"/>
  <c r="L52" i="24" s="1"/>
  <c r="L275" i="21"/>
  <c r="L281" i="21" s="1"/>
  <c r="L285" i="21" s="1"/>
  <c r="L42" i="22"/>
  <c r="L47" i="22" s="1"/>
  <c r="L48" i="22" s="1"/>
  <c r="L52" i="22" s="1"/>
  <c r="L42" i="23"/>
  <c r="L47" i="23" s="1"/>
  <c r="L48" i="23" s="1"/>
  <c r="L52" i="23" s="1"/>
  <c r="L156" i="24"/>
  <c r="L184" i="24"/>
  <c r="L192" i="24" s="1"/>
  <c r="L143" i="24"/>
  <c r="L51" i="12"/>
  <c r="L36" i="12"/>
  <c r="L143" i="21"/>
  <c r="L156" i="21"/>
  <c r="L184" i="21"/>
  <c r="L192" i="21" s="1"/>
  <c r="L185" i="23"/>
  <c r="L193" i="23" s="1"/>
  <c r="L157" i="23"/>
  <c r="L156" i="23"/>
  <c r="L143" i="23"/>
  <c r="L184" i="23"/>
  <c r="L192" i="23" s="1"/>
  <c r="L185" i="21"/>
  <c r="L193" i="21" s="1"/>
  <c r="L157" i="21"/>
  <c r="K217" i="24"/>
  <c r="K219" i="24" s="1"/>
  <c r="M156" i="24"/>
  <c r="M184" i="24"/>
  <c r="M192" i="24" s="1"/>
  <c r="M199" i="24" s="1"/>
  <c r="M143" i="24"/>
  <c r="M144" i="24" s="1"/>
  <c r="L275" i="23"/>
  <c r="M273" i="22"/>
  <c r="M279" i="22"/>
  <c r="M283" i="22" s="1"/>
  <c r="M293" i="22" s="1"/>
  <c r="M295" i="22" s="1"/>
  <c r="M305" i="22" s="1"/>
  <c r="L299" i="22"/>
  <c r="L301" i="22" s="1"/>
  <c r="L185" i="24"/>
  <c r="L193" i="24" s="1"/>
  <c r="L157" i="24"/>
  <c r="L36" i="21"/>
  <c r="L51" i="21"/>
  <c r="L53" i="21" s="1"/>
  <c r="L293" i="23"/>
  <c r="L295" i="23" s="1"/>
  <c r="L51" i="24"/>
  <c r="L53" i="24" s="1"/>
  <c r="L36" i="24"/>
  <c r="L87" i="24"/>
  <c r="L92" i="24" s="1"/>
  <c r="L94" i="24" s="1"/>
  <c r="L99" i="24" s="1"/>
  <c r="L100" i="24" s="1"/>
  <c r="L108" i="24" s="1"/>
  <c r="L188" i="24" s="1"/>
  <c r="L196" i="24" s="1"/>
  <c r="L74" i="24"/>
  <c r="L75" i="24" s="1"/>
  <c r="R29" i="16"/>
  <c r="R30" i="16" s="1"/>
  <c r="R55" i="16" s="1"/>
  <c r="R93" i="16"/>
  <c r="R94" i="16" s="1"/>
  <c r="R119" i="16" s="1"/>
  <c r="R126" i="16"/>
  <c r="R116" i="16"/>
  <c r="R117" i="16" s="1"/>
  <c r="R120" i="16" s="1"/>
  <c r="R52" i="16"/>
  <c r="R53" i="16" s="1"/>
  <c r="R56" i="16" s="1"/>
  <c r="R52" i="8"/>
  <c r="R62" i="16"/>
  <c r="K217" i="22"/>
  <c r="K219" i="22" s="1"/>
  <c r="M265" i="21"/>
  <c r="M266" i="21" s="1"/>
  <c r="M270" i="21" s="1"/>
  <c r="M271" i="21" s="1"/>
  <c r="N258" i="21"/>
  <c r="L74" i="21"/>
  <c r="L75" i="21" s="1"/>
  <c r="L87" i="21"/>
  <c r="L92" i="21" s="1"/>
  <c r="M184" i="22"/>
  <c r="M192" i="22" s="1"/>
  <c r="M199" i="22" s="1"/>
  <c r="M156" i="22"/>
  <c r="M143" i="22"/>
  <c r="L184" i="12"/>
  <c r="L192" i="12" s="1"/>
  <c r="L156" i="12"/>
  <c r="L143" i="12"/>
  <c r="M279" i="23"/>
  <c r="M283" i="23" s="1"/>
  <c r="M293" i="23" s="1"/>
  <c r="M295" i="23" s="1"/>
  <c r="M305" i="23" s="1"/>
  <c r="M273" i="23"/>
  <c r="L51" i="22"/>
  <c r="L36" i="22"/>
  <c r="L299" i="24"/>
  <c r="L301" i="24" s="1"/>
  <c r="M279" i="21"/>
  <c r="M283" i="21" s="1"/>
  <c r="M293" i="21" s="1"/>
  <c r="M295" i="21" s="1"/>
  <c r="M305" i="21" s="1"/>
  <c r="M273" i="21"/>
  <c r="M265" i="12"/>
  <c r="M266" i="12" s="1"/>
  <c r="M270" i="12" s="1"/>
  <c r="M271" i="12" s="1"/>
  <c r="N258" i="12"/>
  <c r="R102" i="24"/>
  <c r="R102" i="23"/>
  <c r="R102" i="22"/>
  <c r="R102" i="12"/>
  <c r="R53" i="8"/>
  <c r="R102" i="21"/>
  <c r="R64" i="8"/>
  <c r="H50" i="8"/>
  <c r="L157" i="22"/>
  <c r="L185" i="22"/>
  <c r="L193" i="22" s="1"/>
  <c r="P69" i="24"/>
  <c r="P69" i="23"/>
  <c r="P69" i="22"/>
  <c r="P69" i="12"/>
  <c r="P69" i="21"/>
  <c r="P133" i="16"/>
  <c r="P135" i="16" s="1"/>
  <c r="N258" i="24"/>
  <c r="M265" i="24"/>
  <c r="M266" i="24" s="1"/>
  <c r="M270" i="24" s="1"/>
  <c r="M271" i="24" s="1"/>
  <c r="R34" i="8"/>
  <c r="R35" i="8"/>
  <c r="M107" i="24"/>
  <c r="M88" i="24"/>
  <c r="M89" i="24" s="1"/>
  <c r="M92" i="24"/>
  <c r="K116" i="24"/>
  <c r="K189" i="24"/>
  <c r="K197" i="24" s="1"/>
  <c r="K161" i="24"/>
  <c r="K162" i="24" s="1"/>
  <c r="M156" i="12"/>
  <c r="M184" i="12"/>
  <c r="M192" i="12" s="1"/>
  <c r="M199" i="12" s="1"/>
  <c r="M143" i="12"/>
  <c r="M144" i="12" s="1"/>
  <c r="L293" i="22"/>
  <c r="L295" i="22" s="1"/>
  <c r="L157" i="12"/>
  <c r="L185" i="12"/>
  <c r="L193" i="12" s="1"/>
  <c r="L275" i="22"/>
  <c r="L293" i="12"/>
  <c r="L295" i="12" s="1"/>
  <c r="R256" i="24"/>
  <c r="R32" i="24"/>
  <c r="R139" i="24"/>
  <c r="R256" i="23"/>
  <c r="R32" i="23"/>
  <c r="R17" i="24"/>
  <c r="R19" i="24" s="1"/>
  <c r="R17" i="23"/>
  <c r="R19" i="23" s="1"/>
  <c r="R84" i="24"/>
  <c r="R80" i="24"/>
  <c r="F81" i="24" s="1"/>
  <c r="R80" i="23"/>
  <c r="F81" i="23" s="1"/>
  <c r="F83" i="23" s="1"/>
  <c r="L89" i="23" s="1"/>
  <c r="R80" i="22"/>
  <c r="F81" i="22" s="1"/>
  <c r="F83" i="22" s="1"/>
  <c r="L89" i="22" s="1"/>
  <c r="R84" i="22"/>
  <c r="R84" i="23"/>
  <c r="R17" i="12"/>
  <c r="R19" i="12" s="1"/>
  <c r="R139" i="12"/>
  <c r="R139" i="22"/>
  <c r="R256" i="12"/>
  <c r="R139" i="23"/>
  <c r="R32" i="22"/>
  <c r="R17" i="21"/>
  <c r="R19" i="21" s="1"/>
  <c r="R84" i="12"/>
  <c r="R17" i="22"/>
  <c r="R19" i="22" s="1"/>
  <c r="R80" i="21"/>
  <c r="F81" i="21" s="1"/>
  <c r="F83" i="21" s="1"/>
  <c r="L89" i="21" s="1"/>
  <c r="R80" i="12"/>
  <c r="F81" i="12" s="1"/>
  <c r="F83" i="12" s="1"/>
  <c r="L89" i="12" s="1"/>
  <c r="R32" i="12"/>
  <c r="R256" i="22"/>
  <c r="R256" i="21"/>
  <c r="R32" i="21"/>
  <c r="R84" i="21"/>
  <c r="R139" i="21"/>
  <c r="H40" i="8"/>
  <c r="M51" i="21"/>
  <c r="M36" i="21"/>
  <c r="M37" i="21" s="1"/>
  <c r="L74" i="22"/>
  <c r="L75" i="22" s="1"/>
  <c r="L87" i="22"/>
  <c r="L92" i="22" s="1"/>
  <c r="L36" i="23"/>
  <c r="L51" i="23"/>
  <c r="K207" i="12"/>
  <c r="L275" i="24"/>
  <c r="K205" i="24"/>
  <c r="K217" i="12"/>
  <c r="K219" i="12" s="1"/>
  <c r="K189" i="21"/>
  <c r="K197" i="21" s="1"/>
  <c r="K161" i="21"/>
  <c r="K162" i="21" s="1"/>
  <c r="K116" i="21"/>
  <c r="L275" i="12"/>
  <c r="M273" i="12"/>
  <c r="M279" i="12"/>
  <c r="M283" i="12" s="1"/>
  <c r="M293" i="12" s="1"/>
  <c r="M295" i="12" s="1"/>
  <c r="M305" i="12" s="1"/>
  <c r="L74" i="12"/>
  <c r="L75" i="12" s="1"/>
  <c r="L87" i="12"/>
  <c r="L92" i="12" s="1"/>
  <c r="P269" i="24"/>
  <c r="P98" i="24"/>
  <c r="P46" i="24"/>
  <c r="P98" i="23"/>
  <c r="P152" i="22"/>
  <c r="P152" i="24"/>
  <c r="P46" i="23"/>
  <c r="P269" i="22"/>
  <c r="P98" i="22"/>
  <c r="P152" i="23"/>
  <c r="P98" i="12"/>
  <c r="P152" i="12"/>
  <c r="P46" i="12"/>
  <c r="P269" i="23"/>
  <c r="P269" i="12"/>
  <c r="P46" i="22"/>
  <c r="P58" i="8"/>
  <c r="P59" i="8" s="1"/>
  <c r="P152" i="21"/>
  <c r="P269" i="21"/>
  <c r="P98" i="21"/>
  <c r="P46" i="21"/>
  <c r="M51" i="24"/>
  <c r="M36" i="24"/>
  <c r="M37" i="24" s="1"/>
  <c r="K207" i="21"/>
  <c r="Q68" i="8"/>
  <c r="M156" i="21"/>
  <c r="M143" i="21"/>
  <c r="M144" i="21" s="1"/>
  <c r="K204" i="21"/>
  <c r="K205" i="21" s="1"/>
  <c r="K189" i="22"/>
  <c r="K197" i="22" s="1"/>
  <c r="K116" i="22"/>
  <c r="K161" i="22"/>
  <c r="K162" i="22" s="1"/>
  <c r="M36" i="12"/>
  <c r="M51" i="12"/>
  <c r="M37" i="12"/>
  <c r="M265" i="23"/>
  <c r="M266" i="23" s="1"/>
  <c r="M270" i="23" s="1"/>
  <c r="M271" i="23" s="1"/>
  <c r="N258" i="23"/>
  <c r="M273" i="24"/>
  <c r="M279" i="24"/>
  <c r="M283" i="24" s="1"/>
  <c r="M293" i="24" s="1"/>
  <c r="M295" i="24" s="1"/>
  <c r="M305" i="24" s="1"/>
  <c r="M144" i="22"/>
  <c r="O3" i="20"/>
  <c r="O3" i="9"/>
  <c r="O3" i="23"/>
  <c r="O3" i="24"/>
  <c r="O3" i="22"/>
  <c r="O3" i="12"/>
  <c r="O3" i="21"/>
  <c r="O3" i="8"/>
  <c r="O4" i="7"/>
  <c r="O3" i="16"/>
  <c r="K189" i="23"/>
  <c r="K197" i="23" s="1"/>
  <c r="K161" i="23"/>
  <c r="K162" i="23" s="1"/>
  <c r="K116" i="23"/>
  <c r="K204" i="23"/>
  <c r="K205" i="23" s="1"/>
  <c r="L299" i="12"/>
  <c r="L301" i="12" s="1"/>
  <c r="L293" i="24"/>
  <c r="L295" i="24" s="1"/>
  <c r="Q52" i="16"/>
  <c r="Q53" i="16" s="1"/>
  <c r="Q56" i="16" s="1"/>
  <c r="Q93" i="16"/>
  <c r="Q94" i="16" s="1"/>
  <c r="Q119" i="16" s="1"/>
  <c r="Q116" i="16"/>
  <c r="Q117" i="16" s="1"/>
  <c r="Q120" i="16" s="1"/>
  <c r="Q126" i="16"/>
  <c r="Q29" i="16"/>
  <c r="Q30" i="16" s="1"/>
  <c r="Q55" i="16" s="1"/>
  <c r="Q62" i="16"/>
  <c r="Q52" i="8"/>
  <c r="Q54" i="8" s="1"/>
  <c r="H46" i="8"/>
  <c r="K116" i="12"/>
  <c r="K161" i="12"/>
  <c r="K162" i="12" s="1"/>
  <c r="K189" i="12"/>
  <c r="K197" i="12" s="1"/>
  <c r="K204" i="22"/>
  <c r="K205" i="22" s="1"/>
  <c r="L156" i="22"/>
  <c r="L184" i="22"/>
  <c r="L192" i="22" s="1"/>
  <c r="L143" i="22"/>
  <c r="N258" i="22"/>
  <c r="M265" i="22"/>
  <c r="M266" i="22" s="1"/>
  <c r="M270" i="22" s="1"/>
  <c r="M271" i="22" s="1"/>
  <c r="M51" i="22"/>
  <c r="M36" i="22"/>
  <c r="M37" i="22" s="1"/>
  <c r="K204" i="12"/>
  <c r="K205" i="12" s="1"/>
  <c r="L299" i="23"/>
  <c r="L301" i="23" s="1"/>
  <c r="K217" i="23"/>
  <c r="K219" i="23" s="1"/>
  <c r="L74" i="23"/>
  <c r="L75" i="23" s="1"/>
  <c r="L87" i="23"/>
  <c r="L92" i="23" s="1"/>
  <c r="K207" i="22"/>
  <c r="K217" i="21"/>
  <c r="K219" i="21" s="1"/>
  <c r="M156" i="23"/>
  <c r="M143" i="23"/>
  <c r="M144" i="23" s="1"/>
  <c r="M184" i="23"/>
  <c r="M192" i="23" s="1"/>
  <c r="M199" i="23" s="1"/>
  <c r="L293" i="21"/>
  <c r="L295" i="21" s="1"/>
  <c r="K207" i="24"/>
  <c r="K207" i="23"/>
  <c r="L42" i="12"/>
  <c r="L47" i="12" s="1"/>
  <c r="L48" i="12" s="1"/>
  <c r="L52" i="12" s="1"/>
  <c r="R4" i="20"/>
  <c r="R4" i="9"/>
  <c r="R4" i="24"/>
  <c r="R4" i="23"/>
  <c r="R4" i="22"/>
  <c r="R4" i="21"/>
  <c r="R4" i="12"/>
  <c r="R5" i="7"/>
  <c r="R4" i="8"/>
  <c r="R4" i="16"/>
  <c r="P239" i="24"/>
  <c r="P240" i="24" s="1"/>
  <c r="P243" i="24" s="1"/>
  <c r="P14" i="24"/>
  <c r="P15" i="24" s="1"/>
  <c r="P23" i="24" s="1"/>
  <c r="P126" i="23"/>
  <c r="P127" i="23" s="1"/>
  <c r="P130" i="23" s="1"/>
  <c r="P126" i="24"/>
  <c r="P127" i="24" s="1"/>
  <c r="P130" i="24" s="1"/>
  <c r="P239" i="12"/>
  <c r="P240" i="12" s="1"/>
  <c r="P243" i="12" s="1"/>
  <c r="P239" i="23"/>
  <c r="P240" i="23" s="1"/>
  <c r="P243" i="23" s="1"/>
  <c r="P126" i="22"/>
  <c r="P127" i="22" s="1"/>
  <c r="P130" i="22" s="1"/>
  <c r="P14" i="23"/>
  <c r="P15" i="23" s="1"/>
  <c r="P23" i="23" s="1"/>
  <c r="P239" i="22"/>
  <c r="P240" i="22" s="1"/>
  <c r="P243" i="22" s="1"/>
  <c r="P14" i="22"/>
  <c r="P15" i="22" s="1"/>
  <c r="P23" i="22" s="1"/>
  <c r="P126" i="21"/>
  <c r="P127" i="21" s="1"/>
  <c r="P130" i="21" s="1"/>
  <c r="P14" i="21"/>
  <c r="P15" i="21" s="1"/>
  <c r="P23" i="21" s="1"/>
  <c r="P239" i="21"/>
  <c r="P240" i="21" s="1"/>
  <c r="P243" i="21" s="1"/>
  <c r="P14" i="12"/>
  <c r="P15" i="12" s="1"/>
  <c r="P23" i="12" s="1"/>
  <c r="P126" i="12"/>
  <c r="P127" i="12" s="1"/>
  <c r="P130" i="12" s="1"/>
  <c r="M51" i="23"/>
  <c r="M36" i="23"/>
  <c r="M37" i="23" s="1"/>
  <c r="Q179" i="23"/>
  <c r="Q179" i="12"/>
  <c r="Q179" i="22"/>
  <c r="Q179" i="21"/>
  <c r="Q179" i="24"/>
  <c r="R65" i="8"/>
  <c r="R67" i="8" s="1"/>
  <c r="L299" i="21"/>
  <c r="L301" i="21" s="1"/>
  <c r="Q57" i="16" l="1"/>
  <c r="Q60" i="16" s="1"/>
  <c r="L158" i="12"/>
  <c r="L53" i="23"/>
  <c r="L53" i="22"/>
  <c r="R57" i="16"/>
  <c r="R60" i="16" s="1"/>
  <c r="L158" i="21"/>
  <c r="L88" i="21"/>
  <c r="L107" i="21"/>
  <c r="M171" i="24"/>
  <c r="M175" i="24" s="1"/>
  <c r="N86" i="24"/>
  <c r="M103" i="24"/>
  <c r="M104" i="24" s="1"/>
  <c r="M93" i="24"/>
  <c r="M94" i="24" s="1"/>
  <c r="M99" i="24" s="1"/>
  <c r="M100" i="24" s="1"/>
  <c r="M108" i="24" s="1"/>
  <c r="M188" i="24" s="1"/>
  <c r="M196" i="24" s="1"/>
  <c r="M204" i="24" s="1"/>
  <c r="M148" i="21"/>
  <c r="M149" i="21" s="1"/>
  <c r="M153" i="21" s="1"/>
  <c r="M154" i="21" s="1"/>
  <c r="N141" i="21"/>
  <c r="M280" i="21"/>
  <c r="M284" i="21" s="1"/>
  <c r="M274" i="21"/>
  <c r="M275" i="21" s="1"/>
  <c r="L107" i="12"/>
  <c r="L88" i="12"/>
  <c r="P3" i="20"/>
  <c r="P3" i="9"/>
  <c r="P3" i="24"/>
  <c r="P3" i="23"/>
  <c r="P3" i="22"/>
  <c r="P3" i="16"/>
  <c r="P3" i="21"/>
  <c r="P3" i="8"/>
  <c r="P3" i="12"/>
  <c r="P4" i="7"/>
  <c r="L88" i="23"/>
  <c r="L107" i="23"/>
  <c r="L88" i="24"/>
  <c r="L107" i="24"/>
  <c r="M148" i="23"/>
  <c r="M149" i="23" s="1"/>
  <c r="M153" i="23" s="1"/>
  <c r="M154" i="23" s="1"/>
  <c r="N141" i="23"/>
  <c r="M280" i="24"/>
  <c r="M284" i="24" s="1"/>
  <c r="M274" i="24"/>
  <c r="L204" i="24"/>
  <c r="N141" i="12"/>
  <c r="M148" i="12"/>
  <c r="M149" i="12" s="1"/>
  <c r="M153" i="12" s="1"/>
  <c r="M154" i="12" s="1"/>
  <c r="L94" i="21"/>
  <c r="L99" i="21" s="1"/>
  <c r="L100" i="21" s="1"/>
  <c r="L108" i="21" s="1"/>
  <c r="L188" i="21" s="1"/>
  <c r="L196" i="21" s="1"/>
  <c r="N141" i="24"/>
  <c r="M148" i="24"/>
  <c r="M149" i="24" s="1"/>
  <c r="M153" i="24" s="1"/>
  <c r="M154" i="24" s="1"/>
  <c r="M86" i="22"/>
  <c r="L93" i="22"/>
  <c r="L94" i="22" s="1"/>
  <c r="L99" i="22" s="1"/>
  <c r="L100" i="22" s="1"/>
  <c r="L108" i="22" s="1"/>
  <c r="L188" i="22" s="1"/>
  <c r="L196" i="22" s="1"/>
  <c r="L171" i="22"/>
  <c r="L175" i="22" s="1"/>
  <c r="L176" i="22" s="1"/>
  <c r="L178" i="22" s="1"/>
  <c r="L180" i="22" s="1"/>
  <c r="L20" i="20" s="1"/>
  <c r="L103" i="22"/>
  <c r="L104" i="22" s="1"/>
  <c r="M41" i="21"/>
  <c r="M42" i="21" s="1"/>
  <c r="M47" i="21" s="1"/>
  <c r="M48" i="21" s="1"/>
  <c r="M52" i="21" s="1"/>
  <c r="M53" i="21" s="1"/>
  <c r="M61" i="21" s="1"/>
  <c r="M115" i="21" s="1"/>
  <c r="M170" i="21"/>
  <c r="M174" i="21" s="1"/>
  <c r="N34" i="21"/>
  <c r="L319" i="21"/>
  <c r="L306" i="21"/>
  <c r="M280" i="23"/>
  <c r="M284" i="23" s="1"/>
  <c r="M274" i="23"/>
  <c r="M275" i="23" s="1"/>
  <c r="M281" i="23" s="1"/>
  <c r="M285" i="23" s="1"/>
  <c r="K208" i="22"/>
  <c r="K209" i="22" s="1"/>
  <c r="L171" i="23"/>
  <c r="L175" i="23" s="1"/>
  <c r="L176" i="23" s="1"/>
  <c r="L178" i="23" s="1"/>
  <c r="L180" i="23" s="1"/>
  <c r="L26" i="20" s="1"/>
  <c r="L103" i="23"/>
  <c r="L104" i="23" s="1"/>
  <c r="M86" i="23"/>
  <c r="L93" i="23"/>
  <c r="L94" i="23" s="1"/>
  <c r="L99" i="23" s="1"/>
  <c r="L100" i="23" s="1"/>
  <c r="L108" i="23" s="1"/>
  <c r="L188" i="23" s="1"/>
  <c r="L196" i="23" s="1"/>
  <c r="L305" i="23"/>
  <c r="H139" i="24"/>
  <c r="H17" i="24"/>
  <c r="H32" i="24"/>
  <c r="H80" i="24"/>
  <c r="H84" i="24"/>
  <c r="H256" i="24"/>
  <c r="H256" i="23"/>
  <c r="H139" i="23"/>
  <c r="H80" i="23"/>
  <c r="H32" i="22"/>
  <c r="H80" i="22"/>
  <c r="H84" i="23"/>
  <c r="H32" i="23"/>
  <c r="H256" i="22"/>
  <c r="H17" i="23"/>
  <c r="H139" i="22"/>
  <c r="H139" i="12"/>
  <c r="H84" i="22"/>
  <c r="H17" i="22"/>
  <c r="H80" i="12"/>
  <c r="H17" i="12"/>
  <c r="H32" i="12"/>
  <c r="H256" i="21"/>
  <c r="H139" i="21"/>
  <c r="H84" i="12"/>
  <c r="H84" i="21"/>
  <c r="H32" i="21"/>
  <c r="H256" i="12"/>
  <c r="H17" i="21"/>
  <c r="H80" i="21"/>
  <c r="K227" i="24"/>
  <c r="K313" i="24"/>
  <c r="K322" i="24" s="1"/>
  <c r="L61" i="21"/>
  <c r="L115" i="21" s="1"/>
  <c r="M41" i="23"/>
  <c r="M42" i="23" s="1"/>
  <c r="M47" i="23" s="1"/>
  <c r="M48" i="23" s="1"/>
  <c r="M52" i="23" s="1"/>
  <c r="M53" i="23" s="1"/>
  <c r="N34" i="23"/>
  <c r="M170" i="23"/>
  <c r="M174" i="23" s="1"/>
  <c r="K227" i="12"/>
  <c r="K313" i="12"/>
  <c r="K322" i="12" s="1"/>
  <c r="L171" i="12"/>
  <c r="L175" i="12" s="1"/>
  <c r="L176" i="12" s="1"/>
  <c r="L178" i="12" s="1"/>
  <c r="L180" i="12" s="1"/>
  <c r="L14" i="20" s="1"/>
  <c r="L93" i="12"/>
  <c r="L94" i="12" s="1"/>
  <c r="L99" i="12" s="1"/>
  <c r="L100" i="12" s="1"/>
  <c r="L108" i="12" s="1"/>
  <c r="L188" i="12" s="1"/>
  <c r="L196" i="12" s="1"/>
  <c r="M86" i="12"/>
  <c r="L103" i="12"/>
  <c r="L104" i="12" s="1"/>
  <c r="R54" i="8"/>
  <c r="L281" i="12"/>
  <c r="L285" i="12" s="1"/>
  <c r="Q269" i="24"/>
  <c r="Q269" i="23"/>
  <c r="Q152" i="24"/>
  <c r="Q98" i="23"/>
  <c r="Q46" i="24"/>
  <c r="Q46" i="23"/>
  <c r="Q98" i="24"/>
  <c r="Q152" i="23"/>
  <c r="Q269" i="22"/>
  <c r="Q98" i="21"/>
  <c r="Q269" i="12"/>
  <c r="Q46" i="12"/>
  <c r="Q152" i="12"/>
  <c r="Q98" i="22"/>
  <c r="Q152" i="21"/>
  <c r="Q269" i="21"/>
  <c r="Q46" i="22"/>
  <c r="Q58" i="8"/>
  <c r="Q59" i="8" s="1"/>
  <c r="Q152" i="22"/>
  <c r="Q98" i="12"/>
  <c r="Q46" i="21"/>
  <c r="N242" i="21"/>
  <c r="N244" i="21" s="1"/>
  <c r="N263" i="21"/>
  <c r="N247" i="21"/>
  <c r="H65" i="8"/>
  <c r="H67" i="8" s="1"/>
  <c r="K208" i="21"/>
  <c r="K209" i="21" s="1"/>
  <c r="Q121" i="16"/>
  <c r="Q124" i="16" s="1"/>
  <c r="Q127" i="16" s="1"/>
  <c r="Q129" i="16" s="1"/>
  <c r="Q131" i="16" s="1"/>
  <c r="L199" i="23"/>
  <c r="M148" i="22"/>
  <c r="M149" i="22" s="1"/>
  <c r="M153" i="22" s="1"/>
  <c r="M154" i="22" s="1"/>
  <c r="N141" i="22"/>
  <c r="L171" i="21"/>
  <c r="L175" i="21" s="1"/>
  <c r="L176" i="21" s="1"/>
  <c r="L178" i="21" s="1"/>
  <c r="L180" i="21" s="1"/>
  <c r="L8" i="20" s="1"/>
  <c r="L103" i="21"/>
  <c r="L104" i="21" s="1"/>
  <c r="L93" i="21"/>
  <c r="M86" i="21"/>
  <c r="L203" i="22"/>
  <c r="L306" i="22"/>
  <c r="L319" i="22"/>
  <c r="L158" i="23"/>
  <c r="L186" i="12"/>
  <c r="L194" i="12" s="1"/>
  <c r="L160" i="12"/>
  <c r="L305" i="12"/>
  <c r="H102" i="24"/>
  <c r="H102" i="23"/>
  <c r="H102" i="22"/>
  <c r="H102" i="12"/>
  <c r="H102" i="21"/>
  <c r="H64" i="8"/>
  <c r="H53" i="8"/>
  <c r="L203" i="23"/>
  <c r="M275" i="24"/>
  <c r="M281" i="24" s="1"/>
  <c r="M285" i="24" s="1"/>
  <c r="L281" i="24"/>
  <c r="L285" i="24" s="1"/>
  <c r="L281" i="22"/>
  <c r="L285" i="22" s="1"/>
  <c r="R179" i="24"/>
  <c r="R179" i="23"/>
  <c r="R179" i="12"/>
  <c r="R179" i="21"/>
  <c r="R179" i="22"/>
  <c r="R121" i="16"/>
  <c r="R124" i="16" s="1"/>
  <c r="R127" i="16" s="1"/>
  <c r="R129" i="16" s="1"/>
  <c r="R131" i="16" s="1"/>
  <c r="L199" i="21"/>
  <c r="L306" i="23"/>
  <c r="L319" i="23"/>
  <c r="L186" i="21"/>
  <c r="L194" i="21" s="1"/>
  <c r="L160" i="21"/>
  <c r="K164" i="21"/>
  <c r="K166" i="21" s="1"/>
  <c r="L203" i="21"/>
  <c r="K227" i="21"/>
  <c r="K313" i="21"/>
  <c r="K322" i="21" s="1"/>
  <c r="N247" i="22"/>
  <c r="N242" i="22"/>
  <c r="N244" i="22" s="1"/>
  <c r="N263" i="22"/>
  <c r="N263" i="23"/>
  <c r="N242" i="23"/>
  <c r="N244" i="23" s="1"/>
  <c r="N247" i="23"/>
  <c r="L107" i="22"/>
  <c r="L88" i="22"/>
  <c r="K208" i="24"/>
  <c r="K209" i="24" s="1"/>
  <c r="K222" i="24"/>
  <c r="K224" i="24" s="1"/>
  <c r="L158" i="22"/>
  <c r="M170" i="24"/>
  <c r="M174" i="24" s="1"/>
  <c r="N34" i="24"/>
  <c r="M41" i="24"/>
  <c r="M42" i="24" s="1"/>
  <c r="M47" i="24" s="1"/>
  <c r="M48" i="24" s="1"/>
  <c r="M52" i="24" s="1"/>
  <c r="M53" i="24" s="1"/>
  <c r="M61" i="24" s="1"/>
  <c r="M115" i="24" s="1"/>
  <c r="L61" i="23"/>
  <c r="L115" i="23" s="1"/>
  <c r="M274" i="12"/>
  <c r="M275" i="12" s="1"/>
  <c r="M281" i="12" s="1"/>
  <c r="M285" i="12" s="1"/>
  <c r="M280" i="12"/>
  <c r="M284" i="12" s="1"/>
  <c r="L281" i="23"/>
  <c r="L285" i="23" s="1"/>
  <c r="N247" i="24"/>
  <c r="N242" i="24"/>
  <c r="N244" i="24" s="1"/>
  <c r="N263" i="24"/>
  <c r="L319" i="24"/>
  <c r="L306" i="24"/>
  <c r="K222" i="12"/>
  <c r="K224" i="12" s="1"/>
  <c r="L203" i="24"/>
  <c r="R68" i="8"/>
  <c r="F69" i="8" s="1"/>
  <c r="F77" i="8" s="1"/>
  <c r="L305" i="24"/>
  <c r="L307" i="24" s="1"/>
  <c r="L306" i="12"/>
  <c r="L319" i="12"/>
  <c r="L203" i="12"/>
  <c r="L199" i="22"/>
  <c r="K222" i="23"/>
  <c r="K224" i="23" s="1"/>
  <c r="M170" i="12"/>
  <c r="M174" i="12" s="1"/>
  <c r="M41" i="12"/>
  <c r="M42" i="12" s="1"/>
  <c r="M47" i="12" s="1"/>
  <c r="M48" i="12" s="1"/>
  <c r="M52" i="12" s="1"/>
  <c r="N34" i="12"/>
  <c r="L53" i="12"/>
  <c r="K222" i="21"/>
  <c r="K224" i="21" s="1"/>
  <c r="L305" i="21"/>
  <c r="K164" i="24"/>
  <c r="K166" i="24" s="1"/>
  <c r="M280" i="22"/>
  <c r="M284" i="22" s="1"/>
  <c r="M274" i="22"/>
  <c r="M275" i="22" s="1"/>
  <c r="M281" i="22" s="1"/>
  <c r="M285" i="22" s="1"/>
  <c r="K313" i="22"/>
  <c r="K322" i="22" s="1"/>
  <c r="K227" i="22"/>
  <c r="M187" i="24"/>
  <c r="M195" i="24" s="1"/>
  <c r="M200" i="24" s="1"/>
  <c r="M201" i="24" s="1"/>
  <c r="M217" i="24" s="1"/>
  <c r="M219" i="24" s="1"/>
  <c r="R63" i="16"/>
  <c r="R65" i="16" s="1"/>
  <c r="R67" i="16" s="1"/>
  <c r="R69" i="16" s="1"/>
  <c r="R71" i="16" s="1"/>
  <c r="K222" i="22"/>
  <c r="K224" i="22" s="1"/>
  <c r="M53" i="12"/>
  <c r="M61" i="12" s="1"/>
  <c r="M115" i="12" s="1"/>
  <c r="K227" i="23"/>
  <c r="K313" i="23"/>
  <c r="K322" i="23" s="1"/>
  <c r="K164" i="23"/>
  <c r="K166" i="23" s="1"/>
  <c r="L61" i="24"/>
  <c r="L115" i="24" s="1"/>
  <c r="H116" i="16"/>
  <c r="H52" i="8"/>
  <c r="H62" i="16"/>
  <c r="H52" i="16"/>
  <c r="H29" i="16"/>
  <c r="H126" i="16"/>
  <c r="H93" i="16"/>
  <c r="Q63" i="16"/>
  <c r="Q65" i="16" s="1"/>
  <c r="Q67" i="16" s="1"/>
  <c r="Q69" i="16" s="1"/>
  <c r="Q71" i="16" s="1"/>
  <c r="L61" i="22"/>
  <c r="L115" i="22" s="1"/>
  <c r="M170" i="22"/>
  <c r="M174" i="22" s="1"/>
  <c r="M41" i="22"/>
  <c r="M42" i="22" s="1"/>
  <c r="M47" i="22" s="1"/>
  <c r="M48" i="22" s="1"/>
  <c r="M52" i="22" s="1"/>
  <c r="M53" i="22" s="1"/>
  <c r="N34" i="22"/>
  <c r="L199" i="12"/>
  <c r="K208" i="12"/>
  <c r="K209" i="12" s="1"/>
  <c r="K208" i="23"/>
  <c r="K209" i="23" s="1"/>
  <c r="N242" i="12"/>
  <c r="N244" i="12" s="1"/>
  <c r="N263" i="12"/>
  <c r="N247" i="12"/>
  <c r="L199" i="24"/>
  <c r="R57" i="8"/>
  <c r="H35" i="8"/>
  <c r="H57" i="8" s="1"/>
  <c r="F36" i="8"/>
  <c r="F75" i="8" s="1"/>
  <c r="K164" i="12"/>
  <c r="K166" i="12" s="1"/>
  <c r="K164" i="22"/>
  <c r="K166" i="22" s="1"/>
  <c r="L305" i="22"/>
  <c r="R45" i="8"/>
  <c r="H34" i="8"/>
  <c r="H45" i="8" s="1"/>
  <c r="L158" i="24"/>
  <c r="L307" i="23" l="1"/>
  <c r="L307" i="12"/>
  <c r="L307" i="21"/>
  <c r="L204" i="22"/>
  <c r="L205" i="22" s="1"/>
  <c r="M61" i="22"/>
  <c r="M115" i="22" s="1"/>
  <c r="M61" i="23"/>
  <c r="M115" i="23" s="1"/>
  <c r="R239" i="24"/>
  <c r="R240" i="24" s="1"/>
  <c r="R243" i="24" s="1"/>
  <c r="R14" i="23"/>
  <c r="R15" i="23" s="1"/>
  <c r="R23" i="23" s="1"/>
  <c r="R14" i="24"/>
  <c r="R15" i="24" s="1"/>
  <c r="R23" i="24" s="1"/>
  <c r="R126" i="23"/>
  <c r="R127" i="23" s="1"/>
  <c r="R130" i="23" s="1"/>
  <c r="R126" i="22"/>
  <c r="R127" i="22" s="1"/>
  <c r="R130" i="22" s="1"/>
  <c r="R126" i="24"/>
  <c r="R127" i="24" s="1"/>
  <c r="R130" i="24" s="1"/>
  <c r="R239" i="23"/>
  <c r="R240" i="23" s="1"/>
  <c r="R243" i="23" s="1"/>
  <c r="R14" i="22"/>
  <c r="R15" i="22" s="1"/>
  <c r="R23" i="22" s="1"/>
  <c r="R239" i="12"/>
  <c r="R240" i="12" s="1"/>
  <c r="R243" i="12" s="1"/>
  <c r="R239" i="22"/>
  <c r="R240" i="22" s="1"/>
  <c r="R243" i="22" s="1"/>
  <c r="R126" i="21"/>
  <c r="R127" i="21" s="1"/>
  <c r="R130" i="21" s="1"/>
  <c r="R14" i="21"/>
  <c r="R15" i="21" s="1"/>
  <c r="R23" i="21" s="1"/>
  <c r="R126" i="12"/>
  <c r="R127" i="12" s="1"/>
  <c r="R130" i="12" s="1"/>
  <c r="R14" i="12"/>
  <c r="R15" i="12" s="1"/>
  <c r="R23" i="12" s="1"/>
  <c r="R239" i="21"/>
  <c r="R240" i="21" s="1"/>
  <c r="R243" i="21" s="1"/>
  <c r="N146" i="12"/>
  <c r="N134" i="12"/>
  <c r="N129" i="12"/>
  <c r="N131" i="12" s="1"/>
  <c r="L187" i="12"/>
  <c r="L195" i="12" s="1"/>
  <c r="L109" i="12"/>
  <c r="L207" i="12"/>
  <c r="K15" i="20"/>
  <c r="M185" i="24"/>
  <c r="M193" i="24" s="1"/>
  <c r="M157" i="24"/>
  <c r="M158" i="24" s="1"/>
  <c r="N22" i="12"/>
  <c r="N24" i="12" s="1"/>
  <c r="N27" i="12"/>
  <c r="K228" i="21"/>
  <c r="K229" i="21" s="1"/>
  <c r="K314" i="21"/>
  <c r="K323" i="21" s="1"/>
  <c r="N27" i="24"/>
  <c r="N22" i="24"/>
  <c r="N24" i="24" s="1"/>
  <c r="K9" i="20"/>
  <c r="L186" i="23"/>
  <c r="L194" i="23" s="1"/>
  <c r="L160" i="23"/>
  <c r="M157" i="12"/>
  <c r="M158" i="12" s="1"/>
  <c r="M185" i="12"/>
  <c r="M193" i="12" s="1"/>
  <c r="L186" i="22"/>
  <c r="L194" i="22" s="1"/>
  <c r="L160" i="22"/>
  <c r="N129" i="24"/>
  <c r="N131" i="24" s="1"/>
  <c r="N146" i="24"/>
  <c r="N134" i="24"/>
  <c r="M185" i="22"/>
  <c r="M193" i="22" s="1"/>
  <c r="M157" i="22"/>
  <c r="M158" i="22" s="1"/>
  <c r="M299" i="24"/>
  <c r="M301" i="24" s="1"/>
  <c r="M157" i="21"/>
  <c r="M158" i="21" s="1"/>
  <c r="M185" i="21"/>
  <c r="M193" i="21" s="1"/>
  <c r="M73" i="22"/>
  <c r="M91" i="22"/>
  <c r="M68" i="22"/>
  <c r="M70" i="22" s="1"/>
  <c r="N134" i="23"/>
  <c r="N146" i="23"/>
  <c r="N129" i="23"/>
  <c r="N131" i="23" s="1"/>
  <c r="K228" i="24"/>
  <c r="K229" i="24" s="1"/>
  <c r="K314" i="24"/>
  <c r="K323" i="24" s="1"/>
  <c r="N27" i="23"/>
  <c r="N22" i="23"/>
  <c r="N24" i="23" s="1"/>
  <c r="L207" i="21"/>
  <c r="L205" i="24"/>
  <c r="L61" i="12"/>
  <c r="L115" i="12" s="1"/>
  <c r="M281" i="21"/>
  <c r="M285" i="21" s="1"/>
  <c r="L204" i="23"/>
  <c r="L205" i="23" s="1"/>
  <c r="K228" i="12"/>
  <c r="K229" i="12" s="1"/>
  <c r="K314" i="12"/>
  <c r="K323" i="12" s="1"/>
  <c r="Q239" i="24"/>
  <c r="Q240" i="24" s="1"/>
  <c r="Q243" i="24" s="1"/>
  <c r="Q126" i="24"/>
  <c r="Q127" i="24" s="1"/>
  <c r="Q130" i="24" s="1"/>
  <c r="Q14" i="24"/>
  <c r="Q15" i="24" s="1"/>
  <c r="Q23" i="24" s="1"/>
  <c r="Q239" i="22"/>
  <c r="Q240" i="22" s="1"/>
  <c r="Q243" i="22" s="1"/>
  <c r="Q239" i="12"/>
  <c r="Q240" i="12" s="1"/>
  <c r="Q243" i="12" s="1"/>
  <c r="Q239" i="23"/>
  <c r="Q240" i="23" s="1"/>
  <c r="Q243" i="23" s="1"/>
  <c r="Q126" i="23"/>
  <c r="Q127" i="23" s="1"/>
  <c r="Q130" i="23" s="1"/>
  <c r="Q14" i="12"/>
  <c r="Q15" i="12" s="1"/>
  <c r="Q23" i="12" s="1"/>
  <c r="Q14" i="23"/>
  <c r="Q15" i="23" s="1"/>
  <c r="Q23" i="23" s="1"/>
  <c r="Q126" i="22"/>
  <c r="Q127" i="22" s="1"/>
  <c r="Q130" i="22" s="1"/>
  <c r="Q14" i="22"/>
  <c r="Q15" i="22" s="1"/>
  <c r="Q23" i="22" s="1"/>
  <c r="Q126" i="21"/>
  <c r="Q127" i="21" s="1"/>
  <c r="Q130" i="21" s="1"/>
  <c r="Q239" i="21"/>
  <c r="Q240" i="21" s="1"/>
  <c r="Q243" i="21" s="1"/>
  <c r="Q126" i="12"/>
  <c r="Q127" i="12" s="1"/>
  <c r="Q130" i="12" s="1"/>
  <c r="Q14" i="21"/>
  <c r="Q15" i="21" s="1"/>
  <c r="Q23" i="21" s="1"/>
  <c r="M91" i="21"/>
  <c r="M68" i="21"/>
  <c r="M70" i="21" s="1"/>
  <c r="M73" i="21"/>
  <c r="L187" i="22"/>
  <c r="L195" i="22" s="1"/>
  <c r="L109" i="22"/>
  <c r="M313" i="24"/>
  <c r="M322" i="24" s="1"/>
  <c r="M33" i="20" s="1"/>
  <c r="M227" i="24"/>
  <c r="H179" i="24"/>
  <c r="H179" i="23"/>
  <c r="H179" i="12"/>
  <c r="H179" i="22"/>
  <c r="H179" i="21"/>
  <c r="K21" i="20"/>
  <c r="N68" i="24"/>
  <c r="N70" i="24" s="1"/>
  <c r="N73" i="24"/>
  <c r="N91" i="24"/>
  <c r="Q69" i="22"/>
  <c r="Q69" i="24"/>
  <c r="Q69" i="23"/>
  <c r="Q133" i="16"/>
  <c r="Q135" i="16" s="1"/>
  <c r="Q69" i="21"/>
  <c r="Q69" i="12"/>
  <c r="K33" i="20"/>
  <c r="N248" i="24"/>
  <c r="N249" i="24" s="1"/>
  <c r="N259" i="24"/>
  <c r="N261" i="24" s="1"/>
  <c r="N264" i="24"/>
  <c r="N129" i="22"/>
  <c r="N131" i="22" s="1"/>
  <c r="N146" i="22"/>
  <c r="N134" i="22"/>
  <c r="N129" i="21"/>
  <c r="N131" i="21" s="1"/>
  <c r="N146" i="21"/>
  <c r="N134" i="21"/>
  <c r="N259" i="22"/>
  <c r="N261" i="22" s="1"/>
  <c r="N248" i="22"/>
  <c r="N249" i="22" s="1"/>
  <c r="N264" i="22"/>
  <c r="Q3" i="9"/>
  <c r="Q3" i="20"/>
  <c r="Q3" i="24"/>
  <c r="Q3" i="23"/>
  <c r="Q3" i="21"/>
  <c r="Q3" i="22"/>
  <c r="Q3" i="8"/>
  <c r="Q3" i="12"/>
  <c r="Q3" i="16"/>
  <c r="Q4" i="7"/>
  <c r="N22" i="21"/>
  <c r="N24" i="21" s="1"/>
  <c r="N27" i="21"/>
  <c r="M176" i="24"/>
  <c r="M178" i="24" s="1"/>
  <c r="M180" i="24" s="1"/>
  <c r="M32" i="20" s="1"/>
  <c r="K27" i="20"/>
  <c r="L204" i="21"/>
  <c r="L205" i="21" s="1"/>
  <c r="K228" i="22"/>
  <c r="K229" i="22" s="1"/>
  <c r="K314" i="22"/>
  <c r="K323" i="22" s="1"/>
  <c r="K228" i="23"/>
  <c r="K229" i="23" s="1"/>
  <c r="K314" i="23"/>
  <c r="K323" i="23" s="1"/>
  <c r="M299" i="21"/>
  <c r="M301" i="21" s="1"/>
  <c r="N248" i="12"/>
  <c r="N249" i="12" s="1"/>
  <c r="N264" i="12"/>
  <c r="N259" i="12"/>
  <c r="N261" i="12" s="1"/>
  <c r="N259" i="21"/>
  <c r="N261" i="21" s="1"/>
  <c r="N264" i="21"/>
  <c r="N248" i="21"/>
  <c r="N249" i="21" s="1"/>
  <c r="M299" i="12"/>
  <c r="M301" i="12" s="1"/>
  <c r="R152" i="24"/>
  <c r="R269" i="24"/>
  <c r="R98" i="24"/>
  <c r="R46" i="24"/>
  <c r="R269" i="23"/>
  <c r="R46" i="22"/>
  <c r="R152" i="23"/>
  <c r="R152" i="22"/>
  <c r="R98" i="12"/>
  <c r="R98" i="22"/>
  <c r="R269" i="12"/>
  <c r="R46" i="12"/>
  <c r="R98" i="21"/>
  <c r="R269" i="22"/>
  <c r="R98" i="23"/>
  <c r="R152" i="12"/>
  <c r="R46" i="23"/>
  <c r="R58" i="8"/>
  <c r="R59" i="8" s="1"/>
  <c r="R152" i="21"/>
  <c r="R269" i="21"/>
  <c r="R46" i="21"/>
  <c r="H54" i="8"/>
  <c r="F55" i="8"/>
  <c r="F76" i="8" s="1"/>
  <c r="F78" i="8" s="1"/>
  <c r="F13" i="9" s="1"/>
  <c r="M157" i="23"/>
  <c r="M158" i="23" s="1"/>
  <c r="M185" i="23"/>
  <c r="M193" i="23" s="1"/>
  <c r="R69" i="24"/>
  <c r="R69" i="23"/>
  <c r="R69" i="22"/>
  <c r="R69" i="21"/>
  <c r="R69" i="12"/>
  <c r="R133" i="16"/>
  <c r="R135" i="16" s="1"/>
  <c r="L109" i="24"/>
  <c r="L187" i="24"/>
  <c r="L195" i="24" s="1"/>
  <c r="L307" i="22"/>
  <c r="M68" i="12"/>
  <c r="M70" i="12" s="1"/>
  <c r="M91" i="12"/>
  <c r="M73" i="12"/>
  <c r="L109" i="23"/>
  <c r="L187" i="23"/>
  <c r="L195" i="23" s="1"/>
  <c r="L109" i="21"/>
  <c r="L187" i="21"/>
  <c r="L195" i="21" s="1"/>
  <c r="N22" i="22"/>
  <c r="N24" i="22" s="1"/>
  <c r="N27" i="22"/>
  <c r="M91" i="23"/>
  <c r="M68" i="23"/>
  <c r="M70" i="23" s="1"/>
  <c r="M73" i="23"/>
  <c r="M109" i="24"/>
  <c r="H68" i="8"/>
  <c r="M299" i="23"/>
  <c r="M301" i="23" s="1"/>
  <c r="L160" i="24"/>
  <c r="L186" i="24"/>
  <c r="L194" i="24" s="1"/>
  <c r="N259" i="23"/>
  <c r="N261" i="23" s="1"/>
  <c r="N264" i="23"/>
  <c r="N248" i="23"/>
  <c r="N249" i="23" s="1"/>
  <c r="M299" i="22"/>
  <c r="M301" i="22" s="1"/>
  <c r="L204" i="12"/>
  <c r="L205" i="12" s="1"/>
  <c r="K315" i="12" l="1"/>
  <c r="K324" i="12" s="1"/>
  <c r="N279" i="21"/>
  <c r="N283" i="21" s="1"/>
  <c r="N273" i="21"/>
  <c r="K315" i="24"/>
  <c r="K324" i="24" s="1"/>
  <c r="N279" i="12"/>
  <c r="N283" i="12" s="1"/>
  <c r="N273" i="12"/>
  <c r="K315" i="21"/>
  <c r="K324" i="21" s="1"/>
  <c r="R3" i="9"/>
  <c r="R3" i="24"/>
  <c r="R3" i="20"/>
  <c r="R3" i="23"/>
  <c r="R3" i="22"/>
  <c r="R3" i="12"/>
  <c r="R3" i="8"/>
  <c r="R3" i="16"/>
  <c r="R4" i="7"/>
  <c r="R3" i="21"/>
  <c r="N40" i="22"/>
  <c r="N28" i="22"/>
  <c r="N29" i="22" s="1"/>
  <c r="N35" i="22"/>
  <c r="M319" i="22"/>
  <c r="M306" i="22"/>
  <c r="M307" i="22" s="1"/>
  <c r="L200" i="23"/>
  <c r="L201" i="23" s="1"/>
  <c r="N265" i="23"/>
  <c r="N266" i="23" s="1"/>
  <c r="N270" i="23" s="1"/>
  <c r="N271" i="23" s="1"/>
  <c r="O258" i="23"/>
  <c r="M203" i="22"/>
  <c r="N39" i="24"/>
  <c r="N147" i="21"/>
  <c r="N142" i="21"/>
  <c r="N135" i="21"/>
  <c r="N136" i="21" s="1"/>
  <c r="M87" i="23"/>
  <c r="M74" i="23"/>
  <c r="M75" i="23" s="1"/>
  <c r="K315" i="23"/>
  <c r="K324" i="23" s="1"/>
  <c r="K34" i="20"/>
  <c r="L200" i="22"/>
  <c r="L201" i="22" s="1"/>
  <c r="K315" i="22"/>
  <c r="K324" i="22" s="1"/>
  <c r="M74" i="21"/>
  <c r="M75" i="21" s="1"/>
  <c r="M87" i="21"/>
  <c r="L222" i="23"/>
  <c r="L224" i="23" s="1"/>
  <c r="N147" i="23"/>
  <c r="N135" i="23"/>
  <c r="N136" i="23" s="1"/>
  <c r="N142" i="23"/>
  <c r="N40" i="12"/>
  <c r="N28" i="12"/>
  <c r="N29" i="12" s="1"/>
  <c r="N35" i="12"/>
  <c r="L200" i="24"/>
  <c r="L201" i="24" s="1"/>
  <c r="N35" i="21"/>
  <c r="N40" i="21"/>
  <c r="N28" i="21"/>
  <c r="N29" i="21" s="1"/>
  <c r="M160" i="24"/>
  <c r="M186" i="24"/>
  <c r="M194" i="24" s="1"/>
  <c r="M207" i="24" s="1"/>
  <c r="M203" i="24"/>
  <c r="M205" i="24" s="1"/>
  <c r="M222" i="24" s="1"/>
  <c r="M224" i="24" s="1"/>
  <c r="N39" i="21"/>
  <c r="N142" i="24"/>
  <c r="N135" i="24"/>
  <c r="N136" i="24" s="1"/>
  <c r="N147" i="24"/>
  <c r="M116" i="24"/>
  <c r="M117" i="24" s="1"/>
  <c r="M161" i="24"/>
  <c r="M189" i="24"/>
  <c r="M197" i="24" s="1"/>
  <c r="M208" i="24" s="1"/>
  <c r="M319" i="21"/>
  <c r="M306" i="21"/>
  <c r="M307" i="21" s="1"/>
  <c r="N135" i="22"/>
  <c r="N136" i="22" s="1"/>
  <c r="N142" i="22"/>
  <c r="N147" i="22"/>
  <c r="L207" i="22"/>
  <c r="N279" i="22"/>
  <c r="N283" i="22" s="1"/>
  <c r="N273" i="22"/>
  <c r="N39" i="12"/>
  <c r="L116" i="24"/>
  <c r="L189" i="24"/>
  <c r="L197" i="24" s="1"/>
  <c r="L161" i="24"/>
  <c r="L162" i="24" s="1"/>
  <c r="M203" i="12"/>
  <c r="K16" i="20"/>
  <c r="K10" i="20"/>
  <c r="L222" i="12"/>
  <c r="L224" i="12" s="1"/>
  <c r="M74" i="22"/>
  <c r="M75" i="22" s="1"/>
  <c r="M87" i="22"/>
  <c r="M160" i="12"/>
  <c r="M186" i="12"/>
  <c r="M194" i="12" s="1"/>
  <c r="K28" i="20"/>
  <c r="N279" i="24"/>
  <c r="N283" i="24" s="1"/>
  <c r="N273" i="24"/>
  <c r="L222" i="24"/>
  <c r="L224" i="24" s="1"/>
  <c r="M87" i="12"/>
  <c r="M74" i="12"/>
  <c r="M75" i="12" s="1"/>
  <c r="N265" i="21"/>
  <c r="N266" i="21" s="1"/>
  <c r="N270" i="21" s="1"/>
  <c r="N271" i="21" s="1"/>
  <c r="O258" i="21"/>
  <c r="N39" i="22"/>
  <c r="M203" i="21"/>
  <c r="L189" i="12"/>
  <c r="L197" i="12" s="1"/>
  <c r="L116" i="12"/>
  <c r="L161" i="12"/>
  <c r="L162" i="12" s="1"/>
  <c r="L200" i="21"/>
  <c r="L201" i="21" s="1"/>
  <c r="K22" i="20"/>
  <c r="M186" i="21"/>
  <c r="M194" i="21" s="1"/>
  <c r="M160" i="21"/>
  <c r="L207" i="23"/>
  <c r="L200" i="12"/>
  <c r="L201" i="12" s="1"/>
  <c r="M203" i="23"/>
  <c r="L189" i="21"/>
  <c r="L197" i="21" s="1"/>
  <c r="L161" i="21"/>
  <c r="L162" i="21" s="1"/>
  <c r="L116" i="21"/>
  <c r="M160" i="23"/>
  <c r="M186" i="23"/>
  <c r="M194" i="23" s="1"/>
  <c r="M207" i="23" s="1"/>
  <c r="N40" i="23"/>
  <c r="N28" i="23"/>
  <c r="N29" i="23" s="1"/>
  <c r="N35" i="23"/>
  <c r="N279" i="23"/>
  <c r="N283" i="23" s="1"/>
  <c r="N273" i="23"/>
  <c r="M319" i="23"/>
  <c r="M306" i="23"/>
  <c r="M307" i="23" s="1"/>
  <c r="O258" i="12"/>
  <c r="N265" i="12"/>
  <c r="N266" i="12" s="1"/>
  <c r="N270" i="12" s="1"/>
  <c r="N271" i="12" s="1"/>
  <c r="O258" i="24"/>
  <c r="N265" i="24"/>
  <c r="N266" i="24" s="1"/>
  <c r="N270" i="24" s="1"/>
  <c r="N271" i="24" s="1"/>
  <c r="N39" i="23"/>
  <c r="M319" i="24"/>
  <c r="M306" i="24"/>
  <c r="M307" i="24" s="1"/>
  <c r="N142" i="12"/>
  <c r="N147" i="12"/>
  <c r="N135" i="12"/>
  <c r="N136" i="12" s="1"/>
  <c r="L207" i="24"/>
  <c r="L189" i="22"/>
  <c r="L197" i="22" s="1"/>
  <c r="L161" i="22"/>
  <c r="L162" i="22" s="1"/>
  <c r="L116" i="22"/>
  <c r="L189" i="23"/>
  <c r="L197" i="23" s="1"/>
  <c r="L161" i="23"/>
  <c r="L162" i="23" s="1"/>
  <c r="L116" i="23"/>
  <c r="H98" i="24"/>
  <c r="H46" i="24"/>
  <c r="H152" i="24"/>
  <c r="H152" i="23"/>
  <c r="H98" i="23"/>
  <c r="H269" i="24"/>
  <c r="H269" i="23"/>
  <c r="H152" i="12"/>
  <c r="H46" i="23"/>
  <c r="H46" i="22"/>
  <c r="H152" i="22"/>
  <c r="H98" i="12"/>
  <c r="H98" i="22"/>
  <c r="H269" i="21"/>
  <c r="H152" i="21"/>
  <c r="H269" i="22"/>
  <c r="H98" i="21"/>
  <c r="H58" i="8"/>
  <c r="H269" i="12"/>
  <c r="H46" i="21"/>
  <c r="H46" i="12"/>
  <c r="L222" i="21"/>
  <c r="L224" i="21" s="1"/>
  <c r="N265" i="22"/>
  <c r="N266" i="22" s="1"/>
  <c r="N270" i="22" s="1"/>
  <c r="N271" i="22" s="1"/>
  <c r="O258" i="22"/>
  <c r="N87" i="24"/>
  <c r="N74" i="24"/>
  <c r="N75" i="24" s="1"/>
  <c r="M306" i="12"/>
  <c r="M307" i="12" s="1"/>
  <c r="M319" i="12"/>
  <c r="M186" i="22"/>
  <c r="M194" i="22" s="1"/>
  <c r="M207" i="22" s="1"/>
  <c r="M160" i="22"/>
  <c r="N28" i="24"/>
  <c r="N29" i="24" s="1"/>
  <c r="N35" i="24"/>
  <c r="N40" i="24"/>
  <c r="L222" i="22"/>
  <c r="L224" i="22" s="1"/>
  <c r="N184" i="22" l="1"/>
  <c r="N192" i="22" s="1"/>
  <c r="N156" i="22"/>
  <c r="N143" i="22"/>
  <c r="N144" i="22" s="1"/>
  <c r="N274" i="12"/>
  <c r="N275" i="12" s="1"/>
  <c r="N280" i="12"/>
  <c r="N284" i="12" s="1"/>
  <c r="M88" i="22"/>
  <c r="M89" i="22" s="1"/>
  <c r="M107" i="22"/>
  <c r="N280" i="23"/>
  <c r="N284" i="23" s="1"/>
  <c r="N274" i="23"/>
  <c r="N275" i="23" s="1"/>
  <c r="N88" i="24"/>
  <c r="N89" i="24" s="1"/>
  <c r="N107" i="24"/>
  <c r="N280" i="24"/>
  <c r="N284" i="24" s="1"/>
  <c r="N274" i="24"/>
  <c r="N275" i="24" s="1"/>
  <c r="M88" i="12"/>
  <c r="M89" i="12" s="1"/>
  <c r="M107" i="12"/>
  <c r="M314" i="24"/>
  <c r="M323" i="24" s="1"/>
  <c r="M34" i="20" s="1"/>
  <c r="M228" i="24"/>
  <c r="M229" i="24" s="1"/>
  <c r="M315" i="24" s="1"/>
  <c r="M324" i="24" s="1"/>
  <c r="M35" i="20" s="1"/>
  <c r="L208" i="12"/>
  <c r="L209" i="12" s="1"/>
  <c r="N51" i="12"/>
  <c r="N36" i="12"/>
  <c r="N37" i="12" s="1"/>
  <c r="M92" i="22"/>
  <c r="N36" i="21"/>
  <c r="N37" i="21" s="1"/>
  <c r="N51" i="21"/>
  <c r="M88" i="23"/>
  <c r="M89" i="23" s="1"/>
  <c r="M107" i="23"/>
  <c r="L217" i="12"/>
  <c r="L219" i="12" s="1"/>
  <c r="N156" i="24"/>
  <c r="N184" i="24"/>
  <c r="N192" i="24" s="1"/>
  <c r="N143" i="24"/>
  <c r="N144" i="24" s="1"/>
  <c r="K23" i="20"/>
  <c r="N36" i="24"/>
  <c r="N37" i="24" s="1"/>
  <c r="N51" i="24"/>
  <c r="L314" i="21"/>
  <c r="L323" i="21" s="1"/>
  <c r="L228" i="21"/>
  <c r="O242" i="12"/>
  <c r="O244" i="12" s="1"/>
  <c r="O263" i="12"/>
  <c r="O247" i="12"/>
  <c r="N184" i="21"/>
  <c r="N192" i="21" s="1"/>
  <c r="N156" i="21"/>
  <c r="N143" i="21"/>
  <c r="N144" i="21" s="1"/>
  <c r="O263" i="23"/>
  <c r="O242" i="23"/>
  <c r="O244" i="23" s="1"/>
  <c r="O247" i="23"/>
  <c r="N36" i="23"/>
  <c r="N37" i="23" s="1"/>
  <c r="N51" i="23"/>
  <c r="K29" i="20"/>
  <c r="L164" i="21"/>
  <c r="L166" i="21" s="1"/>
  <c r="N156" i="23"/>
  <c r="N143" i="23"/>
  <c r="N144" i="23" s="1"/>
  <c r="N184" i="23"/>
  <c r="N192" i="23" s="1"/>
  <c r="L314" i="12"/>
  <c r="L323" i="12" s="1"/>
  <c r="L228" i="12"/>
  <c r="O242" i="21"/>
  <c r="O244" i="21" s="1"/>
  <c r="O263" i="21"/>
  <c r="O247" i="21"/>
  <c r="M92" i="12"/>
  <c r="L217" i="22"/>
  <c r="L219" i="22" s="1"/>
  <c r="L208" i="22"/>
  <c r="L209" i="22" s="1"/>
  <c r="N293" i="24"/>
  <c r="N295" i="24" s="1"/>
  <c r="M209" i="24"/>
  <c r="K35" i="20"/>
  <c r="N92" i="24"/>
  <c r="N293" i="22"/>
  <c r="N295" i="22" s="1"/>
  <c r="O263" i="24"/>
  <c r="O247" i="24"/>
  <c r="O242" i="24"/>
  <c r="O244" i="24" s="1"/>
  <c r="L217" i="23"/>
  <c r="L219" i="23" s="1"/>
  <c r="M107" i="21"/>
  <c r="M88" i="21"/>
  <c r="M89" i="21" s="1"/>
  <c r="L314" i="23"/>
  <c r="L323" i="23" s="1"/>
  <c r="L228" i="23"/>
  <c r="M92" i="21"/>
  <c r="N36" i="22"/>
  <c r="N37" i="22" s="1"/>
  <c r="N51" i="22"/>
  <c r="L208" i="23"/>
  <c r="L209" i="23" s="1"/>
  <c r="K11" i="20"/>
  <c r="M162" i="24"/>
  <c r="M164" i="24" s="1"/>
  <c r="L164" i="24"/>
  <c r="L166" i="24" s="1"/>
  <c r="M92" i="23"/>
  <c r="L208" i="21"/>
  <c r="L209" i="21" s="1"/>
  <c r="N143" i="12"/>
  <c r="N144" i="12" s="1"/>
  <c r="N184" i="12"/>
  <c r="N192" i="12" s="1"/>
  <c r="N156" i="12"/>
  <c r="O247" i="22"/>
  <c r="O242" i="22"/>
  <c r="O244" i="22" s="1"/>
  <c r="O263" i="22"/>
  <c r="N280" i="22"/>
  <c r="N284" i="22" s="1"/>
  <c r="N274" i="22"/>
  <c r="N275" i="22" s="1"/>
  <c r="N274" i="21"/>
  <c r="N275" i="21" s="1"/>
  <c r="N280" i="21"/>
  <c r="N284" i="21" s="1"/>
  <c r="L164" i="23"/>
  <c r="L166" i="23" s="1"/>
  <c r="N293" i="23"/>
  <c r="N295" i="23" s="1"/>
  <c r="L217" i="24"/>
  <c r="L219" i="24" s="1"/>
  <c r="L217" i="21"/>
  <c r="L219" i="21" s="1"/>
  <c r="L164" i="12"/>
  <c r="L166" i="12" s="1"/>
  <c r="L208" i="24"/>
  <c r="L209" i="24" s="1"/>
  <c r="M207" i="21"/>
  <c r="L314" i="24"/>
  <c r="L323" i="24" s="1"/>
  <c r="L228" i="24"/>
  <c r="N293" i="12"/>
  <c r="N295" i="12" s="1"/>
  <c r="L228" i="22"/>
  <c r="L314" i="22"/>
  <c r="L323" i="22" s="1"/>
  <c r="L164" i="22"/>
  <c r="L166" i="22" s="1"/>
  <c r="M165" i="24"/>
  <c r="N293" i="21"/>
  <c r="N295" i="21" s="1"/>
  <c r="M207" i="12"/>
  <c r="K17" i="20"/>
  <c r="M171" i="12" l="1"/>
  <c r="M175" i="12" s="1"/>
  <c r="M176" i="12" s="1"/>
  <c r="M178" i="12" s="1"/>
  <c r="M180" i="12" s="1"/>
  <c r="M14" i="20" s="1"/>
  <c r="M103" i="12"/>
  <c r="M104" i="12" s="1"/>
  <c r="M93" i="12"/>
  <c r="N86" i="12"/>
  <c r="N41" i="22"/>
  <c r="N42" i="22" s="1"/>
  <c r="N47" i="22" s="1"/>
  <c r="N48" i="22" s="1"/>
  <c r="N52" i="22" s="1"/>
  <c r="N53" i="22" s="1"/>
  <c r="N170" i="22"/>
  <c r="N174" i="22" s="1"/>
  <c r="O34" i="22"/>
  <c r="O141" i="21"/>
  <c r="N148" i="21"/>
  <c r="N149" i="21" s="1"/>
  <c r="N153" i="21" s="1"/>
  <c r="N154" i="21" s="1"/>
  <c r="N170" i="24"/>
  <c r="N174" i="24" s="1"/>
  <c r="N41" i="24"/>
  <c r="N42" i="24" s="1"/>
  <c r="N47" i="24" s="1"/>
  <c r="N48" i="24" s="1"/>
  <c r="N52" i="24" s="1"/>
  <c r="N53" i="24" s="1"/>
  <c r="O34" i="24"/>
  <c r="M171" i="23"/>
  <c r="M175" i="23" s="1"/>
  <c r="M176" i="23" s="1"/>
  <c r="M178" i="23" s="1"/>
  <c r="M180" i="23" s="1"/>
  <c r="M26" i="20" s="1"/>
  <c r="M93" i="23"/>
  <c r="M94" i="23" s="1"/>
  <c r="M99" i="23" s="1"/>
  <c r="M100" i="23" s="1"/>
  <c r="M108" i="23" s="1"/>
  <c r="M188" i="23" s="1"/>
  <c r="M196" i="23" s="1"/>
  <c r="M103" i="23"/>
  <c r="M104" i="23" s="1"/>
  <c r="N86" i="23"/>
  <c r="M93" i="21"/>
  <c r="M94" i="21" s="1"/>
  <c r="M99" i="21" s="1"/>
  <c r="M100" i="21" s="1"/>
  <c r="M108" i="21" s="1"/>
  <c r="M171" i="21"/>
  <c r="M175" i="21" s="1"/>
  <c r="M176" i="21" s="1"/>
  <c r="M178" i="21" s="1"/>
  <c r="M180" i="21" s="1"/>
  <c r="M8" i="20" s="1"/>
  <c r="N86" i="21"/>
  <c r="M103" i="21"/>
  <c r="M104" i="21" s="1"/>
  <c r="N170" i="23"/>
  <c r="N174" i="23" s="1"/>
  <c r="N41" i="23"/>
  <c r="N42" i="23" s="1"/>
  <c r="N47" i="23" s="1"/>
  <c r="N48" i="23" s="1"/>
  <c r="N52" i="23" s="1"/>
  <c r="N53" i="23" s="1"/>
  <c r="O34" i="23"/>
  <c r="O141" i="12"/>
  <c r="N148" i="12"/>
  <c r="N149" i="12" s="1"/>
  <c r="N153" i="12" s="1"/>
  <c r="N154" i="12" s="1"/>
  <c r="N171" i="24"/>
  <c r="N175" i="24" s="1"/>
  <c r="N93" i="24"/>
  <c r="N94" i="24" s="1"/>
  <c r="N99" i="24" s="1"/>
  <c r="N100" i="24" s="1"/>
  <c r="N108" i="24" s="1"/>
  <c r="O86" i="24"/>
  <c r="N103" i="24"/>
  <c r="N104" i="24" s="1"/>
  <c r="L28" i="20"/>
  <c r="O259" i="24"/>
  <c r="O261" i="24" s="1"/>
  <c r="O248" i="24"/>
  <c r="O249" i="24" s="1"/>
  <c r="O264" i="24"/>
  <c r="N305" i="12"/>
  <c r="N299" i="22"/>
  <c r="N301" i="22" s="1"/>
  <c r="N170" i="21"/>
  <c r="N174" i="21" s="1"/>
  <c r="O34" i="21"/>
  <c r="N41" i="21"/>
  <c r="N42" i="21" s="1"/>
  <c r="N47" i="21" s="1"/>
  <c r="N48" i="21" s="1"/>
  <c r="N52" i="21" s="1"/>
  <c r="N53" i="21" s="1"/>
  <c r="L10" i="20"/>
  <c r="N305" i="24"/>
  <c r="N148" i="23"/>
  <c r="N149" i="23" s="1"/>
  <c r="N153" i="23" s="1"/>
  <c r="N154" i="23" s="1"/>
  <c r="O141" i="23"/>
  <c r="N148" i="24"/>
  <c r="N149" i="24" s="1"/>
  <c r="N153" i="24" s="1"/>
  <c r="N154" i="24" s="1"/>
  <c r="O141" i="24"/>
  <c r="N199" i="12"/>
  <c r="N305" i="21"/>
  <c r="L313" i="22"/>
  <c r="L322" i="22" s="1"/>
  <c r="L227" i="22"/>
  <c r="L229" i="22" s="1"/>
  <c r="L313" i="12"/>
  <c r="L322" i="12" s="1"/>
  <c r="L227" i="12"/>
  <c r="L229" i="12" s="1"/>
  <c r="N187" i="24"/>
  <c r="N195" i="24" s="1"/>
  <c r="M167" i="24"/>
  <c r="M166" i="24"/>
  <c r="M187" i="22"/>
  <c r="M195" i="22" s="1"/>
  <c r="N305" i="22"/>
  <c r="O259" i="21"/>
  <c r="O261" i="21" s="1"/>
  <c r="O248" i="21"/>
  <c r="O249" i="21" s="1"/>
  <c r="O264" i="21"/>
  <c r="N199" i="21"/>
  <c r="N86" i="22"/>
  <c r="M103" i="22"/>
  <c r="M104" i="22" s="1"/>
  <c r="M93" i="22"/>
  <c r="M94" i="22" s="1"/>
  <c r="M99" i="22" s="1"/>
  <c r="M100" i="22" s="1"/>
  <c r="M108" i="22" s="1"/>
  <c r="M171" i="22"/>
  <c r="M175" i="22" s="1"/>
  <c r="M176" i="22" s="1"/>
  <c r="M178" i="22" s="1"/>
  <c r="M180" i="22" s="1"/>
  <c r="M20" i="20" s="1"/>
  <c r="O264" i="22"/>
  <c r="O259" i="22"/>
  <c r="O261" i="22" s="1"/>
  <c r="O248" i="22"/>
  <c r="O249" i="22" s="1"/>
  <c r="N281" i="24"/>
  <c r="N285" i="24" s="1"/>
  <c r="L313" i="23"/>
  <c r="L322" i="23" s="1"/>
  <c r="L227" i="23"/>
  <c r="L229" i="23" s="1"/>
  <c r="N41" i="12"/>
  <c r="N42" i="12" s="1"/>
  <c r="N47" i="12" s="1"/>
  <c r="N48" i="12" s="1"/>
  <c r="N52" i="12" s="1"/>
  <c r="N53" i="12" s="1"/>
  <c r="O34" i="12"/>
  <c r="N170" i="12"/>
  <c r="N174" i="12" s="1"/>
  <c r="M94" i="12"/>
  <c r="M99" i="12" s="1"/>
  <c r="M100" i="12" s="1"/>
  <c r="M108" i="12" s="1"/>
  <c r="M188" i="12" s="1"/>
  <c r="M196" i="12" s="1"/>
  <c r="L227" i="24"/>
  <c r="L229" i="24" s="1"/>
  <c r="L313" i="24"/>
  <c r="L322" i="24" s="1"/>
  <c r="N281" i="21"/>
  <c r="N285" i="21" s="1"/>
  <c r="N299" i="23"/>
  <c r="N301" i="23" s="1"/>
  <c r="O249" i="12"/>
  <c r="M187" i="12"/>
  <c r="M195" i="12" s="1"/>
  <c r="N281" i="23"/>
  <c r="N285" i="23" s="1"/>
  <c r="M187" i="21"/>
  <c r="M195" i="21" s="1"/>
  <c r="N199" i="24"/>
  <c r="N299" i="24"/>
  <c r="N301" i="24" s="1"/>
  <c r="M187" i="23"/>
  <c r="M195" i="23" s="1"/>
  <c r="L227" i="21"/>
  <c r="L229" i="21" s="1"/>
  <c r="L313" i="21"/>
  <c r="L322" i="21" s="1"/>
  <c r="N299" i="12"/>
  <c r="N301" i="12" s="1"/>
  <c r="L22" i="20"/>
  <c r="N299" i="21"/>
  <c r="N301" i="21" s="1"/>
  <c r="L16" i="20"/>
  <c r="N281" i="22"/>
  <c r="N285" i="22" s="1"/>
  <c r="O141" i="22"/>
  <c r="N148" i="22"/>
  <c r="N149" i="22" s="1"/>
  <c r="N153" i="22" s="1"/>
  <c r="N154" i="22" s="1"/>
  <c r="N305" i="23"/>
  <c r="N199" i="23"/>
  <c r="O248" i="12"/>
  <c r="O264" i="12"/>
  <c r="O259" i="12"/>
  <c r="O261" i="12" s="1"/>
  <c r="L34" i="20"/>
  <c r="N281" i="12"/>
  <c r="N285" i="12" s="1"/>
  <c r="O248" i="23"/>
  <c r="O249" i="23" s="1"/>
  <c r="O259" i="23"/>
  <c r="O261" i="23" s="1"/>
  <c r="O264" i="23"/>
  <c r="N199" i="22"/>
  <c r="N61" i="23" l="1"/>
  <c r="N115" i="23" s="1"/>
  <c r="M188" i="21"/>
  <c r="M196" i="21" s="1"/>
  <c r="M109" i="21"/>
  <c r="O273" i="21"/>
  <c r="O279" i="21"/>
  <c r="O283" i="21" s="1"/>
  <c r="N61" i="24"/>
  <c r="N115" i="24" s="1"/>
  <c r="N188" i="24"/>
  <c r="N196" i="24" s="1"/>
  <c r="N109" i="24"/>
  <c r="M188" i="22"/>
  <c r="M196" i="22" s="1"/>
  <c r="M109" i="22"/>
  <c r="O279" i="22"/>
  <c r="O283" i="22" s="1"/>
  <c r="O293" i="22" s="1"/>
  <c r="O295" i="22" s="1"/>
  <c r="O273" i="22"/>
  <c r="N61" i="12"/>
  <c r="N115" i="12" s="1"/>
  <c r="P258" i="21"/>
  <c r="O265" i="21"/>
  <c r="O266" i="21" s="1"/>
  <c r="O270" i="21" s="1"/>
  <c r="O271" i="21" s="1"/>
  <c r="M109" i="23"/>
  <c r="N319" i="23"/>
  <c r="N306" i="23"/>
  <c r="N307" i="23" s="1"/>
  <c r="M204" i="23"/>
  <c r="M205" i="23" s="1"/>
  <c r="M200" i="22"/>
  <c r="M201" i="22" s="1"/>
  <c r="M200" i="23"/>
  <c r="M201" i="23" s="1"/>
  <c r="L315" i="12"/>
  <c r="L324" i="12" s="1"/>
  <c r="O22" i="21"/>
  <c r="O24" i="21" s="1"/>
  <c r="O27" i="21"/>
  <c r="M200" i="21"/>
  <c r="M201" i="21" s="1"/>
  <c r="N319" i="24"/>
  <c r="N306" i="24"/>
  <c r="N307" i="24" s="1"/>
  <c r="L315" i="22"/>
  <c r="L324" i="22" s="1"/>
  <c r="L21" i="20"/>
  <c r="O265" i="23"/>
  <c r="O266" i="23" s="1"/>
  <c r="O270" i="23" s="1"/>
  <c r="O271" i="23" s="1"/>
  <c r="P258" i="23"/>
  <c r="O27" i="12"/>
  <c r="O22" i="12"/>
  <c r="O24" i="12" s="1"/>
  <c r="P258" i="24"/>
  <c r="O265" i="24"/>
  <c r="O266" i="24" s="1"/>
  <c r="O270" i="24" s="1"/>
  <c r="O271" i="24" s="1"/>
  <c r="M200" i="12"/>
  <c r="M201" i="12" s="1"/>
  <c r="N306" i="21"/>
  <c r="N307" i="21" s="1"/>
  <c r="N319" i="21"/>
  <c r="L27" i="20"/>
  <c r="O129" i="21"/>
  <c r="O131" i="21" s="1"/>
  <c r="O146" i="21"/>
  <c r="O134" i="21"/>
  <c r="O146" i="23"/>
  <c r="O129" i="23"/>
  <c r="O131" i="23" s="1"/>
  <c r="O134" i="23"/>
  <c r="O22" i="22"/>
  <c r="O24" i="22" s="1"/>
  <c r="O27" i="22"/>
  <c r="N157" i="23"/>
  <c r="N158" i="23" s="1"/>
  <c r="N185" i="23"/>
  <c r="N193" i="23" s="1"/>
  <c r="O73" i="24"/>
  <c r="O91" i="24"/>
  <c r="O68" i="24"/>
  <c r="O70" i="24" s="1"/>
  <c r="O273" i="23"/>
  <c r="O279" i="23"/>
  <c r="O283" i="23" s="1"/>
  <c r="O146" i="22"/>
  <c r="O129" i="22"/>
  <c r="O131" i="22" s="1"/>
  <c r="O134" i="22"/>
  <c r="L315" i="24"/>
  <c r="L324" i="24" s="1"/>
  <c r="N185" i="21"/>
  <c r="N193" i="21" s="1"/>
  <c r="N157" i="21"/>
  <c r="N158" i="21" s="1"/>
  <c r="N68" i="21"/>
  <c r="N70" i="21" s="1"/>
  <c r="N73" i="21"/>
  <c r="N91" i="21"/>
  <c r="L33" i="20"/>
  <c r="N306" i="22"/>
  <c r="N307" i="22" s="1"/>
  <c r="N319" i="22"/>
  <c r="N61" i="21"/>
  <c r="N115" i="21" s="1"/>
  <c r="M204" i="12"/>
  <c r="M205" i="12" s="1"/>
  <c r="L315" i="23"/>
  <c r="L324" i="23" s="1"/>
  <c r="O279" i="12"/>
  <c r="O283" i="12" s="1"/>
  <c r="O293" i="12" s="1"/>
  <c r="O295" i="12" s="1"/>
  <c r="O273" i="12"/>
  <c r="P258" i="12"/>
  <c r="O265" i="12"/>
  <c r="O266" i="12" s="1"/>
  <c r="O270" i="12" s="1"/>
  <c r="O271" i="12" s="1"/>
  <c r="P258" i="22"/>
  <c r="O265" i="22"/>
  <c r="O266" i="22" s="1"/>
  <c r="O270" i="22" s="1"/>
  <c r="O271" i="22" s="1"/>
  <c r="N176" i="24"/>
  <c r="N178" i="24" s="1"/>
  <c r="N180" i="24" s="1"/>
  <c r="N32" i="20" s="1"/>
  <c r="N91" i="12"/>
  <c r="N73" i="12"/>
  <c r="N68" i="12"/>
  <c r="N70" i="12" s="1"/>
  <c r="N73" i="22"/>
  <c r="N91" i="22"/>
  <c r="N68" i="22"/>
  <c r="N70" i="22" s="1"/>
  <c r="N185" i="22"/>
  <c r="N193" i="22" s="1"/>
  <c r="N157" i="22"/>
  <c r="N158" i="22" s="1"/>
  <c r="O279" i="24"/>
  <c r="O283" i="24" s="1"/>
  <c r="O273" i="24"/>
  <c r="N68" i="23"/>
  <c r="N70" i="23" s="1"/>
  <c r="N91" i="23"/>
  <c r="N73" i="23"/>
  <c r="O22" i="24"/>
  <c r="O24" i="24" s="1"/>
  <c r="O27" i="24"/>
  <c r="N185" i="12"/>
  <c r="N193" i="12" s="1"/>
  <c r="N157" i="12"/>
  <c r="N158" i="12" s="1"/>
  <c r="M109" i="12"/>
  <c r="L9" i="20"/>
  <c r="N200" i="24"/>
  <c r="N201" i="24" s="1"/>
  <c r="O134" i="12"/>
  <c r="O129" i="12"/>
  <c r="O131" i="12" s="1"/>
  <c r="O146" i="12"/>
  <c r="L15" i="20"/>
  <c r="N61" i="22"/>
  <c r="N115" i="22" s="1"/>
  <c r="O129" i="24"/>
  <c r="O131" i="24" s="1"/>
  <c r="O146" i="24"/>
  <c r="O134" i="24"/>
  <c r="N157" i="24"/>
  <c r="N158" i="24" s="1"/>
  <c r="N185" i="24"/>
  <c r="N193" i="24" s="1"/>
  <c r="N319" i="12"/>
  <c r="N306" i="12"/>
  <c r="N307" i="12" s="1"/>
  <c r="L315" i="21"/>
  <c r="L324" i="21" s="1"/>
  <c r="O22" i="23"/>
  <c r="O24" i="23" s="1"/>
  <c r="O27" i="23"/>
  <c r="O274" i="22" l="1"/>
  <c r="O275" i="22" s="1"/>
  <c r="O280" i="22"/>
  <c r="O284" i="22" s="1"/>
  <c r="O299" i="22" s="1"/>
  <c r="O301" i="22" s="1"/>
  <c r="N203" i="24"/>
  <c r="O39" i="24"/>
  <c r="P263" i="22"/>
  <c r="P247" i="22"/>
  <c r="P242" i="22"/>
  <c r="P244" i="22" s="1"/>
  <c r="O280" i="12"/>
  <c r="O284" i="12" s="1"/>
  <c r="O299" i="12" s="1"/>
  <c r="O301" i="12" s="1"/>
  <c r="O274" i="12"/>
  <c r="O275" i="12" s="1"/>
  <c r="O281" i="12" s="1"/>
  <c r="O285" i="12" s="1"/>
  <c r="L35" i="20"/>
  <c r="P247" i="21"/>
  <c r="P242" i="21"/>
  <c r="P244" i="21" s="1"/>
  <c r="P263" i="21"/>
  <c r="N203" i="22"/>
  <c r="O87" i="24"/>
  <c r="O74" i="24"/>
  <c r="O75" i="24" s="1"/>
  <c r="M217" i="12"/>
  <c r="M219" i="12" s="1"/>
  <c r="O40" i="21"/>
  <c r="O35" i="21"/>
  <c r="O28" i="21"/>
  <c r="O29" i="21" s="1"/>
  <c r="M204" i="22"/>
  <c r="M205" i="22" s="1"/>
  <c r="O280" i="21"/>
  <c r="O284" i="21" s="1"/>
  <c r="O299" i="21" s="1"/>
  <c r="O301" i="21" s="1"/>
  <c r="O274" i="21"/>
  <c r="O275" i="21" s="1"/>
  <c r="O281" i="21" s="1"/>
  <c r="O285" i="21" s="1"/>
  <c r="N186" i="24"/>
  <c r="N194" i="24" s="1"/>
  <c r="N160" i="24"/>
  <c r="O142" i="24"/>
  <c r="O135" i="24"/>
  <c r="O136" i="24" s="1"/>
  <c r="O147" i="24"/>
  <c r="N87" i="23"/>
  <c r="N74" i="23"/>
  <c r="N75" i="23" s="1"/>
  <c r="O305" i="22"/>
  <c r="L29" i="20"/>
  <c r="N186" i="22"/>
  <c r="N194" i="22" s="1"/>
  <c r="N160" i="22"/>
  <c r="O39" i="21"/>
  <c r="O28" i="24"/>
  <c r="O29" i="24" s="1"/>
  <c r="O35" i="24"/>
  <c r="O40" i="24"/>
  <c r="P242" i="12"/>
  <c r="P244" i="12" s="1"/>
  <c r="P247" i="12"/>
  <c r="P263" i="12"/>
  <c r="M222" i="12"/>
  <c r="M224" i="12" s="1"/>
  <c r="M161" i="22"/>
  <c r="M162" i="22" s="1"/>
  <c r="M189" i="22"/>
  <c r="M197" i="22" s="1"/>
  <c r="M116" i="22"/>
  <c r="M117" i="22" s="1"/>
  <c r="N189" i="24"/>
  <c r="N197" i="24" s="1"/>
  <c r="N116" i="24"/>
  <c r="N117" i="24" s="1"/>
  <c r="N161" i="24"/>
  <c r="L17" i="20"/>
  <c r="N203" i="23"/>
  <c r="O39" i="12"/>
  <c r="O39" i="23"/>
  <c r="N217" i="24"/>
  <c r="N219" i="24" s="1"/>
  <c r="O39" i="22"/>
  <c r="O35" i="23"/>
  <c r="O40" i="23"/>
  <c r="O28" i="23"/>
  <c r="O29" i="23" s="1"/>
  <c r="N87" i="12"/>
  <c r="N74" i="12"/>
  <c r="N75" i="12" s="1"/>
  <c r="L11" i="20"/>
  <c r="M189" i="12"/>
  <c r="M197" i="12" s="1"/>
  <c r="M116" i="12"/>
  <c r="M117" i="12" s="1"/>
  <c r="M161" i="12"/>
  <c r="M162" i="12" s="1"/>
  <c r="M204" i="21"/>
  <c r="M205" i="21" s="1"/>
  <c r="O293" i="24"/>
  <c r="O295" i="24" s="1"/>
  <c r="N204" i="24"/>
  <c r="M217" i="23"/>
  <c r="M219" i="23" s="1"/>
  <c r="M217" i="22"/>
  <c r="M219" i="22" s="1"/>
  <c r="O135" i="23"/>
  <c r="O136" i="23" s="1"/>
  <c r="O142" i="23"/>
  <c r="O147" i="23"/>
  <c r="O142" i="21"/>
  <c r="O147" i="21"/>
  <c r="O135" i="21"/>
  <c r="O136" i="21" s="1"/>
  <c r="O135" i="22"/>
  <c r="O136" i="22" s="1"/>
  <c r="O142" i="22"/>
  <c r="O147" i="22"/>
  <c r="O280" i="24"/>
  <c r="O284" i="24" s="1"/>
  <c r="O299" i="24" s="1"/>
  <c r="O301" i="24" s="1"/>
  <c r="O274" i="24"/>
  <c r="O275" i="24" s="1"/>
  <c r="P263" i="24"/>
  <c r="P242" i="24"/>
  <c r="P244" i="24" s="1"/>
  <c r="P247" i="24"/>
  <c r="N87" i="22"/>
  <c r="N74" i="22"/>
  <c r="N75" i="22" s="1"/>
  <c r="N160" i="23"/>
  <c r="N186" i="23"/>
  <c r="N194" i="23" s="1"/>
  <c r="O280" i="23"/>
  <c r="O284" i="23" s="1"/>
  <c r="O299" i="23" s="1"/>
  <c r="O301" i="23" s="1"/>
  <c r="O274" i="23"/>
  <c r="O275" i="23" s="1"/>
  <c r="O281" i="23" s="1"/>
  <c r="O285" i="23" s="1"/>
  <c r="O293" i="21"/>
  <c r="O295" i="21" s="1"/>
  <c r="M161" i="21"/>
  <c r="M162" i="21" s="1"/>
  <c r="M189" i="21"/>
  <c r="M197" i="21" s="1"/>
  <c r="M116" i="21"/>
  <c r="M117" i="21" s="1"/>
  <c r="N160" i="12"/>
  <c r="N186" i="12"/>
  <c r="N194" i="12" s="1"/>
  <c r="N87" i="21"/>
  <c r="N74" i="21"/>
  <c r="N75" i="21" s="1"/>
  <c r="N203" i="12"/>
  <c r="N186" i="21"/>
  <c r="N194" i="21" s="1"/>
  <c r="N160" i="21"/>
  <c r="L23" i="20"/>
  <c r="O305" i="12"/>
  <c r="M217" i="21"/>
  <c r="M219" i="21" s="1"/>
  <c r="O293" i="23"/>
  <c r="O295" i="23" s="1"/>
  <c r="O147" i="12"/>
  <c r="O142" i="12"/>
  <c r="O135" i="12"/>
  <c r="O136" i="12" s="1"/>
  <c r="O35" i="12"/>
  <c r="O40" i="12"/>
  <c r="O28" i="12"/>
  <c r="O29" i="12" s="1"/>
  <c r="P263" i="23"/>
  <c r="P242" i="23"/>
  <c r="P244" i="23" s="1"/>
  <c r="P247" i="23"/>
  <c r="O28" i="22"/>
  <c r="O29" i="22" s="1"/>
  <c r="O40" i="22"/>
  <c r="O35" i="22"/>
  <c r="M222" i="23"/>
  <c r="M224" i="23" s="1"/>
  <c r="N203" i="21"/>
  <c r="M189" i="23"/>
  <c r="M197" i="23" s="1"/>
  <c r="M116" i="23"/>
  <c r="M117" i="23" s="1"/>
  <c r="M161" i="23"/>
  <c r="M162" i="23" s="1"/>
  <c r="N205" i="24" l="1"/>
  <c r="N222" i="24" s="1"/>
  <c r="N224" i="24" s="1"/>
  <c r="O36" i="21"/>
  <c r="O51" i="21"/>
  <c r="O281" i="24"/>
  <c r="O285" i="24" s="1"/>
  <c r="O156" i="21"/>
  <c r="O143" i="21"/>
  <c r="O184" i="21"/>
  <c r="O192" i="21" s="1"/>
  <c r="O51" i="12"/>
  <c r="O36" i="12"/>
  <c r="O37" i="12" s="1"/>
  <c r="O36" i="24"/>
  <c r="O37" i="24" s="1"/>
  <c r="O51" i="24"/>
  <c r="O156" i="12"/>
  <c r="O143" i="12"/>
  <c r="O184" i="12"/>
  <c r="O192" i="12" s="1"/>
  <c r="N88" i="12"/>
  <c r="N89" i="12" s="1"/>
  <c r="N107" i="12"/>
  <c r="O184" i="24"/>
  <c r="O192" i="24" s="1"/>
  <c r="O156" i="24"/>
  <c r="O143" i="24"/>
  <c r="O144" i="24" s="1"/>
  <c r="O184" i="22"/>
  <c r="O192" i="22" s="1"/>
  <c r="O156" i="22"/>
  <c r="O143" i="22"/>
  <c r="O144" i="22" s="1"/>
  <c r="O36" i="22"/>
  <c r="O37" i="22" s="1"/>
  <c r="O51" i="22"/>
  <c r="P259" i="23"/>
  <c r="P261" i="23" s="1"/>
  <c r="P264" i="23"/>
  <c r="P248" i="23"/>
  <c r="P249" i="23" s="1"/>
  <c r="P259" i="24"/>
  <c r="P261" i="24" s="1"/>
  <c r="P248" i="24"/>
  <c r="P249" i="24" s="1"/>
  <c r="P264" i="24"/>
  <c r="O305" i="24"/>
  <c r="N227" i="24"/>
  <c r="N313" i="24"/>
  <c r="N322" i="24" s="1"/>
  <c r="P259" i="21"/>
  <c r="P261" i="21" s="1"/>
  <c r="P264" i="21"/>
  <c r="P248" i="21"/>
  <c r="P249" i="21" s="1"/>
  <c r="M165" i="21"/>
  <c r="M208" i="21"/>
  <c r="M209" i="21" s="1"/>
  <c r="N207" i="12"/>
  <c r="N107" i="22"/>
  <c r="N88" i="22"/>
  <c r="N89" i="22" s="1"/>
  <c r="N207" i="24"/>
  <c r="O144" i="12"/>
  <c r="N88" i="21"/>
  <c r="N89" i="21" s="1"/>
  <c r="N107" i="21"/>
  <c r="O107" i="24"/>
  <c r="O88" i="24"/>
  <c r="O89" i="24" s="1"/>
  <c r="O319" i="12"/>
  <c r="O306" i="12"/>
  <c r="O307" i="12" s="1"/>
  <c r="M164" i="21"/>
  <c r="O306" i="21"/>
  <c r="O319" i="21"/>
  <c r="O51" i="23"/>
  <c r="O36" i="23"/>
  <c r="O37" i="23" s="1"/>
  <c r="M164" i="12"/>
  <c r="P248" i="22"/>
  <c r="P249" i="22" s="1"/>
  <c r="P264" i="22"/>
  <c r="P259" i="22"/>
  <c r="P261" i="22" s="1"/>
  <c r="N165" i="24"/>
  <c r="N207" i="23"/>
  <c r="M314" i="23"/>
  <c r="M323" i="23" s="1"/>
  <c r="M228" i="23"/>
  <c r="N92" i="12"/>
  <c r="M227" i="12"/>
  <c r="M313" i="12"/>
  <c r="M322" i="12" s="1"/>
  <c r="M164" i="23"/>
  <c r="M165" i="12"/>
  <c r="M222" i="22"/>
  <c r="M224" i="22" s="1"/>
  <c r="N162" i="24"/>
  <c r="M208" i="22"/>
  <c r="M209" i="22" s="1"/>
  <c r="O92" i="24"/>
  <c r="P248" i="12"/>
  <c r="P249" i="12" s="1"/>
  <c r="P264" i="12"/>
  <c r="P259" i="12"/>
  <c r="P261" i="12" s="1"/>
  <c r="O184" i="23"/>
  <c r="O192" i="23" s="1"/>
  <c r="O143" i="23"/>
  <c r="O144" i="23" s="1"/>
  <c r="O156" i="23"/>
  <c r="M165" i="23"/>
  <c r="O305" i="21"/>
  <c r="N207" i="22"/>
  <c r="O306" i="23"/>
  <c r="O319" i="23"/>
  <c r="N208" i="24"/>
  <c r="M165" i="22"/>
  <c r="O281" i="22"/>
  <c r="O285" i="22" s="1"/>
  <c r="M313" i="23"/>
  <c r="M322" i="23" s="1"/>
  <c r="M227" i="23"/>
  <c r="M164" i="22"/>
  <c r="N92" i="23"/>
  <c r="N92" i="21"/>
  <c r="O306" i="24"/>
  <c r="O319" i="24"/>
  <c r="M222" i="21"/>
  <c r="M224" i="21" s="1"/>
  <c r="O305" i="23"/>
  <c r="M208" i="23"/>
  <c r="M209" i="23" s="1"/>
  <c r="M227" i="21"/>
  <c r="M313" i="21"/>
  <c r="M322" i="21" s="1"/>
  <c r="O144" i="21"/>
  <c r="O37" i="21"/>
  <c r="M227" i="22"/>
  <c r="M313" i="22"/>
  <c r="M322" i="22" s="1"/>
  <c r="N207" i="21"/>
  <c r="N92" i="22"/>
  <c r="O306" i="22"/>
  <c r="O307" i="22" s="1"/>
  <c r="O319" i="22"/>
  <c r="N107" i="23"/>
  <c r="N88" i="23"/>
  <c r="N89" i="23" s="1"/>
  <c r="M208" i="12"/>
  <c r="M209" i="12" s="1"/>
  <c r="M314" i="12"/>
  <c r="M323" i="12" s="1"/>
  <c r="M228" i="12"/>
  <c r="N209" i="24" l="1"/>
  <c r="O307" i="21"/>
  <c r="O307" i="24"/>
  <c r="O148" i="24"/>
  <c r="O149" i="24" s="1"/>
  <c r="O153" i="24" s="1"/>
  <c r="O154" i="24" s="1"/>
  <c r="P141" i="24"/>
  <c r="N171" i="12"/>
  <c r="N175" i="12" s="1"/>
  <c r="N176" i="12" s="1"/>
  <c r="N178" i="12" s="1"/>
  <c r="N180" i="12" s="1"/>
  <c r="N14" i="20" s="1"/>
  <c r="O86" i="12"/>
  <c r="N103" i="12"/>
  <c r="N104" i="12" s="1"/>
  <c r="N93" i="12"/>
  <c r="N94" i="12" s="1"/>
  <c r="N99" i="12" s="1"/>
  <c r="N100" i="12" s="1"/>
  <c r="N108" i="12" s="1"/>
  <c r="N188" i="12" s="1"/>
  <c r="N196" i="12" s="1"/>
  <c r="P34" i="23"/>
  <c r="O41" i="23"/>
  <c r="O42" i="23" s="1"/>
  <c r="O47" i="23" s="1"/>
  <c r="O48" i="23" s="1"/>
  <c r="O52" i="23" s="1"/>
  <c r="O53" i="23" s="1"/>
  <c r="O61" i="23" s="1"/>
  <c r="O115" i="23" s="1"/>
  <c r="O170" i="23"/>
  <c r="O174" i="23" s="1"/>
  <c r="O41" i="24"/>
  <c r="O42" i="24" s="1"/>
  <c r="O47" i="24" s="1"/>
  <c r="O48" i="24" s="1"/>
  <c r="O52" i="24" s="1"/>
  <c r="O53" i="24" s="1"/>
  <c r="O61" i="24" s="1"/>
  <c r="O115" i="24" s="1"/>
  <c r="P34" i="24"/>
  <c r="O170" i="24"/>
  <c r="O174" i="24" s="1"/>
  <c r="P279" i="24"/>
  <c r="P283" i="24" s="1"/>
  <c r="P293" i="24" s="1"/>
  <c r="P295" i="24" s="1"/>
  <c r="P305" i="24" s="1"/>
  <c r="P273" i="24"/>
  <c r="P266" i="22"/>
  <c r="P270" i="22" s="1"/>
  <c r="P271" i="22" s="1"/>
  <c r="O170" i="12"/>
  <c r="O174" i="12" s="1"/>
  <c r="P34" i="12"/>
  <c r="O41" i="12"/>
  <c r="O42" i="12" s="1"/>
  <c r="O47" i="12" s="1"/>
  <c r="O48" i="12" s="1"/>
  <c r="O52" i="12" s="1"/>
  <c r="O53" i="12" s="1"/>
  <c r="O86" i="23"/>
  <c r="N171" i="23"/>
  <c r="N175" i="23" s="1"/>
  <c r="N176" i="23" s="1"/>
  <c r="N178" i="23" s="1"/>
  <c r="N180" i="23" s="1"/>
  <c r="N26" i="20" s="1"/>
  <c r="N93" i="23"/>
  <c r="N94" i="23" s="1"/>
  <c r="N99" i="23" s="1"/>
  <c r="N100" i="23" s="1"/>
  <c r="N108" i="23" s="1"/>
  <c r="N103" i="23"/>
  <c r="N104" i="23" s="1"/>
  <c r="O171" i="24"/>
  <c r="O175" i="24" s="1"/>
  <c r="P86" i="24"/>
  <c r="O93" i="24"/>
  <c r="O103" i="24"/>
  <c r="O104" i="24" s="1"/>
  <c r="N171" i="21"/>
  <c r="N175" i="21" s="1"/>
  <c r="N176" i="21" s="1"/>
  <c r="N178" i="21" s="1"/>
  <c r="N180" i="21" s="1"/>
  <c r="N8" i="20" s="1"/>
  <c r="N103" i="21"/>
  <c r="N104" i="21" s="1"/>
  <c r="O86" i="21"/>
  <c r="N93" i="21"/>
  <c r="N94" i="21" s="1"/>
  <c r="N99" i="21" s="1"/>
  <c r="N100" i="21" s="1"/>
  <c r="N108" i="21" s="1"/>
  <c r="N188" i="21" s="1"/>
  <c r="N196" i="21" s="1"/>
  <c r="M27" i="20"/>
  <c r="P141" i="21"/>
  <c r="O148" i="21"/>
  <c r="O149" i="21" s="1"/>
  <c r="O153" i="21" s="1"/>
  <c r="O154" i="21" s="1"/>
  <c r="P265" i="21"/>
  <c r="P266" i="21" s="1"/>
  <c r="P270" i="21" s="1"/>
  <c r="P271" i="21" s="1"/>
  <c r="Q258" i="21"/>
  <c r="P34" i="22"/>
  <c r="O170" i="22"/>
  <c r="O174" i="22" s="1"/>
  <c r="O41" i="22"/>
  <c r="O42" i="22" s="1"/>
  <c r="O47" i="22" s="1"/>
  <c r="O48" i="22" s="1"/>
  <c r="O52" i="22" s="1"/>
  <c r="O53" i="22" s="1"/>
  <c r="O61" i="22" s="1"/>
  <c r="O115" i="22" s="1"/>
  <c r="O199" i="22"/>
  <c r="N187" i="12"/>
  <c r="N195" i="12" s="1"/>
  <c r="O307" i="23"/>
  <c r="N164" i="24"/>
  <c r="P265" i="22"/>
  <c r="Q258" i="22"/>
  <c r="Q258" i="24"/>
  <c r="P265" i="24"/>
  <c r="P266" i="24" s="1"/>
  <c r="P270" i="24" s="1"/>
  <c r="P271" i="24" s="1"/>
  <c r="O199" i="12"/>
  <c r="N314" i="24"/>
  <c r="N323" i="24" s="1"/>
  <c r="N228" i="24"/>
  <c r="N229" i="24" s="1"/>
  <c r="O148" i="23"/>
  <c r="O149" i="23" s="1"/>
  <c r="O153" i="23" s="1"/>
  <c r="O154" i="23" s="1"/>
  <c r="P141" i="23"/>
  <c r="M28" i="20"/>
  <c r="O199" i="24"/>
  <c r="P273" i="22"/>
  <c r="P279" i="22"/>
  <c r="P283" i="22" s="1"/>
  <c r="P293" i="22" s="1"/>
  <c r="P295" i="22" s="1"/>
  <c r="P305" i="22" s="1"/>
  <c r="M16" i="20"/>
  <c r="N33" i="20"/>
  <c r="O187" i="24"/>
  <c r="O195" i="24" s="1"/>
  <c r="N187" i="21"/>
  <c r="N195" i="21" s="1"/>
  <c r="M9" i="20"/>
  <c r="O94" i="24"/>
  <c r="O99" i="24" s="1"/>
  <c r="O100" i="24" s="1"/>
  <c r="O108" i="24" s="1"/>
  <c r="O188" i="24" s="1"/>
  <c r="O196" i="24" s="1"/>
  <c r="O204" i="24" s="1"/>
  <c r="N187" i="23"/>
  <c r="N195" i="23" s="1"/>
  <c r="P265" i="23"/>
  <c r="P266" i="23" s="1"/>
  <c r="P270" i="23" s="1"/>
  <c r="P271" i="23" s="1"/>
  <c r="Q258" i="23"/>
  <c r="M228" i="21"/>
  <c r="M229" i="21" s="1"/>
  <c r="M314" i="21"/>
  <c r="M323" i="21" s="1"/>
  <c r="M228" i="22"/>
  <c r="M229" i="22" s="1"/>
  <c r="M314" i="22"/>
  <c r="M323" i="22" s="1"/>
  <c r="N187" i="22"/>
  <c r="N195" i="22" s="1"/>
  <c r="M167" i="23"/>
  <c r="M166" i="23"/>
  <c r="P273" i="21"/>
  <c r="P279" i="21"/>
  <c r="P283" i="21" s="1"/>
  <c r="P293" i="21" s="1"/>
  <c r="P295" i="21" s="1"/>
  <c r="P305" i="21" s="1"/>
  <c r="O199" i="21"/>
  <c r="M167" i="22"/>
  <c r="M166" i="22"/>
  <c r="M15" i="20"/>
  <c r="P141" i="12"/>
  <c r="O148" i="12"/>
  <c r="O149" i="12" s="1"/>
  <c r="O153" i="12" s="1"/>
  <c r="O154" i="12" s="1"/>
  <c r="O148" i="22"/>
  <c r="O149" i="22" s="1"/>
  <c r="O153" i="22" s="1"/>
  <c r="O154" i="22" s="1"/>
  <c r="P141" i="22"/>
  <c r="M167" i="12"/>
  <c r="M166" i="12"/>
  <c r="O86" i="22"/>
  <c r="N171" i="22"/>
  <c r="N175" i="22" s="1"/>
  <c r="N176" i="22" s="1"/>
  <c r="N178" i="22" s="1"/>
  <c r="N180" i="22" s="1"/>
  <c r="N20" i="20" s="1"/>
  <c r="N93" i="22"/>
  <c r="N94" i="22" s="1"/>
  <c r="N99" i="22" s="1"/>
  <c r="N100" i="22" s="1"/>
  <c r="N108" i="22" s="1"/>
  <c r="N188" i="22" s="1"/>
  <c r="N196" i="22" s="1"/>
  <c r="N103" i="22"/>
  <c r="N104" i="22" s="1"/>
  <c r="M229" i="12"/>
  <c r="P279" i="12"/>
  <c r="P283" i="12" s="1"/>
  <c r="P293" i="12" s="1"/>
  <c r="P295" i="12" s="1"/>
  <c r="P305" i="12" s="1"/>
  <c r="P273" i="12"/>
  <c r="O199" i="23"/>
  <c r="P273" i="23"/>
  <c r="P279" i="23"/>
  <c r="P283" i="23" s="1"/>
  <c r="P293" i="23" s="1"/>
  <c r="P295" i="23" s="1"/>
  <c r="P305" i="23" s="1"/>
  <c r="M21" i="20"/>
  <c r="O170" i="21"/>
  <c r="O174" i="21" s="1"/>
  <c r="P34" i="21"/>
  <c r="O41" i="21"/>
  <c r="O42" i="21" s="1"/>
  <c r="O47" i="21" s="1"/>
  <c r="O48" i="21" s="1"/>
  <c r="O52" i="21" s="1"/>
  <c r="O53" i="21" s="1"/>
  <c r="M229" i="23"/>
  <c r="Q258" i="12"/>
  <c r="P265" i="12"/>
  <c r="P266" i="12" s="1"/>
  <c r="P270" i="12" s="1"/>
  <c r="P271" i="12" s="1"/>
  <c r="M166" i="21"/>
  <c r="M167" i="21"/>
  <c r="O61" i="12" l="1"/>
  <c r="O115" i="12" s="1"/>
  <c r="P274" i="24"/>
  <c r="P275" i="24" s="1"/>
  <c r="P281" i="24" s="1"/>
  <c r="P285" i="24" s="1"/>
  <c r="P280" i="24"/>
  <c r="P284" i="24" s="1"/>
  <c r="P299" i="24" s="1"/>
  <c r="P301" i="24" s="1"/>
  <c r="N188" i="23"/>
  <c r="N196" i="23" s="1"/>
  <c r="N109" i="23"/>
  <c r="P280" i="23"/>
  <c r="P284" i="23" s="1"/>
  <c r="P299" i="23" s="1"/>
  <c r="P301" i="23" s="1"/>
  <c r="P274" i="23"/>
  <c r="P275" i="23" s="1"/>
  <c r="P281" i="23" s="1"/>
  <c r="P285" i="23" s="1"/>
  <c r="N315" i="24"/>
  <c r="N324" i="24" s="1"/>
  <c r="M315" i="21"/>
  <c r="M324" i="21" s="1"/>
  <c r="O185" i="22"/>
  <c r="O193" i="22" s="1"/>
  <c r="O203" i="22" s="1"/>
  <c r="O157" i="22"/>
  <c r="O158" i="22" s="1"/>
  <c r="M10" i="20"/>
  <c r="O61" i="21"/>
  <c r="O115" i="21" s="1"/>
  <c r="Q263" i="23"/>
  <c r="Q247" i="23"/>
  <c r="Q242" i="23"/>
  <c r="Q244" i="23" s="1"/>
  <c r="O157" i="12"/>
  <c r="O158" i="12" s="1"/>
  <c r="O185" i="12"/>
  <c r="O193" i="12" s="1"/>
  <c r="O203" i="12" s="1"/>
  <c r="P22" i="22"/>
  <c r="P24" i="22" s="1"/>
  <c r="P27" i="22"/>
  <c r="P129" i="12"/>
  <c r="P131" i="12" s="1"/>
  <c r="P134" i="12"/>
  <c r="P146" i="12"/>
  <c r="N200" i="23"/>
  <c r="N201" i="23" s="1"/>
  <c r="M315" i="22"/>
  <c r="M324" i="22" s="1"/>
  <c r="N200" i="21"/>
  <c r="N201" i="21" s="1"/>
  <c r="O68" i="21"/>
  <c r="O70" i="21" s="1"/>
  <c r="O91" i="21"/>
  <c r="O73" i="21"/>
  <c r="P22" i="23"/>
  <c r="P24" i="23" s="1"/>
  <c r="P27" i="23"/>
  <c r="P27" i="12"/>
  <c r="P22" i="12"/>
  <c r="P24" i="12" s="1"/>
  <c r="P27" i="24"/>
  <c r="P22" i="24"/>
  <c r="P24" i="24" s="1"/>
  <c r="Q247" i="24"/>
  <c r="Q242" i="24"/>
  <c r="Q244" i="24" s="1"/>
  <c r="Q263" i="24"/>
  <c r="Q242" i="22"/>
  <c r="Q244" i="22" s="1"/>
  <c r="Q263" i="22"/>
  <c r="Q247" i="22"/>
  <c r="M315" i="23"/>
  <c r="M324" i="23" s="1"/>
  <c r="N166" i="24"/>
  <c r="N167" i="24"/>
  <c r="P146" i="23"/>
  <c r="P129" i="23"/>
  <c r="P131" i="23" s="1"/>
  <c r="P134" i="23"/>
  <c r="P280" i="21"/>
  <c r="P284" i="21" s="1"/>
  <c r="P299" i="21" s="1"/>
  <c r="P301" i="21" s="1"/>
  <c r="P274" i="21"/>
  <c r="O185" i="21"/>
  <c r="O193" i="21" s="1"/>
  <c r="O203" i="21" s="1"/>
  <c r="O157" i="21"/>
  <c r="O158" i="21" s="1"/>
  <c r="M315" i="12"/>
  <c r="M324" i="12" s="1"/>
  <c r="P275" i="21"/>
  <c r="P281" i="21" s="1"/>
  <c r="P285" i="21" s="1"/>
  <c r="O73" i="23"/>
  <c r="O68" i="23"/>
  <c r="O70" i="23" s="1"/>
  <c r="O91" i="23"/>
  <c r="Q247" i="21"/>
  <c r="Q242" i="21"/>
  <c r="Q244" i="21" s="1"/>
  <c r="Q263" i="21"/>
  <c r="N34" i="20"/>
  <c r="N204" i="12"/>
  <c r="N205" i="12" s="1"/>
  <c r="O109" i="24"/>
  <c r="Q263" i="12"/>
  <c r="Q247" i="12"/>
  <c r="Q242" i="12"/>
  <c r="Q244" i="12" s="1"/>
  <c r="N200" i="22"/>
  <c r="N201" i="22" s="1"/>
  <c r="P27" i="21"/>
  <c r="P22" i="21"/>
  <c r="P24" i="21" s="1"/>
  <c r="N109" i="22"/>
  <c r="N109" i="12"/>
  <c r="O91" i="12"/>
  <c r="O73" i="12"/>
  <c r="O68" i="12"/>
  <c r="O70" i="12" s="1"/>
  <c r="P134" i="22"/>
  <c r="P129" i="22"/>
  <c r="P131" i="22" s="1"/>
  <c r="P146" i="22"/>
  <c r="N204" i="21"/>
  <c r="N205" i="21" s="1"/>
  <c r="P280" i="12"/>
  <c r="P284" i="12" s="1"/>
  <c r="P299" i="12" s="1"/>
  <c r="P301" i="12" s="1"/>
  <c r="P274" i="12"/>
  <c r="P275" i="12" s="1"/>
  <c r="P281" i="12" s="1"/>
  <c r="P285" i="12" s="1"/>
  <c r="O200" i="24"/>
  <c r="O201" i="24" s="1"/>
  <c r="O91" i="22"/>
  <c r="O68" i="22"/>
  <c r="O70" i="22" s="1"/>
  <c r="O73" i="22"/>
  <c r="N200" i="12"/>
  <c r="N201" i="12" s="1"/>
  <c r="P91" i="24"/>
  <c r="P68" i="24"/>
  <c r="P70" i="24" s="1"/>
  <c r="P73" i="24"/>
  <c r="O185" i="23"/>
  <c r="O193" i="23" s="1"/>
  <c r="O203" i="23" s="1"/>
  <c r="O157" i="23"/>
  <c r="O158" i="23" s="1"/>
  <c r="P274" i="22"/>
  <c r="P275" i="22" s="1"/>
  <c r="P281" i="22" s="1"/>
  <c r="P285" i="22" s="1"/>
  <c r="P280" i="22"/>
  <c r="P284" i="22" s="1"/>
  <c r="P299" i="22" s="1"/>
  <c r="P301" i="22" s="1"/>
  <c r="P146" i="21"/>
  <c r="P129" i="21"/>
  <c r="P131" i="21" s="1"/>
  <c r="P134" i="21"/>
  <c r="N109" i="21"/>
  <c r="N204" i="22"/>
  <c r="N205" i="22" s="1"/>
  <c r="M22" i="20"/>
  <c r="O176" i="24"/>
  <c r="O178" i="24" s="1"/>
  <c r="O180" i="24" s="1"/>
  <c r="O32" i="20" s="1"/>
  <c r="P134" i="24"/>
  <c r="P146" i="24"/>
  <c r="P129" i="24"/>
  <c r="P131" i="24" s="1"/>
  <c r="O157" i="24"/>
  <c r="O158" i="24" s="1"/>
  <c r="O185" i="24"/>
  <c r="O193" i="24" s="1"/>
  <c r="O203" i="24" s="1"/>
  <c r="O205" i="24" s="1"/>
  <c r="O222" i="24" s="1"/>
  <c r="O224" i="24" s="1"/>
  <c r="O314" i="24" l="1"/>
  <c r="O323" i="24" s="1"/>
  <c r="O228" i="24"/>
  <c r="O160" i="23"/>
  <c r="O186" i="23"/>
  <c r="O194" i="23" s="1"/>
  <c r="Q259" i="23"/>
  <c r="Q261" i="23" s="1"/>
  <c r="Q264" i="23"/>
  <c r="Q248" i="23"/>
  <c r="O87" i="21"/>
  <c r="O74" i="21"/>
  <c r="O75" i="21" s="1"/>
  <c r="N217" i="21"/>
  <c r="N219" i="21" s="1"/>
  <c r="Q264" i="22"/>
  <c r="Q248" i="22"/>
  <c r="Q249" i="22" s="1"/>
  <c r="Q259" i="22"/>
  <c r="Q261" i="22" s="1"/>
  <c r="M29" i="20"/>
  <c r="P39" i="21"/>
  <c r="P306" i="21"/>
  <c r="P307" i="21" s="1"/>
  <c r="P319" i="21"/>
  <c r="N189" i="23"/>
  <c r="N197" i="23" s="1"/>
  <c r="N116" i="23"/>
  <c r="N117" i="23" s="1"/>
  <c r="N161" i="23"/>
  <c r="N162" i="23" s="1"/>
  <c r="Q249" i="23"/>
  <c r="Q248" i="21"/>
  <c r="Q249" i="21" s="1"/>
  <c r="Q259" i="21"/>
  <c r="Q261" i="21" s="1"/>
  <c r="Q264" i="21"/>
  <c r="O186" i="24"/>
  <c r="O194" i="24" s="1"/>
  <c r="O207" i="24" s="1"/>
  <c r="O160" i="24"/>
  <c r="P87" i="24"/>
  <c r="P74" i="24"/>
  <c r="P75" i="24" s="1"/>
  <c r="O87" i="23"/>
  <c r="O74" i="23"/>
  <c r="N217" i="23"/>
  <c r="N219" i="23" s="1"/>
  <c r="N217" i="22"/>
  <c r="N219" i="22" s="1"/>
  <c r="P306" i="24"/>
  <c r="P307" i="24" s="1"/>
  <c r="P319" i="24"/>
  <c r="P147" i="22"/>
  <c r="P142" i="22"/>
  <c r="P135" i="22"/>
  <c r="P136" i="22" s="1"/>
  <c r="O74" i="12"/>
  <c r="O75" i="12" s="1"/>
  <c r="O87" i="12"/>
  <c r="N217" i="12"/>
  <c r="N219" i="12" s="1"/>
  <c r="M17" i="20"/>
  <c r="P39" i="24"/>
  <c r="P147" i="21"/>
  <c r="P142" i="21"/>
  <c r="P135" i="21"/>
  <c r="P136" i="21" s="1"/>
  <c r="N222" i="21"/>
  <c r="N224" i="21" s="1"/>
  <c r="N222" i="12"/>
  <c r="N224" i="12" s="1"/>
  <c r="P135" i="23"/>
  <c r="P136" i="23" s="1"/>
  <c r="P142" i="23"/>
  <c r="P147" i="23"/>
  <c r="O160" i="12"/>
  <c r="O186" i="12"/>
  <c r="O194" i="12" s="1"/>
  <c r="O207" i="12" s="1"/>
  <c r="N189" i="12"/>
  <c r="N197" i="12" s="1"/>
  <c r="N116" i="12"/>
  <c r="N117" i="12" s="1"/>
  <c r="N161" i="12"/>
  <c r="N162" i="12" s="1"/>
  <c r="P135" i="24"/>
  <c r="P136" i="24" s="1"/>
  <c r="P142" i="24"/>
  <c r="P147" i="24"/>
  <c r="O75" i="23"/>
  <c r="Q259" i="24"/>
  <c r="Q261" i="24" s="1"/>
  <c r="Q248" i="24"/>
  <c r="Q249" i="24" s="1"/>
  <c r="Q264" i="24"/>
  <c r="O74" i="22"/>
  <c r="O75" i="22" s="1"/>
  <c r="O87" i="22"/>
  <c r="M11" i="20"/>
  <c r="P35" i="24"/>
  <c r="P28" i="24"/>
  <c r="P29" i="24" s="1"/>
  <c r="P40" i="24"/>
  <c r="Q248" i="12"/>
  <c r="Q249" i="12" s="1"/>
  <c r="Q264" i="12"/>
  <c r="Q259" i="12"/>
  <c r="Q261" i="12" s="1"/>
  <c r="P147" i="12"/>
  <c r="P135" i="12"/>
  <c r="P136" i="12" s="1"/>
  <c r="P142" i="12"/>
  <c r="N222" i="22"/>
  <c r="N224" i="22" s="1"/>
  <c r="P319" i="23"/>
  <c r="P306" i="23"/>
  <c r="P307" i="23" s="1"/>
  <c r="N189" i="21"/>
  <c r="N197" i="21" s="1"/>
  <c r="N116" i="21"/>
  <c r="N117" i="21" s="1"/>
  <c r="N161" i="21"/>
  <c r="N162" i="21" s="1"/>
  <c r="P28" i="12"/>
  <c r="P29" i="12" s="1"/>
  <c r="P35" i="12"/>
  <c r="P40" i="12"/>
  <c r="P35" i="22"/>
  <c r="P40" i="22"/>
  <c r="P28" i="22"/>
  <c r="P29" i="22" s="1"/>
  <c r="P39" i="23"/>
  <c r="N161" i="22"/>
  <c r="N162" i="22" s="1"/>
  <c r="N116" i="22"/>
  <c r="N117" i="22" s="1"/>
  <c r="N189" i="22"/>
  <c r="N197" i="22" s="1"/>
  <c r="M23" i="20"/>
  <c r="O160" i="22"/>
  <c r="O186" i="22"/>
  <c r="O194" i="22" s="1"/>
  <c r="P35" i="21"/>
  <c r="P40" i="21"/>
  <c r="P28" i="21"/>
  <c r="P29" i="21" s="1"/>
  <c r="O160" i="21"/>
  <c r="O186" i="21"/>
  <c r="O194" i="21" s="1"/>
  <c r="O207" i="21" s="1"/>
  <c r="N35" i="20"/>
  <c r="O217" i="24"/>
  <c r="O219" i="24" s="1"/>
  <c r="P319" i="12"/>
  <c r="P306" i="12"/>
  <c r="P307" i="12" s="1"/>
  <c r="P39" i="22"/>
  <c r="O189" i="24"/>
  <c r="O197" i="24" s="1"/>
  <c r="O161" i="24"/>
  <c r="O116" i="24"/>
  <c r="O117" i="24" s="1"/>
  <c r="P39" i="12"/>
  <c r="N204" i="23"/>
  <c r="N205" i="23" s="1"/>
  <c r="P306" i="22"/>
  <c r="P307" i="22" s="1"/>
  <c r="P319" i="22"/>
  <c r="P28" i="23"/>
  <c r="P29" i="23" s="1"/>
  <c r="P35" i="23"/>
  <c r="P40" i="23"/>
  <c r="Q273" i="22" l="1"/>
  <c r="Q279" i="22"/>
  <c r="Q283" i="22" s="1"/>
  <c r="Q293" i="22" s="1"/>
  <c r="Q295" i="22" s="1"/>
  <c r="Q305" i="22" s="1"/>
  <c r="P156" i="12"/>
  <c r="P184" i="12"/>
  <c r="P192" i="12" s="1"/>
  <c r="P199" i="12" s="1"/>
  <c r="P143" i="12"/>
  <c r="P144" i="12" s="1"/>
  <c r="Q279" i="12"/>
  <c r="Q283" i="12" s="1"/>
  <c r="Q293" i="12" s="1"/>
  <c r="Q295" i="12" s="1"/>
  <c r="Q305" i="12" s="1"/>
  <c r="Q273" i="12"/>
  <c r="O107" i="12"/>
  <c r="O88" i="12"/>
  <c r="O89" i="12" s="1"/>
  <c r="P88" i="24"/>
  <c r="P89" i="24" s="1"/>
  <c r="P107" i="24"/>
  <c r="P36" i="22"/>
  <c r="P37" i="22" s="1"/>
  <c r="P51" i="22"/>
  <c r="P143" i="22"/>
  <c r="P144" i="22" s="1"/>
  <c r="P156" i="22"/>
  <c r="P184" i="22"/>
  <c r="P192" i="22" s="1"/>
  <c r="P199" i="22" s="1"/>
  <c r="O88" i="21"/>
  <c r="O89" i="21" s="1"/>
  <c r="O107" i="21"/>
  <c r="P51" i="24"/>
  <c r="P36" i="24"/>
  <c r="P37" i="24" s="1"/>
  <c r="P51" i="12"/>
  <c r="P36" i="12"/>
  <c r="P37" i="12" s="1"/>
  <c r="P51" i="21"/>
  <c r="P36" i="21"/>
  <c r="P37" i="21" s="1"/>
  <c r="P156" i="24"/>
  <c r="P184" i="24"/>
  <c r="P192" i="24" s="1"/>
  <c r="P199" i="24" s="1"/>
  <c r="P143" i="24"/>
  <c r="P51" i="23"/>
  <c r="P36" i="23"/>
  <c r="P37" i="23" s="1"/>
  <c r="O208" i="24"/>
  <c r="O209" i="24" s="1"/>
  <c r="N208" i="22"/>
  <c r="N209" i="22" s="1"/>
  <c r="N228" i="22"/>
  <c r="N314" i="22"/>
  <c r="N323" i="22" s="1"/>
  <c r="P144" i="24"/>
  <c r="Q279" i="24"/>
  <c r="Q283" i="24" s="1"/>
  <c r="Q293" i="24" s="1"/>
  <c r="Q295" i="24" s="1"/>
  <c r="Q305" i="24" s="1"/>
  <c r="Q273" i="24"/>
  <c r="N165" i="12"/>
  <c r="N165" i="22"/>
  <c r="Q273" i="21"/>
  <c r="Q279" i="21"/>
  <c r="Q283" i="21" s="1"/>
  <c r="Q293" i="21" s="1"/>
  <c r="Q295" i="21" s="1"/>
  <c r="Q305" i="21" s="1"/>
  <c r="N164" i="22"/>
  <c r="P92" i="24"/>
  <c r="N208" i="12"/>
  <c r="N209" i="12" s="1"/>
  <c r="O92" i="12"/>
  <c r="N208" i="23"/>
  <c r="N209" i="23" s="1"/>
  <c r="N164" i="12"/>
  <c r="P156" i="21"/>
  <c r="P184" i="21"/>
  <c r="P192" i="21" s="1"/>
  <c r="P199" i="21" s="1"/>
  <c r="P143" i="21"/>
  <c r="P144" i="21" s="1"/>
  <c r="O88" i="22"/>
  <c r="O89" i="22" s="1"/>
  <c r="O107" i="22"/>
  <c r="N314" i="21"/>
  <c r="N323" i="21" s="1"/>
  <c r="N228" i="21"/>
  <c r="N164" i="21"/>
  <c r="N313" i="12"/>
  <c r="N322" i="12" s="1"/>
  <c r="N227" i="12"/>
  <c r="N227" i="21"/>
  <c r="N313" i="21"/>
  <c r="N322" i="21" s="1"/>
  <c r="N228" i="12"/>
  <c r="N314" i="12"/>
  <c r="N323" i="12" s="1"/>
  <c r="N165" i="23"/>
  <c r="O207" i="22"/>
  <c r="N165" i="21"/>
  <c r="R258" i="24"/>
  <c r="Q265" i="24"/>
  <c r="Q266" i="24" s="1"/>
  <c r="Q270" i="24" s="1"/>
  <c r="Q271" i="24" s="1"/>
  <c r="N313" i="22"/>
  <c r="N322" i="22" s="1"/>
  <c r="N227" i="22"/>
  <c r="O207" i="23"/>
  <c r="N208" i="21"/>
  <c r="N209" i="21" s="1"/>
  <c r="Q265" i="21"/>
  <c r="Q266" i="21" s="1"/>
  <c r="Q270" i="21" s="1"/>
  <c r="Q271" i="21" s="1"/>
  <c r="R258" i="21"/>
  <c r="O92" i="21"/>
  <c r="R258" i="23"/>
  <c r="Q265" i="23"/>
  <c r="Q266" i="23" s="1"/>
  <c r="Q270" i="23" s="1"/>
  <c r="Q271" i="23" s="1"/>
  <c r="O165" i="24"/>
  <c r="O107" i="23"/>
  <c r="O88" i="23"/>
  <c r="O89" i="23" s="1"/>
  <c r="N313" i="23"/>
  <c r="N322" i="23" s="1"/>
  <c r="N227" i="23"/>
  <c r="R258" i="22"/>
  <c r="Q265" i="22"/>
  <c r="Q266" i="22" s="1"/>
  <c r="Q270" i="22" s="1"/>
  <c r="Q271" i="22" s="1"/>
  <c r="R258" i="12"/>
  <c r="Q265" i="12"/>
  <c r="Q266" i="12" s="1"/>
  <c r="Q270" i="12" s="1"/>
  <c r="Q271" i="12" s="1"/>
  <c r="O227" i="24"/>
  <c r="O229" i="24" s="1"/>
  <c r="O313" i="24"/>
  <c r="O322" i="24" s="1"/>
  <c r="P184" i="23"/>
  <c r="P192" i="23" s="1"/>
  <c r="P199" i="23" s="1"/>
  <c r="P143" i="23"/>
  <c r="P144" i="23" s="1"/>
  <c r="P156" i="23"/>
  <c r="Q273" i="23"/>
  <c r="Q279" i="23"/>
  <c r="Q283" i="23" s="1"/>
  <c r="Q293" i="23" s="1"/>
  <c r="Q295" i="23" s="1"/>
  <c r="Q305" i="23" s="1"/>
  <c r="O92" i="22"/>
  <c r="N164" i="23"/>
  <c r="N222" i="23"/>
  <c r="N224" i="23" s="1"/>
  <c r="O162" i="24"/>
  <c r="O92" i="23"/>
  <c r="O34" i="20"/>
  <c r="N229" i="21" l="1"/>
  <c r="N315" i="21" s="1"/>
  <c r="N324" i="21" s="1"/>
  <c r="N229" i="12"/>
  <c r="O171" i="21"/>
  <c r="O175" i="21" s="1"/>
  <c r="O176" i="21" s="1"/>
  <c r="O178" i="21" s="1"/>
  <c r="O180" i="21" s="1"/>
  <c r="O8" i="20" s="1"/>
  <c r="P86" i="21"/>
  <c r="O103" i="21"/>
  <c r="O104" i="21" s="1"/>
  <c r="O93" i="21"/>
  <c r="P148" i="22"/>
  <c r="P149" i="22" s="1"/>
  <c r="P153" i="22" s="1"/>
  <c r="P154" i="22" s="1"/>
  <c r="Q141" i="22"/>
  <c r="Q274" i="21"/>
  <c r="Q275" i="21" s="1"/>
  <c r="Q281" i="21" s="1"/>
  <c r="Q285" i="21" s="1"/>
  <c r="Q280" i="21"/>
  <c r="Q284" i="21" s="1"/>
  <c r="Q299" i="21" s="1"/>
  <c r="Q301" i="21" s="1"/>
  <c r="P41" i="22"/>
  <c r="P42" i="22" s="1"/>
  <c r="P47" i="22" s="1"/>
  <c r="P48" i="22" s="1"/>
  <c r="P52" i="22" s="1"/>
  <c r="P53" i="22" s="1"/>
  <c r="P61" i="22" s="1"/>
  <c r="P115" i="22" s="1"/>
  <c r="Q34" i="22"/>
  <c r="P170" i="22"/>
  <c r="P174" i="22" s="1"/>
  <c r="P148" i="23"/>
  <c r="P149" i="23" s="1"/>
  <c r="P153" i="23" s="1"/>
  <c r="P154" i="23" s="1"/>
  <c r="Q141" i="23"/>
  <c r="O171" i="22"/>
  <c r="O175" i="22" s="1"/>
  <c r="O176" i="22" s="1"/>
  <c r="O178" i="22" s="1"/>
  <c r="O180" i="22" s="1"/>
  <c r="O20" i="20" s="1"/>
  <c r="P86" i="22"/>
  <c r="O103" i="22"/>
  <c r="O104" i="22" s="1"/>
  <c r="O93" i="22"/>
  <c r="O94" i="22" s="1"/>
  <c r="O99" i="22" s="1"/>
  <c r="O100" i="22" s="1"/>
  <c r="O108" i="22" s="1"/>
  <c r="Q274" i="24"/>
  <c r="Q275" i="24" s="1"/>
  <c r="Q281" i="24" s="1"/>
  <c r="Q285" i="24" s="1"/>
  <c r="Q280" i="24"/>
  <c r="Q284" i="24" s="1"/>
  <c r="Q299" i="24" s="1"/>
  <c r="Q301" i="24" s="1"/>
  <c r="Q274" i="22"/>
  <c r="Q275" i="22" s="1"/>
  <c r="Q281" i="22" s="1"/>
  <c r="Q285" i="22" s="1"/>
  <c r="Q280" i="22"/>
  <c r="Q284" i="22" s="1"/>
  <c r="Q299" i="22" s="1"/>
  <c r="Q301" i="22" s="1"/>
  <c r="P41" i="23"/>
  <c r="P42" i="23" s="1"/>
  <c r="P47" i="23" s="1"/>
  <c r="P48" i="23" s="1"/>
  <c r="P52" i="23" s="1"/>
  <c r="P53" i="23" s="1"/>
  <c r="P61" i="23" s="1"/>
  <c r="P115" i="23" s="1"/>
  <c r="Q34" i="23"/>
  <c r="P170" i="23"/>
  <c r="P174" i="23" s="1"/>
  <c r="P148" i="21"/>
  <c r="P149" i="21" s="1"/>
  <c r="P153" i="21" s="1"/>
  <c r="P154" i="21" s="1"/>
  <c r="Q141" i="21"/>
  <c r="N27" i="20"/>
  <c r="O187" i="22"/>
  <c r="O195" i="22" s="1"/>
  <c r="O200" i="22" s="1"/>
  <c r="O201" i="22" s="1"/>
  <c r="O217" i="22" s="1"/>
  <c r="O219" i="22" s="1"/>
  <c r="R263" i="21"/>
  <c r="R242" i="21"/>
  <c r="R244" i="21" s="1"/>
  <c r="R247" i="21"/>
  <c r="P148" i="24"/>
  <c r="P149" i="24" s="1"/>
  <c r="P153" i="24" s="1"/>
  <c r="P154" i="24" s="1"/>
  <c r="Q141" i="24"/>
  <c r="N22" i="20"/>
  <c r="N315" i="12"/>
  <c r="N324" i="12" s="1"/>
  <c r="P187" i="24"/>
  <c r="P195" i="24" s="1"/>
  <c r="P200" i="24" s="1"/>
  <c r="P201" i="24" s="1"/>
  <c r="P217" i="24" s="1"/>
  <c r="P219" i="24" s="1"/>
  <c r="O187" i="12"/>
  <c r="O195" i="12" s="1"/>
  <c r="O200" i="12" s="1"/>
  <c r="O201" i="12" s="1"/>
  <c r="O217" i="12" s="1"/>
  <c r="O219" i="12" s="1"/>
  <c r="Q141" i="12"/>
  <c r="P148" i="12"/>
  <c r="P149" i="12" s="1"/>
  <c r="P153" i="12" s="1"/>
  <c r="P154" i="12" s="1"/>
  <c r="O94" i="21"/>
  <c r="O99" i="21" s="1"/>
  <c r="O100" i="21" s="1"/>
  <c r="O108" i="21" s="1"/>
  <c r="O188" i="21" s="1"/>
  <c r="O196" i="21" s="1"/>
  <c r="O204" i="21" s="1"/>
  <c r="O205" i="21" s="1"/>
  <c r="O222" i="21" s="1"/>
  <c r="O224" i="21" s="1"/>
  <c r="O187" i="21"/>
  <c r="O195" i="21" s="1"/>
  <c r="O200" i="21" s="1"/>
  <c r="O201" i="21" s="1"/>
  <c r="O217" i="21" s="1"/>
  <c r="O219" i="21" s="1"/>
  <c r="N9" i="20"/>
  <c r="O93" i="12"/>
  <c r="O94" i="12" s="1"/>
  <c r="O99" i="12" s="1"/>
  <c r="O100" i="12" s="1"/>
  <c r="O108" i="12" s="1"/>
  <c r="O103" i="12"/>
  <c r="O104" i="12" s="1"/>
  <c r="O171" i="12"/>
  <c r="O175" i="12" s="1"/>
  <c r="O176" i="12" s="1"/>
  <c r="O178" i="12" s="1"/>
  <c r="O180" i="12" s="1"/>
  <c r="O14" i="20" s="1"/>
  <c r="P86" i="12"/>
  <c r="O93" i="23"/>
  <c r="O94" i="23" s="1"/>
  <c r="O99" i="23" s="1"/>
  <c r="O100" i="23" s="1"/>
  <c r="O108" i="23" s="1"/>
  <c r="P86" i="23"/>
  <c r="O171" i="23"/>
  <c r="O175" i="23" s="1"/>
  <c r="O176" i="23" s="1"/>
  <c r="O178" i="23" s="1"/>
  <c r="O180" i="23" s="1"/>
  <c r="O26" i="20" s="1"/>
  <c r="O103" i="23"/>
  <c r="O104" i="23" s="1"/>
  <c r="R247" i="24"/>
  <c r="R263" i="24"/>
  <c r="R242" i="24"/>
  <c r="R244" i="24" s="1"/>
  <c r="N167" i="22"/>
  <c r="N166" i="22"/>
  <c r="N10" i="20"/>
  <c r="N314" i="23"/>
  <c r="N323" i="23" s="1"/>
  <c r="N228" i="23"/>
  <c r="N229" i="23" s="1"/>
  <c r="P170" i="21"/>
  <c r="P174" i="21" s="1"/>
  <c r="Q34" i="21"/>
  <c r="P41" i="21"/>
  <c r="P42" i="21" s="1"/>
  <c r="P47" i="21" s="1"/>
  <c r="P48" i="21" s="1"/>
  <c r="P52" i="21" s="1"/>
  <c r="P53" i="21" s="1"/>
  <c r="P61" i="21" s="1"/>
  <c r="P115" i="21" s="1"/>
  <c r="N15" i="20"/>
  <c r="R242" i="12"/>
  <c r="R244" i="12" s="1"/>
  <c r="R263" i="12"/>
  <c r="R247" i="12"/>
  <c r="P103" i="24"/>
  <c r="P104" i="24" s="1"/>
  <c r="P93" i="24"/>
  <c r="P94" i="24" s="1"/>
  <c r="P99" i="24" s="1"/>
  <c r="P100" i="24" s="1"/>
  <c r="P108" i="24" s="1"/>
  <c r="P188" i="24" s="1"/>
  <c r="P196" i="24" s="1"/>
  <c r="P204" i="24" s="1"/>
  <c r="Q86" i="24"/>
  <c r="P171" i="24"/>
  <c r="P175" i="24" s="1"/>
  <c r="N21" i="20"/>
  <c r="N166" i="21"/>
  <c r="N167" i="21"/>
  <c r="O187" i="23"/>
  <c r="O195" i="23" s="1"/>
  <c r="O200" i="23" s="1"/>
  <c r="O201" i="23" s="1"/>
  <c r="O217" i="23" s="1"/>
  <c r="O219" i="23" s="1"/>
  <c r="P170" i="24"/>
  <c r="P174" i="24" s="1"/>
  <c r="P41" i="24"/>
  <c r="P42" i="24" s="1"/>
  <c r="P47" i="24" s="1"/>
  <c r="P48" i="24" s="1"/>
  <c r="P52" i="24" s="1"/>
  <c r="P53" i="24" s="1"/>
  <c r="P61" i="24" s="1"/>
  <c r="P115" i="24" s="1"/>
  <c r="Q34" i="24"/>
  <c r="O315" i="24"/>
  <c r="O324" i="24" s="1"/>
  <c r="Q274" i="12"/>
  <c r="Q275" i="12" s="1"/>
  <c r="Q281" i="12" s="1"/>
  <c r="Q285" i="12" s="1"/>
  <c r="Q280" i="12"/>
  <c r="Q284" i="12" s="1"/>
  <c r="Q299" i="12" s="1"/>
  <c r="Q301" i="12" s="1"/>
  <c r="N229" i="22"/>
  <c r="R263" i="22"/>
  <c r="R247" i="22"/>
  <c r="R242" i="22"/>
  <c r="R244" i="22" s="1"/>
  <c r="O164" i="24"/>
  <c r="P170" i="12"/>
  <c r="P174" i="12" s="1"/>
  <c r="P41" i="12"/>
  <c r="P42" i="12" s="1"/>
  <c r="P47" i="12" s="1"/>
  <c r="P48" i="12" s="1"/>
  <c r="P52" i="12" s="1"/>
  <c r="P53" i="12" s="1"/>
  <c r="P61" i="12" s="1"/>
  <c r="P115" i="12" s="1"/>
  <c r="Q34" i="12"/>
  <c r="N167" i="23"/>
  <c r="N166" i="23"/>
  <c r="Q274" i="23"/>
  <c r="Q275" i="23" s="1"/>
  <c r="Q281" i="23" s="1"/>
  <c r="Q285" i="23" s="1"/>
  <c r="Q280" i="23"/>
  <c r="Q284" i="23" s="1"/>
  <c r="Q299" i="23" s="1"/>
  <c r="Q301" i="23" s="1"/>
  <c r="O33" i="20"/>
  <c r="R263" i="23"/>
  <c r="R242" i="23"/>
  <c r="R244" i="23" s="1"/>
  <c r="R247" i="23"/>
  <c r="N16" i="20"/>
  <c r="N167" i="12"/>
  <c r="N166" i="12"/>
  <c r="O109" i="21" l="1"/>
  <c r="N315" i="23"/>
  <c r="N324" i="23" s="1"/>
  <c r="O188" i="22"/>
  <c r="O196" i="22" s="1"/>
  <c r="O204" i="22" s="1"/>
  <c r="O205" i="22" s="1"/>
  <c r="O222" i="22" s="1"/>
  <c r="O224" i="22" s="1"/>
  <c r="O109" i="22"/>
  <c r="O188" i="23"/>
  <c r="O196" i="23" s="1"/>
  <c r="O204" i="23" s="1"/>
  <c r="O205" i="23" s="1"/>
  <c r="O222" i="23" s="1"/>
  <c r="O224" i="23" s="1"/>
  <c r="O109" i="23"/>
  <c r="O188" i="12"/>
  <c r="O196" i="12" s="1"/>
  <c r="O204" i="12" s="1"/>
  <c r="O205" i="12" s="1"/>
  <c r="O222" i="12" s="1"/>
  <c r="O224" i="12" s="1"/>
  <c r="O109" i="12"/>
  <c r="P157" i="24"/>
  <c r="P158" i="24" s="1"/>
  <c r="P185" i="24"/>
  <c r="P193" i="24" s="1"/>
  <c r="P203" i="24" s="1"/>
  <c r="P205" i="24" s="1"/>
  <c r="P222" i="24" s="1"/>
  <c r="P224" i="24" s="1"/>
  <c r="Q22" i="22"/>
  <c r="Q24" i="22" s="1"/>
  <c r="Q27" i="22"/>
  <c r="R248" i="24"/>
  <c r="R249" i="24" s="1"/>
  <c r="R264" i="24"/>
  <c r="R259" i="24"/>
  <c r="R261" i="24" s="1"/>
  <c r="R265" i="24" s="1"/>
  <c r="P73" i="23"/>
  <c r="P68" i="23"/>
  <c r="P70" i="23" s="1"/>
  <c r="P91" i="23"/>
  <c r="P109" i="24"/>
  <c r="Q27" i="21"/>
  <c r="Q22" i="21"/>
  <c r="Q24" i="21" s="1"/>
  <c r="P91" i="12"/>
  <c r="P73" i="12"/>
  <c r="P68" i="12"/>
  <c r="P70" i="12" s="1"/>
  <c r="Q146" i="24"/>
  <c r="Q129" i="24"/>
  <c r="Q131" i="24" s="1"/>
  <c r="Q134" i="24"/>
  <c r="Q306" i="22"/>
  <c r="Q307" i="22" s="1"/>
  <c r="Q319" i="22"/>
  <c r="N11" i="20"/>
  <c r="R259" i="21"/>
  <c r="R261" i="21" s="1"/>
  <c r="R265" i="21" s="1"/>
  <c r="R248" i="21"/>
  <c r="R249" i="21" s="1"/>
  <c r="R264" i="21"/>
  <c r="R266" i="21" s="1"/>
  <c r="R270" i="21" s="1"/>
  <c r="R271" i="21" s="1"/>
  <c r="Q146" i="23"/>
  <c r="Q129" i="23"/>
  <c r="Q131" i="23" s="1"/>
  <c r="Q134" i="23"/>
  <c r="O227" i="21"/>
  <c r="O313" i="21"/>
  <c r="O322" i="21" s="1"/>
  <c r="O9" i="20" s="1"/>
  <c r="P176" i="24"/>
  <c r="P178" i="24" s="1"/>
  <c r="P180" i="24" s="1"/>
  <c r="P32" i="20" s="1"/>
  <c r="O228" i="21"/>
  <c r="O314" i="21"/>
  <c r="O323" i="21" s="1"/>
  <c r="O10" i="20" s="1"/>
  <c r="Q306" i="21"/>
  <c r="Q307" i="21" s="1"/>
  <c r="Q319" i="21"/>
  <c r="O313" i="23"/>
  <c r="O322" i="23" s="1"/>
  <c r="O27" i="20" s="1"/>
  <c r="O227" i="23"/>
  <c r="O166" i="24"/>
  <c r="O167" i="24"/>
  <c r="Q146" i="12"/>
  <c r="Q134" i="12"/>
  <c r="Q129" i="12"/>
  <c r="Q131" i="12" s="1"/>
  <c r="Q129" i="22"/>
  <c r="Q131" i="22" s="1"/>
  <c r="Q146" i="22"/>
  <c r="Q134" i="22"/>
  <c r="O35" i="20"/>
  <c r="N17" i="20"/>
  <c r="P157" i="23"/>
  <c r="P158" i="23" s="1"/>
  <c r="P185" i="23"/>
  <c r="P193" i="23" s="1"/>
  <c r="P203" i="23" s="1"/>
  <c r="Q22" i="12"/>
  <c r="Q24" i="12" s="1"/>
  <c r="Q27" i="12"/>
  <c r="R259" i="23"/>
  <c r="R261" i="23" s="1"/>
  <c r="R265" i="23" s="1"/>
  <c r="R264" i="23"/>
  <c r="R248" i="23"/>
  <c r="R249" i="23" s="1"/>
  <c r="R266" i="24"/>
  <c r="R270" i="24" s="1"/>
  <c r="R271" i="24" s="1"/>
  <c r="O227" i="12"/>
  <c r="O313" i="12"/>
  <c r="O322" i="12" s="1"/>
  <c r="O15" i="20" s="1"/>
  <c r="P157" i="21"/>
  <c r="P158" i="21" s="1"/>
  <c r="P185" i="21"/>
  <c r="P193" i="21" s="1"/>
  <c r="P203" i="21" s="1"/>
  <c r="Q27" i="24"/>
  <c r="Q22" i="24"/>
  <c r="Q24" i="24" s="1"/>
  <c r="Q319" i="23"/>
  <c r="Q306" i="23"/>
  <c r="Q307" i="23" s="1"/>
  <c r="P68" i="22"/>
  <c r="P70" i="22" s="1"/>
  <c r="P73" i="22"/>
  <c r="P91" i="22"/>
  <c r="N28" i="20"/>
  <c r="O161" i="21"/>
  <c r="O162" i="21" s="1"/>
  <c r="O164" i="21" s="1"/>
  <c r="O189" i="21"/>
  <c r="O197" i="21" s="1"/>
  <c r="O208" i="21" s="1"/>
  <c r="O209" i="21" s="1"/>
  <c r="O116" i="21"/>
  <c r="O117" i="21" s="1"/>
  <c r="O313" i="22"/>
  <c r="O322" i="22" s="1"/>
  <c r="O21" i="20" s="1"/>
  <c r="O227" i="22"/>
  <c r="R264" i="22"/>
  <c r="R259" i="22"/>
  <c r="R261" i="22" s="1"/>
  <c r="R265" i="22" s="1"/>
  <c r="R266" i="22" s="1"/>
  <c r="R270" i="22" s="1"/>
  <c r="R271" i="22" s="1"/>
  <c r="R248" i="22"/>
  <c r="R249" i="22" s="1"/>
  <c r="Q129" i="21"/>
  <c r="Q131" i="21" s="1"/>
  <c r="Q146" i="21"/>
  <c r="Q134" i="21"/>
  <c r="R249" i="12"/>
  <c r="Q306" i="24"/>
  <c r="Q307" i="24" s="1"/>
  <c r="Q319" i="24"/>
  <c r="Q91" i="24"/>
  <c r="Q73" i="24"/>
  <c r="Q68" i="24"/>
  <c r="Q70" i="24" s="1"/>
  <c r="N315" i="22"/>
  <c r="N324" i="22" s="1"/>
  <c r="P91" i="21"/>
  <c r="P73" i="21"/>
  <c r="P68" i="21"/>
  <c r="P70" i="21" s="1"/>
  <c r="P185" i="12"/>
  <c r="P193" i="12" s="1"/>
  <c r="P203" i="12" s="1"/>
  <c r="P157" i="12"/>
  <c r="P158" i="12" s="1"/>
  <c r="P185" i="22"/>
  <c r="P193" i="22" s="1"/>
  <c r="P203" i="22" s="1"/>
  <c r="P157" i="22"/>
  <c r="P158" i="22" s="1"/>
  <c r="Q306" i="12"/>
  <c r="Q307" i="12" s="1"/>
  <c r="Q319" i="12"/>
  <c r="R264" i="12"/>
  <c r="R248" i="12"/>
  <c r="R259" i="12"/>
  <c r="R261" i="12" s="1"/>
  <c r="R265" i="12" s="1"/>
  <c r="P227" i="24"/>
  <c r="P313" i="24"/>
  <c r="P322" i="24" s="1"/>
  <c r="P33" i="20" s="1"/>
  <c r="Q27" i="23"/>
  <c r="Q22" i="23"/>
  <c r="Q24" i="23" s="1"/>
  <c r="R266" i="23" l="1"/>
  <c r="R270" i="23" s="1"/>
  <c r="R271" i="23" s="1"/>
  <c r="R266" i="12"/>
  <c r="R270" i="12" s="1"/>
  <c r="R271" i="12" s="1"/>
  <c r="R274" i="12"/>
  <c r="R280" i="12"/>
  <c r="R284" i="12" s="1"/>
  <c r="P314" i="24"/>
  <c r="P323" i="24" s="1"/>
  <c r="P34" i="20" s="1"/>
  <c r="P228" i="24"/>
  <c r="R279" i="22"/>
  <c r="R283" i="22" s="1"/>
  <c r="R273" i="22"/>
  <c r="R279" i="23"/>
  <c r="R283" i="23" s="1"/>
  <c r="R273" i="23"/>
  <c r="R280" i="23"/>
  <c r="R284" i="23" s="1"/>
  <c r="R274" i="23"/>
  <c r="R273" i="21"/>
  <c r="R279" i="21"/>
  <c r="R283" i="21" s="1"/>
  <c r="R280" i="21"/>
  <c r="R284" i="21" s="1"/>
  <c r="R274" i="21"/>
  <c r="Q147" i="12"/>
  <c r="Q142" i="12"/>
  <c r="Q135" i="12"/>
  <c r="Q136" i="12" s="1"/>
  <c r="R273" i="24"/>
  <c r="R275" i="24" s="1"/>
  <c r="R279" i="24"/>
  <c r="R283" i="24" s="1"/>
  <c r="Q136" i="23"/>
  <c r="R279" i="12"/>
  <c r="R283" i="12" s="1"/>
  <c r="R273" i="12"/>
  <c r="Q135" i="23"/>
  <c r="Q142" i="23"/>
  <c r="Q147" i="23"/>
  <c r="P161" i="24"/>
  <c r="P189" i="24"/>
  <c r="P197" i="24" s="1"/>
  <c r="P208" i="24" s="1"/>
  <c r="P116" i="24"/>
  <c r="P117" i="24" s="1"/>
  <c r="R280" i="24"/>
  <c r="R284" i="24" s="1"/>
  <c r="R274" i="24"/>
  <c r="Q147" i="22"/>
  <c r="Q142" i="22"/>
  <c r="Q135" i="22"/>
  <c r="Q136" i="22" s="1"/>
  <c r="R274" i="22"/>
  <c r="R280" i="22"/>
  <c r="R284" i="22" s="1"/>
  <c r="P87" i="23"/>
  <c r="P74" i="23"/>
  <c r="P75" i="23" s="1"/>
  <c r="Q147" i="21"/>
  <c r="Q142" i="21"/>
  <c r="Q135" i="21"/>
  <c r="Q136" i="21" s="1"/>
  <c r="P74" i="21"/>
  <c r="P75" i="21" s="1"/>
  <c r="P87" i="21"/>
  <c r="Q39" i="22"/>
  <c r="Q35" i="12"/>
  <c r="Q40" i="12"/>
  <c r="Q28" i="12"/>
  <c r="Q29" i="12" s="1"/>
  <c r="O228" i="12"/>
  <c r="O229" i="12" s="1"/>
  <c r="O315" i="12" s="1"/>
  <c r="O324" i="12" s="1"/>
  <c r="O17" i="20" s="1"/>
  <c r="O314" i="12"/>
  <c r="O323" i="12" s="1"/>
  <c r="O16" i="20" s="1"/>
  <c r="O165" i="21"/>
  <c r="O166" i="21" s="1"/>
  <c r="O116" i="12"/>
  <c r="O117" i="12" s="1"/>
  <c r="O189" i="12"/>
  <c r="O197" i="12" s="1"/>
  <c r="O208" i="12" s="1"/>
  <c r="O209" i="12" s="1"/>
  <c r="O161" i="12"/>
  <c r="O162" i="12" s="1"/>
  <c r="O164" i="12" s="1"/>
  <c r="N23" i="20"/>
  <c r="P87" i="12"/>
  <c r="P74" i="12"/>
  <c r="P75" i="12" s="1"/>
  <c r="O189" i="23"/>
  <c r="O197" i="23" s="1"/>
  <c r="O208" i="23" s="1"/>
  <c r="O209" i="23" s="1"/>
  <c r="O116" i="23"/>
  <c r="O117" i="23" s="1"/>
  <c r="O161" i="23"/>
  <c r="O162" i="23" s="1"/>
  <c r="O164" i="23" s="1"/>
  <c r="Q39" i="24"/>
  <c r="Q74" i="24"/>
  <c r="Q87" i="24"/>
  <c r="Q75" i="24"/>
  <c r="O314" i="22"/>
  <c r="O323" i="22" s="1"/>
  <c r="O22" i="20" s="1"/>
  <c r="O228" i="22"/>
  <c r="O229" i="22" s="1"/>
  <c r="O315" i="22" s="1"/>
  <c r="O324" i="22" s="1"/>
  <c r="O23" i="20" s="1"/>
  <c r="P160" i="12"/>
  <c r="P186" i="12"/>
  <c r="P194" i="12" s="1"/>
  <c r="P207" i="12" s="1"/>
  <c r="Q40" i="22"/>
  <c r="Q35" i="22"/>
  <c r="Q28" i="22"/>
  <c r="Q29" i="22" s="1"/>
  <c r="Q147" i="24"/>
  <c r="Q135" i="24"/>
  <c r="Q136" i="24" s="1"/>
  <c r="Q142" i="24"/>
  <c r="O314" i="23"/>
  <c r="O323" i="23" s="1"/>
  <c r="O28" i="20" s="1"/>
  <c r="O228" i="23"/>
  <c r="O229" i="23" s="1"/>
  <c r="O315" i="23" s="1"/>
  <c r="O324" i="23" s="1"/>
  <c r="O29" i="20" s="1"/>
  <c r="Q39" i="23"/>
  <c r="P74" i="22"/>
  <c r="P75" i="22" s="1"/>
  <c r="P87" i="22"/>
  <c r="O229" i="21"/>
  <c r="O315" i="21" s="1"/>
  <c r="O324" i="21" s="1"/>
  <c r="O11" i="20" s="1"/>
  <c r="Q40" i="21"/>
  <c r="Q35" i="21"/>
  <c r="Q28" i="21"/>
  <c r="Q29" i="21" s="1"/>
  <c r="Q35" i="24"/>
  <c r="Q40" i="24"/>
  <c r="Q28" i="24"/>
  <c r="Q29" i="24" s="1"/>
  <c r="P160" i="22"/>
  <c r="P186" i="22"/>
  <c r="P194" i="22" s="1"/>
  <c r="P207" i="22" s="1"/>
  <c r="P160" i="21"/>
  <c r="P186" i="21"/>
  <c r="P194" i="21" s="1"/>
  <c r="P207" i="21" s="1"/>
  <c r="P186" i="24"/>
  <c r="P194" i="24" s="1"/>
  <c r="P207" i="24" s="1"/>
  <c r="P160" i="24"/>
  <c r="Q39" i="12"/>
  <c r="Q35" i="23"/>
  <c r="Q40" i="23"/>
  <c r="Q28" i="23"/>
  <c r="Q29" i="23" s="1"/>
  <c r="P160" i="23"/>
  <c r="P186" i="23"/>
  <c r="P194" i="23" s="1"/>
  <c r="P207" i="23" s="1"/>
  <c r="O189" i="22"/>
  <c r="O197" i="22" s="1"/>
  <c r="O208" i="22" s="1"/>
  <c r="O209" i="22" s="1"/>
  <c r="O116" i="22"/>
  <c r="O117" i="22" s="1"/>
  <c r="O161" i="22"/>
  <c r="O162" i="22" s="1"/>
  <c r="O164" i="22" s="1"/>
  <c r="P229" i="24"/>
  <c r="P315" i="24" s="1"/>
  <c r="P324" i="24" s="1"/>
  <c r="P35" i="20" s="1"/>
  <c r="Q39" i="21"/>
  <c r="N29" i="20"/>
  <c r="R275" i="12" l="1"/>
  <c r="R281" i="12" s="1"/>
  <c r="R285" i="12" s="1"/>
  <c r="H285" i="12" s="1"/>
  <c r="P209" i="24"/>
  <c r="Q156" i="12"/>
  <c r="Q184" i="12"/>
  <c r="Q192" i="12" s="1"/>
  <c r="Q199" i="12" s="1"/>
  <c r="Q143" i="12"/>
  <c r="Q36" i="22"/>
  <c r="Q51" i="22"/>
  <c r="P107" i="23"/>
  <c r="P88" i="23"/>
  <c r="Q184" i="22"/>
  <c r="Q192" i="22" s="1"/>
  <c r="Q199" i="22" s="1"/>
  <c r="Q143" i="22"/>
  <c r="Q144" i="22" s="1"/>
  <c r="Q156" i="22"/>
  <c r="Q51" i="12"/>
  <c r="Q36" i="12"/>
  <c r="Q37" i="12" s="1"/>
  <c r="Q36" i="24"/>
  <c r="Q37" i="24" s="1"/>
  <c r="Q51" i="24"/>
  <c r="Q36" i="21"/>
  <c r="Q37" i="21" s="1"/>
  <c r="Q51" i="21"/>
  <c r="Q156" i="24"/>
  <c r="Q184" i="24"/>
  <c r="Q192" i="24" s="1"/>
  <c r="Q199" i="24" s="1"/>
  <c r="Q143" i="24"/>
  <c r="Q144" i="24" s="1"/>
  <c r="Q184" i="23"/>
  <c r="Q192" i="23" s="1"/>
  <c r="Q199" i="23" s="1"/>
  <c r="Q143" i="23"/>
  <c r="Q144" i="23" s="1"/>
  <c r="Q156" i="23"/>
  <c r="R293" i="24"/>
  <c r="R295" i="24" s="1"/>
  <c r="H283" i="24"/>
  <c r="H293" i="24" s="1"/>
  <c r="O165" i="12"/>
  <c r="O166" i="12" s="1"/>
  <c r="R299" i="21"/>
  <c r="R301" i="21" s="1"/>
  <c r="H284" i="21"/>
  <c r="H299" i="21" s="1"/>
  <c r="O167" i="12"/>
  <c r="Q107" i="24"/>
  <c r="Q88" i="24"/>
  <c r="Q89" i="24" s="1"/>
  <c r="R299" i="24"/>
  <c r="R301" i="24" s="1"/>
  <c r="H284" i="24"/>
  <c r="H299" i="24" s="1"/>
  <c r="Q36" i="23"/>
  <c r="Q37" i="23" s="1"/>
  <c r="Q51" i="23"/>
  <c r="R299" i="23"/>
  <c r="R301" i="23" s="1"/>
  <c r="H284" i="23"/>
  <c r="H299" i="23" s="1"/>
  <c r="P162" i="24"/>
  <c r="P164" i="24" s="1"/>
  <c r="R293" i="23"/>
  <c r="R295" i="23" s="1"/>
  <c r="H283" i="23"/>
  <c r="H293" i="23" s="1"/>
  <c r="P92" i="22"/>
  <c r="P92" i="21"/>
  <c r="R275" i="22"/>
  <c r="R281" i="24"/>
  <c r="R285" i="24" s="1"/>
  <c r="H285" i="24" s="1"/>
  <c r="H275" i="24"/>
  <c r="H281" i="24" s="1"/>
  <c r="Q184" i="21"/>
  <c r="Q192" i="21" s="1"/>
  <c r="Q199" i="21" s="1"/>
  <c r="Q156" i="21"/>
  <c r="Q143" i="21"/>
  <c r="O165" i="22"/>
  <c r="O166" i="22" s="1"/>
  <c r="P88" i="21"/>
  <c r="P89" i="21" s="1"/>
  <c r="P107" i="21"/>
  <c r="Q144" i="12"/>
  <c r="P107" i="12"/>
  <c r="P88" i="12"/>
  <c r="P89" i="12" s="1"/>
  <c r="O167" i="21"/>
  <c r="O165" i="23"/>
  <c r="O167" i="23" s="1"/>
  <c r="R299" i="22"/>
  <c r="R301" i="22" s="1"/>
  <c r="H284" i="22"/>
  <c r="H299" i="22" s="1"/>
  <c r="Q92" i="24"/>
  <c r="Q37" i="22"/>
  <c r="P92" i="23"/>
  <c r="P89" i="23"/>
  <c r="P88" i="22"/>
  <c r="P89" i="22" s="1"/>
  <c r="P107" i="22"/>
  <c r="R293" i="21"/>
  <c r="R295" i="21" s="1"/>
  <c r="H283" i="21"/>
  <c r="H293" i="21" s="1"/>
  <c r="R275" i="21"/>
  <c r="R299" i="12"/>
  <c r="R301" i="12" s="1"/>
  <c r="H284" i="12"/>
  <c r="H299" i="12" s="1"/>
  <c r="P165" i="24"/>
  <c r="R275" i="23"/>
  <c r="R293" i="22"/>
  <c r="R295" i="22" s="1"/>
  <c r="H283" i="22"/>
  <c r="H293" i="22" s="1"/>
  <c r="P92" i="12"/>
  <c r="Q144" i="21"/>
  <c r="R293" i="12"/>
  <c r="R295" i="12" s="1"/>
  <c r="H283" i="12"/>
  <c r="H293" i="12" s="1"/>
  <c r="O167" i="22" l="1"/>
  <c r="H275" i="12"/>
  <c r="H281" i="12" s="1"/>
  <c r="O166" i="23"/>
  <c r="Q148" i="22"/>
  <c r="Q149" i="22" s="1"/>
  <c r="Q153" i="22" s="1"/>
  <c r="Q154" i="22" s="1"/>
  <c r="R141" i="22"/>
  <c r="P171" i="22"/>
  <c r="P175" i="22" s="1"/>
  <c r="P176" i="22" s="1"/>
  <c r="P178" i="22" s="1"/>
  <c r="P180" i="22" s="1"/>
  <c r="P20" i="20" s="1"/>
  <c r="P103" i="22"/>
  <c r="P104" i="22" s="1"/>
  <c r="P93" i="22"/>
  <c r="P94" i="22" s="1"/>
  <c r="P99" i="22" s="1"/>
  <c r="P100" i="22" s="1"/>
  <c r="P108" i="22" s="1"/>
  <c r="Q86" i="22"/>
  <c r="R34" i="21"/>
  <c r="Q170" i="21"/>
  <c r="Q174" i="21" s="1"/>
  <c r="Q41" i="21"/>
  <c r="Q42" i="21" s="1"/>
  <c r="Q47" i="21" s="1"/>
  <c r="Q48" i="21" s="1"/>
  <c r="Q52" i="21" s="1"/>
  <c r="Q53" i="21" s="1"/>
  <c r="Q61" i="21" s="1"/>
  <c r="Q115" i="21" s="1"/>
  <c r="Q41" i="12"/>
  <c r="Q42" i="12" s="1"/>
  <c r="Q47" i="12" s="1"/>
  <c r="Q48" i="12" s="1"/>
  <c r="Q52" i="12" s="1"/>
  <c r="Q53" i="12" s="1"/>
  <c r="Q61" i="12" s="1"/>
  <c r="Q115" i="12" s="1"/>
  <c r="Q170" i="12"/>
  <c r="Q174" i="12" s="1"/>
  <c r="R34" i="12"/>
  <c r="Q171" i="24"/>
  <c r="Q175" i="24" s="1"/>
  <c r="R86" i="24"/>
  <c r="Q93" i="24"/>
  <c r="Q94" i="24" s="1"/>
  <c r="Q99" i="24" s="1"/>
  <c r="Q100" i="24" s="1"/>
  <c r="Q108" i="24" s="1"/>
  <c r="Q188" i="24" s="1"/>
  <c r="Q196" i="24" s="1"/>
  <c r="Q103" i="24"/>
  <c r="Q104" i="24" s="1"/>
  <c r="Q170" i="23"/>
  <c r="Q174" i="23" s="1"/>
  <c r="Q41" i="23"/>
  <c r="Q42" i="23" s="1"/>
  <c r="Q47" i="23" s="1"/>
  <c r="Q48" i="23" s="1"/>
  <c r="Q52" i="23" s="1"/>
  <c r="Q53" i="23" s="1"/>
  <c r="Q61" i="23" s="1"/>
  <c r="Q115" i="23" s="1"/>
  <c r="R34" i="23"/>
  <c r="Q86" i="21"/>
  <c r="P171" i="21"/>
  <c r="P175" i="21" s="1"/>
  <c r="P176" i="21" s="1"/>
  <c r="P178" i="21" s="1"/>
  <c r="P180" i="21" s="1"/>
  <c r="P8" i="20" s="1"/>
  <c r="P93" i="21"/>
  <c r="P103" i="21"/>
  <c r="P104" i="21" s="1"/>
  <c r="Q148" i="12"/>
  <c r="Q149" i="12" s="1"/>
  <c r="Q153" i="12" s="1"/>
  <c r="Q154" i="12" s="1"/>
  <c r="R141" i="12"/>
  <c r="Q41" i="24"/>
  <c r="Q42" i="24" s="1"/>
  <c r="Q47" i="24" s="1"/>
  <c r="Q48" i="24" s="1"/>
  <c r="Q52" i="24" s="1"/>
  <c r="Q170" i="24"/>
  <c r="Q174" i="24" s="1"/>
  <c r="R34" i="24"/>
  <c r="P187" i="21"/>
  <c r="P195" i="21" s="1"/>
  <c r="P200" i="21" s="1"/>
  <c r="P201" i="21" s="1"/>
  <c r="P217" i="21" s="1"/>
  <c r="P219" i="21" s="1"/>
  <c r="Q86" i="23"/>
  <c r="P93" i="23"/>
  <c r="P94" i="23" s="1"/>
  <c r="P99" i="23" s="1"/>
  <c r="P100" i="23" s="1"/>
  <c r="P108" i="23" s="1"/>
  <c r="P188" i="23" s="1"/>
  <c r="P196" i="23" s="1"/>
  <c r="P204" i="23" s="1"/>
  <c r="P205" i="23" s="1"/>
  <c r="P222" i="23" s="1"/>
  <c r="P224" i="23" s="1"/>
  <c r="P103" i="23"/>
  <c r="P104" i="23" s="1"/>
  <c r="P171" i="23"/>
  <c r="P175" i="23" s="1"/>
  <c r="P176" i="23" s="1"/>
  <c r="P178" i="23" s="1"/>
  <c r="P180" i="23" s="1"/>
  <c r="P26" i="20" s="1"/>
  <c r="P103" i="12"/>
  <c r="P104" i="12" s="1"/>
  <c r="P93" i="12"/>
  <c r="P94" i="12" s="1"/>
  <c r="P99" i="12" s="1"/>
  <c r="P100" i="12" s="1"/>
  <c r="P108" i="12" s="1"/>
  <c r="P171" i="12"/>
  <c r="P175" i="12" s="1"/>
  <c r="P176" i="12" s="1"/>
  <c r="P178" i="12" s="1"/>
  <c r="P180" i="12" s="1"/>
  <c r="P14" i="20" s="1"/>
  <c r="Q86" i="12"/>
  <c r="R281" i="22"/>
  <c r="R285" i="22" s="1"/>
  <c r="H285" i="22" s="1"/>
  <c r="H275" i="22"/>
  <c r="H281" i="22" s="1"/>
  <c r="P94" i="21"/>
  <c r="P99" i="21" s="1"/>
  <c r="P100" i="21" s="1"/>
  <c r="P108" i="21" s="1"/>
  <c r="P188" i="21" s="1"/>
  <c r="P196" i="21" s="1"/>
  <c r="P204" i="21" s="1"/>
  <c r="P205" i="21" s="1"/>
  <c r="P222" i="21" s="1"/>
  <c r="P224" i="21" s="1"/>
  <c r="P187" i="23"/>
  <c r="P195" i="23" s="1"/>
  <c r="P200" i="23" s="1"/>
  <c r="P201" i="23" s="1"/>
  <c r="P217" i="23" s="1"/>
  <c r="P219" i="23" s="1"/>
  <c r="R306" i="22"/>
  <c r="R319" i="22"/>
  <c r="H301" i="22"/>
  <c r="P166" i="24"/>
  <c r="P167" i="24"/>
  <c r="R281" i="21"/>
  <c r="R285" i="21" s="1"/>
  <c r="H285" i="21" s="1"/>
  <c r="H275" i="21"/>
  <c r="H281" i="21" s="1"/>
  <c r="P187" i="22"/>
  <c r="P195" i="22" s="1"/>
  <c r="P200" i="22" s="1"/>
  <c r="P201" i="22" s="1"/>
  <c r="P217" i="22" s="1"/>
  <c r="P219" i="22" s="1"/>
  <c r="P187" i="12"/>
  <c r="P195" i="12" s="1"/>
  <c r="P200" i="12" s="1"/>
  <c r="P201" i="12" s="1"/>
  <c r="P217" i="12" s="1"/>
  <c r="P219" i="12" s="1"/>
  <c r="R319" i="23"/>
  <c r="R306" i="23"/>
  <c r="H301" i="23"/>
  <c r="R305" i="21"/>
  <c r="H295" i="21"/>
  <c r="H305" i="21" s="1"/>
  <c r="R305" i="12"/>
  <c r="H295" i="12"/>
  <c r="H305" i="12" s="1"/>
  <c r="Q53" i="24"/>
  <c r="Q61" i="24" s="1"/>
  <c r="Q115" i="24" s="1"/>
  <c r="R141" i="24"/>
  <c r="Q148" i="24"/>
  <c r="Q149" i="24" s="1"/>
  <c r="Q153" i="24" s="1"/>
  <c r="Q154" i="24" s="1"/>
  <c r="R141" i="23"/>
  <c r="Q148" i="23"/>
  <c r="Q149" i="23" s="1"/>
  <c r="Q153" i="23" s="1"/>
  <c r="Q154" i="23" s="1"/>
  <c r="R281" i="23"/>
  <c r="R285" i="23" s="1"/>
  <c r="H285" i="23" s="1"/>
  <c r="H275" i="23"/>
  <c r="H281" i="23" s="1"/>
  <c r="R305" i="24"/>
  <c r="H295" i="24"/>
  <c r="H305" i="24" s="1"/>
  <c r="R141" i="21"/>
  <c r="Q148" i="21"/>
  <c r="Q149" i="21" s="1"/>
  <c r="Q153" i="21" s="1"/>
  <c r="Q154" i="21" s="1"/>
  <c r="Q187" i="24"/>
  <c r="Q195" i="24" s="1"/>
  <c r="R34" i="22"/>
  <c r="Q170" i="22"/>
  <c r="Q174" i="22" s="1"/>
  <c r="Q41" i="22"/>
  <c r="Q42" i="22" s="1"/>
  <c r="Q47" i="22" s="1"/>
  <c r="Q48" i="22" s="1"/>
  <c r="Q52" i="22" s="1"/>
  <c r="Q53" i="22" s="1"/>
  <c r="Q61" i="22" s="1"/>
  <c r="Q115" i="22" s="1"/>
  <c r="R305" i="22"/>
  <c r="H295" i="22"/>
  <c r="H305" i="22" s="1"/>
  <c r="R306" i="21"/>
  <c r="R319" i="21"/>
  <c r="H301" i="21"/>
  <c r="R319" i="12"/>
  <c r="R306" i="12"/>
  <c r="H301" i="12"/>
  <c r="R319" i="24"/>
  <c r="R306" i="24"/>
  <c r="H301" i="24"/>
  <c r="R305" i="23"/>
  <c r="H295" i="23"/>
  <c r="H305" i="23" s="1"/>
  <c r="R307" i="22" l="1"/>
  <c r="H307" i="22" s="1"/>
  <c r="R307" i="12"/>
  <c r="H307" i="12" s="1"/>
  <c r="R307" i="21"/>
  <c r="H307" i="21" s="1"/>
  <c r="P188" i="22"/>
  <c r="P196" i="22" s="1"/>
  <c r="P204" i="22" s="1"/>
  <c r="P205" i="22" s="1"/>
  <c r="P222" i="22" s="1"/>
  <c r="P224" i="22" s="1"/>
  <c r="P109" i="22"/>
  <c r="P188" i="12"/>
  <c r="P196" i="12" s="1"/>
  <c r="P204" i="12" s="1"/>
  <c r="P205" i="12" s="1"/>
  <c r="P222" i="12" s="1"/>
  <c r="P224" i="12" s="1"/>
  <c r="P109" i="12"/>
  <c r="P228" i="21"/>
  <c r="P314" i="21"/>
  <c r="P323" i="21" s="1"/>
  <c r="P10" i="20" s="1"/>
  <c r="Q200" i="24"/>
  <c r="Q201" i="24" s="1"/>
  <c r="Q217" i="24" s="1"/>
  <c r="Q219" i="24" s="1"/>
  <c r="H195" i="24"/>
  <c r="H200" i="24" s="1"/>
  <c r="Q204" i="24"/>
  <c r="H196" i="24"/>
  <c r="H204" i="24" s="1"/>
  <c r="P227" i="12"/>
  <c r="P313" i="12"/>
  <c r="P322" i="12" s="1"/>
  <c r="P15" i="20" s="1"/>
  <c r="Q176" i="24"/>
  <c r="Q178" i="24" s="1"/>
  <c r="Q180" i="24" s="1"/>
  <c r="Q32" i="20" s="1"/>
  <c r="F12" i="25" s="1"/>
  <c r="R27" i="22"/>
  <c r="R22" i="22"/>
  <c r="R24" i="22" s="1"/>
  <c r="Q73" i="12"/>
  <c r="Q91" i="12"/>
  <c r="Q68" i="12"/>
  <c r="Q70" i="12" s="1"/>
  <c r="R307" i="23"/>
  <c r="H307" i="23" s="1"/>
  <c r="Q157" i="21"/>
  <c r="Q158" i="21" s="1"/>
  <c r="Q185" i="21"/>
  <c r="Q193" i="21" s="1"/>
  <c r="Q203" i="21" s="1"/>
  <c r="P313" i="21"/>
  <c r="P322" i="21" s="1"/>
  <c r="P9" i="20" s="1"/>
  <c r="P227" i="21"/>
  <c r="P313" i="22"/>
  <c r="P322" i="22" s="1"/>
  <c r="P21" i="20" s="1"/>
  <c r="P227" i="22"/>
  <c r="R27" i="12"/>
  <c r="R22" i="12"/>
  <c r="R24" i="12" s="1"/>
  <c r="Q73" i="23"/>
  <c r="Q68" i="23"/>
  <c r="Q70" i="23" s="1"/>
  <c r="Q91" i="23"/>
  <c r="R22" i="24"/>
  <c r="R24" i="24" s="1"/>
  <c r="R27" i="24"/>
  <c r="Q73" i="22"/>
  <c r="Q91" i="22"/>
  <c r="Q68" i="22"/>
  <c r="Q70" i="22" s="1"/>
  <c r="Q91" i="21"/>
  <c r="Q68" i="21"/>
  <c r="Q70" i="21" s="1"/>
  <c r="Q73" i="21"/>
  <c r="H319" i="23"/>
  <c r="H306" i="23"/>
  <c r="R68" i="24"/>
  <c r="R70" i="24" s="1"/>
  <c r="R91" i="24"/>
  <c r="R73" i="24"/>
  <c r="R134" i="23"/>
  <c r="R146" i="23"/>
  <c r="R129" i="23"/>
  <c r="R131" i="23" s="1"/>
  <c r="R307" i="24"/>
  <c r="H307" i="24" s="1"/>
  <c r="P109" i="21"/>
  <c r="R129" i="12"/>
  <c r="R131" i="12" s="1"/>
  <c r="R134" i="12"/>
  <c r="R146" i="12"/>
  <c r="H319" i="21"/>
  <c r="H306" i="21"/>
  <c r="H319" i="22"/>
  <c r="H306" i="22"/>
  <c r="Q185" i="24"/>
  <c r="Q193" i="24" s="1"/>
  <c r="Q203" i="24" s="1"/>
  <c r="Q157" i="24"/>
  <c r="Q158" i="24" s="1"/>
  <c r="P109" i="23"/>
  <c r="Q185" i="12"/>
  <c r="Q193" i="12" s="1"/>
  <c r="Q203" i="12" s="1"/>
  <c r="Q157" i="12"/>
  <c r="Q158" i="12" s="1"/>
  <c r="R134" i="22"/>
  <c r="R129" i="22"/>
  <c r="R131" i="22" s="1"/>
  <c r="R146" i="22"/>
  <c r="P314" i="23"/>
  <c r="P323" i="23" s="1"/>
  <c r="P28" i="20" s="1"/>
  <c r="P228" i="23"/>
  <c r="R22" i="23"/>
  <c r="R24" i="23" s="1"/>
  <c r="R27" i="23"/>
  <c r="Q109" i="24"/>
  <c r="H306" i="24"/>
  <c r="H319" i="24"/>
  <c r="R129" i="21"/>
  <c r="R131" i="21" s="1"/>
  <c r="R146" i="21"/>
  <c r="R134" i="21"/>
  <c r="H306" i="12"/>
  <c r="H319" i="12"/>
  <c r="R27" i="21"/>
  <c r="R22" i="21"/>
  <c r="R24" i="21" s="1"/>
  <c r="Q157" i="23"/>
  <c r="Q158" i="23" s="1"/>
  <c r="Q185" i="23"/>
  <c r="Q193" i="23" s="1"/>
  <c r="Q203" i="23" s="1"/>
  <c r="R129" i="24"/>
  <c r="R131" i="24" s="1"/>
  <c r="R134" i="24"/>
  <c r="R146" i="24"/>
  <c r="P227" i="23"/>
  <c r="P229" i="23" s="1"/>
  <c r="P315" i="23" s="1"/>
  <c r="P324" i="23" s="1"/>
  <c r="P29" i="20" s="1"/>
  <c r="P313" i="23"/>
  <c r="P322" i="23" s="1"/>
  <c r="P27" i="20" s="1"/>
  <c r="Q157" i="22"/>
  <c r="Q158" i="22" s="1"/>
  <c r="Q185" i="22"/>
  <c r="Q193" i="22" s="1"/>
  <c r="Q203" i="22" s="1"/>
  <c r="Q186" i="21" l="1"/>
  <c r="Q194" i="21" s="1"/>
  <c r="Q207" i="21" s="1"/>
  <c r="Q160" i="21"/>
  <c r="Q87" i="21"/>
  <c r="Q74" i="21"/>
  <c r="Q75" i="21" s="1"/>
  <c r="R28" i="22"/>
  <c r="R35" i="22"/>
  <c r="R40" i="22"/>
  <c r="Q161" i="24"/>
  <c r="Q189" i="24"/>
  <c r="Q197" i="24" s="1"/>
  <c r="Q116" i="24"/>
  <c r="Q117" i="24" s="1"/>
  <c r="R142" i="12"/>
  <c r="R135" i="12"/>
  <c r="R136" i="12" s="1"/>
  <c r="R147" i="12"/>
  <c r="R39" i="24"/>
  <c r="R29" i="24"/>
  <c r="R29" i="22"/>
  <c r="R39" i="22"/>
  <c r="P161" i="21"/>
  <c r="P162" i="21" s="1"/>
  <c r="P164" i="21" s="1"/>
  <c r="P189" i="21"/>
  <c r="P197" i="21" s="1"/>
  <c r="P208" i="21" s="1"/>
  <c r="P209" i="21" s="1"/>
  <c r="P116" i="21"/>
  <c r="P117" i="21" s="1"/>
  <c r="R35" i="24"/>
  <c r="R40" i="24"/>
  <c r="R28" i="24"/>
  <c r="Q87" i="22"/>
  <c r="Q74" i="22"/>
  <c r="R35" i="23"/>
  <c r="R40" i="23"/>
  <c r="R28" i="23"/>
  <c r="R29" i="23" s="1"/>
  <c r="Q87" i="23"/>
  <c r="Q74" i="23"/>
  <c r="Q75" i="23" s="1"/>
  <c r="R39" i="12"/>
  <c r="R142" i="21"/>
  <c r="R135" i="21"/>
  <c r="R136" i="21" s="1"/>
  <c r="R147" i="21"/>
  <c r="R39" i="23"/>
  <c r="R147" i="24"/>
  <c r="R135" i="24"/>
  <c r="R136" i="24" s="1"/>
  <c r="R142" i="24"/>
  <c r="Q75" i="22"/>
  <c r="Q313" i="24"/>
  <c r="Q322" i="24" s="1"/>
  <c r="Q33" i="20" s="1"/>
  <c r="Q227" i="24"/>
  <c r="R74" i="24"/>
  <c r="R75" i="24" s="1"/>
  <c r="R87" i="24"/>
  <c r="P229" i="21"/>
  <c r="P315" i="21" s="1"/>
  <c r="P324" i="21" s="1"/>
  <c r="P11" i="20" s="1"/>
  <c r="P314" i="12"/>
  <c r="P323" i="12" s="1"/>
  <c r="P16" i="20" s="1"/>
  <c r="P228" i="12"/>
  <c r="P229" i="12" s="1"/>
  <c r="P315" i="12" s="1"/>
  <c r="P324" i="12" s="1"/>
  <c r="P17" i="20" s="1"/>
  <c r="Q87" i="12"/>
  <c r="Q74" i="12"/>
  <c r="Q75" i="12" s="1"/>
  <c r="R135" i="23"/>
  <c r="R136" i="23" s="1"/>
  <c r="R142" i="23"/>
  <c r="R147" i="23"/>
  <c r="R35" i="12"/>
  <c r="R40" i="12"/>
  <c r="R28" i="12"/>
  <c r="R29" i="12" s="1"/>
  <c r="Q160" i="12"/>
  <c r="Q186" i="12"/>
  <c r="Q194" i="12" s="1"/>
  <c r="Q207" i="12" s="1"/>
  <c r="P161" i="12"/>
  <c r="P162" i="12" s="1"/>
  <c r="P164" i="12" s="1"/>
  <c r="P189" i="12"/>
  <c r="P197" i="12" s="1"/>
  <c r="P208" i="12" s="1"/>
  <c r="P209" i="12" s="1"/>
  <c r="P116" i="12"/>
  <c r="P117" i="12" s="1"/>
  <c r="R40" i="21"/>
  <c r="R35" i="21"/>
  <c r="R28" i="21"/>
  <c r="R29" i="21" s="1"/>
  <c r="P189" i="23"/>
  <c r="P197" i="23" s="1"/>
  <c r="P208" i="23" s="1"/>
  <c r="P209" i="23" s="1"/>
  <c r="P161" i="23"/>
  <c r="P162" i="23" s="1"/>
  <c r="P164" i="23" s="1"/>
  <c r="P116" i="23"/>
  <c r="P117" i="23" s="1"/>
  <c r="P189" i="22"/>
  <c r="P197" i="22" s="1"/>
  <c r="P208" i="22" s="1"/>
  <c r="P209" i="22" s="1"/>
  <c r="P161" i="22"/>
  <c r="P162" i="22" s="1"/>
  <c r="P164" i="22" s="1"/>
  <c r="P116" i="22"/>
  <c r="P117" i="22" s="1"/>
  <c r="Q160" i="22"/>
  <c r="Q186" i="22"/>
  <c r="Q194" i="22" s="1"/>
  <c r="Q207" i="22" s="1"/>
  <c r="Q205" i="24"/>
  <c r="Q222" i="24" s="1"/>
  <c r="Q224" i="24" s="1"/>
  <c r="R135" i="22"/>
  <c r="R136" i="22" s="1"/>
  <c r="R147" i="22"/>
  <c r="R142" i="22"/>
  <c r="Q186" i="23"/>
  <c r="Q194" i="23" s="1"/>
  <c r="Q207" i="23" s="1"/>
  <c r="Q160" i="23"/>
  <c r="R39" i="21"/>
  <c r="Q186" i="24"/>
  <c r="Q194" i="24" s="1"/>
  <c r="Q207" i="24" s="1"/>
  <c r="Q160" i="24"/>
  <c r="P228" i="22"/>
  <c r="P229" i="22" s="1"/>
  <c r="P315" i="22" s="1"/>
  <c r="P324" i="22" s="1"/>
  <c r="P23" i="20" s="1"/>
  <c r="P314" i="22"/>
  <c r="P323" i="22" s="1"/>
  <c r="P22" i="20" s="1"/>
  <c r="R143" i="24" l="1"/>
  <c r="R156" i="24"/>
  <c r="R184" i="24"/>
  <c r="R192" i="24" s="1"/>
  <c r="R51" i="21"/>
  <c r="R36" i="21"/>
  <c r="R37" i="21" s="1"/>
  <c r="R156" i="21"/>
  <c r="R184" i="21"/>
  <c r="R192" i="21" s="1"/>
  <c r="R143" i="21"/>
  <c r="R144" i="21" s="1"/>
  <c r="R148" i="21" s="1"/>
  <c r="R149" i="21" s="1"/>
  <c r="R153" i="21" s="1"/>
  <c r="R154" i="21" s="1"/>
  <c r="Q107" i="12"/>
  <c r="Q88" i="12"/>
  <c r="Q89" i="12" s="1"/>
  <c r="Q88" i="23"/>
  <c r="Q89" i="23" s="1"/>
  <c r="Q107" i="23"/>
  <c r="R184" i="23"/>
  <c r="R192" i="23" s="1"/>
  <c r="R156" i="23"/>
  <c r="R143" i="23"/>
  <c r="R144" i="23" s="1"/>
  <c r="R148" i="23" s="1"/>
  <c r="R149" i="23" s="1"/>
  <c r="R153" i="23" s="1"/>
  <c r="R154" i="23" s="1"/>
  <c r="R51" i="23"/>
  <c r="R36" i="23"/>
  <c r="R37" i="23" s="1"/>
  <c r="Q88" i="21"/>
  <c r="Q89" i="21" s="1"/>
  <c r="Q107" i="21"/>
  <c r="P167" i="21"/>
  <c r="R184" i="12"/>
  <c r="R192" i="12" s="1"/>
  <c r="R156" i="12"/>
  <c r="R143" i="12"/>
  <c r="P165" i="23"/>
  <c r="P166" i="23" s="1"/>
  <c r="R36" i="24"/>
  <c r="R37" i="24" s="1"/>
  <c r="R51" i="24"/>
  <c r="Q165" i="24"/>
  <c r="H117" i="24"/>
  <c r="H165" i="24" s="1"/>
  <c r="Q92" i="12"/>
  <c r="R107" i="24"/>
  <c r="R88" i="24"/>
  <c r="R89" i="24" s="1"/>
  <c r="Q92" i="22"/>
  <c r="R92" i="24"/>
  <c r="Q92" i="23"/>
  <c r="Q162" i="24"/>
  <c r="Q164" i="24" s="1"/>
  <c r="R156" i="22"/>
  <c r="R184" i="22"/>
  <c r="R192" i="22" s="1"/>
  <c r="R143" i="22"/>
  <c r="R144" i="22" s="1"/>
  <c r="R148" i="22" s="1"/>
  <c r="R149" i="22" s="1"/>
  <c r="R153" i="22" s="1"/>
  <c r="R154" i="22" s="1"/>
  <c r="R51" i="12"/>
  <c r="R36" i="12"/>
  <c r="R37" i="12" s="1"/>
  <c r="R144" i="12"/>
  <c r="R148" i="12" s="1"/>
  <c r="R149" i="12" s="1"/>
  <c r="R153" i="12" s="1"/>
  <c r="R154" i="12" s="1"/>
  <c r="Q92" i="21"/>
  <c r="P165" i="12"/>
  <c r="P166" i="12" s="1"/>
  <c r="R36" i="22"/>
  <c r="R37" i="22" s="1"/>
  <c r="R51" i="22"/>
  <c r="Q208" i="24"/>
  <c r="Q209" i="24" s="1"/>
  <c r="H197" i="24"/>
  <c r="H208" i="24" s="1"/>
  <c r="Q107" i="22"/>
  <c r="Q88" i="22"/>
  <c r="Q89" i="22" s="1"/>
  <c r="R144" i="24"/>
  <c r="R148" i="24" s="1"/>
  <c r="R149" i="24" s="1"/>
  <c r="R153" i="24" s="1"/>
  <c r="R154" i="24" s="1"/>
  <c r="Q314" i="24"/>
  <c r="Q323" i="24" s="1"/>
  <c r="Q34" i="20" s="1"/>
  <c r="Q228" i="24"/>
  <c r="Q229" i="24" s="1"/>
  <c r="Q315" i="24" s="1"/>
  <c r="Q324" i="24" s="1"/>
  <c r="Q35" i="20" s="1"/>
  <c r="P165" i="21"/>
  <c r="P166" i="21" s="1"/>
  <c r="P165" i="22"/>
  <c r="P166" i="22" s="1"/>
  <c r="P167" i="23" l="1"/>
  <c r="R93" i="24"/>
  <c r="R103" i="24"/>
  <c r="R104" i="24" s="1"/>
  <c r="R171" i="24"/>
  <c r="Q171" i="21"/>
  <c r="Q175" i="21" s="1"/>
  <c r="Q176" i="21" s="1"/>
  <c r="Q178" i="21" s="1"/>
  <c r="Q180" i="21" s="1"/>
  <c r="Q8" i="20" s="1"/>
  <c r="F8" i="25" s="1"/>
  <c r="R86" i="21"/>
  <c r="Q93" i="21"/>
  <c r="Q94" i="21" s="1"/>
  <c r="Q99" i="21" s="1"/>
  <c r="Q100" i="21" s="1"/>
  <c r="Q108" i="21" s="1"/>
  <c r="Q103" i="21"/>
  <c r="Q104" i="21" s="1"/>
  <c r="R157" i="21"/>
  <c r="R158" i="21" s="1"/>
  <c r="R185" i="21"/>
  <c r="R193" i="21" s="1"/>
  <c r="R41" i="23"/>
  <c r="R42" i="23" s="1"/>
  <c r="R47" i="23" s="1"/>
  <c r="R48" i="23" s="1"/>
  <c r="R52" i="23" s="1"/>
  <c r="R170" i="23"/>
  <c r="R174" i="23" s="1"/>
  <c r="R176" i="23" s="1"/>
  <c r="R178" i="23" s="1"/>
  <c r="R180" i="23" s="1"/>
  <c r="R26" i="20" s="1"/>
  <c r="R86" i="23"/>
  <c r="Q171" i="23"/>
  <c r="Q175" i="23" s="1"/>
  <c r="Q176" i="23" s="1"/>
  <c r="Q178" i="23" s="1"/>
  <c r="Q180" i="23" s="1"/>
  <c r="Q26" i="20" s="1"/>
  <c r="F11" i="25" s="1"/>
  <c r="Q103" i="23"/>
  <c r="Q104" i="23" s="1"/>
  <c r="Q93" i="23"/>
  <c r="Q94" i="23" s="1"/>
  <c r="Q99" i="23" s="1"/>
  <c r="Q100" i="23" s="1"/>
  <c r="Q108" i="23" s="1"/>
  <c r="Q188" i="23" s="1"/>
  <c r="Q196" i="23" s="1"/>
  <c r="Q187" i="21"/>
  <c r="Q195" i="21" s="1"/>
  <c r="R170" i="24"/>
  <c r="R174" i="24" s="1"/>
  <c r="R176" i="24" s="1"/>
  <c r="R178" i="24" s="1"/>
  <c r="R180" i="24" s="1"/>
  <c r="R32" i="20" s="1"/>
  <c r="R41" i="24"/>
  <c r="R42" i="24" s="1"/>
  <c r="R47" i="24" s="1"/>
  <c r="R48" i="24" s="1"/>
  <c r="R52" i="24" s="1"/>
  <c r="R53" i="24" s="1"/>
  <c r="R94" i="24"/>
  <c r="R99" i="24" s="1"/>
  <c r="R100" i="24" s="1"/>
  <c r="R108" i="24" s="1"/>
  <c r="R188" i="24" s="1"/>
  <c r="R53" i="23"/>
  <c r="P167" i="12"/>
  <c r="R170" i="22"/>
  <c r="R174" i="22" s="1"/>
  <c r="R176" i="22" s="1"/>
  <c r="R178" i="22" s="1"/>
  <c r="R180" i="22" s="1"/>
  <c r="R20" i="20" s="1"/>
  <c r="R41" i="22"/>
  <c r="R42" i="22" s="1"/>
  <c r="R47" i="22" s="1"/>
  <c r="R48" i="22" s="1"/>
  <c r="R52" i="22" s="1"/>
  <c r="Q187" i="23"/>
  <c r="Q195" i="23" s="1"/>
  <c r="R170" i="21"/>
  <c r="R174" i="21" s="1"/>
  <c r="R176" i="21" s="1"/>
  <c r="R178" i="21" s="1"/>
  <c r="R180" i="21" s="1"/>
  <c r="R8" i="20" s="1"/>
  <c r="R41" i="21"/>
  <c r="R42" i="21" s="1"/>
  <c r="R47" i="21" s="1"/>
  <c r="R48" i="21" s="1"/>
  <c r="R52" i="21" s="1"/>
  <c r="R53" i="21" s="1"/>
  <c r="Q187" i="22"/>
  <c r="Q195" i="22" s="1"/>
  <c r="R199" i="21"/>
  <c r="R201" i="21" s="1"/>
  <c r="H192" i="21"/>
  <c r="H199" i="21" s="1"/>
  <c r="R157" i="22"/>
  <c r="R158" i="22" s="1"/>
  <c r="R185" i="22"/>
  <c r="R193" i="22" s="1"/>
  <c r="R157" i="23"/>
  <c r="R158" i="23" s="1"/>
  <c r="R185" i="23"/>
  <c r="R193" i="23" s="1"/>
  <c r="R41" i="12"/>
  <c r="R42" i="12" s="1"/>
  <c r="R47" i="12" s="1"/>
  <c r="R48" i="12" s="1"/>
  <c r="R52" i="12" s="1"/>
  <c r="R53" i="12" s="1"/>
  <c r="R170" i="12"/>
  <c r="R174" i="12" s="1"/>
  <c r="R176" i="12" s="1"/>
  <c r="R178" i="12" s="1"/>
  <c r="R180" i="12" s="1"/>
  <c r="R14" i="20" s="1"/>
  <c r="R199" i="23"/>
  <c r="R201" i="23" s="1"/>
  <c r="H192" i="23"/>
  <c r="H199" i="23" s="1"/>
  <c r="R185" i="12"/>
  <c r="R193" i="12" s="1"/>
  <c r="R157" i="12"/>
  <c r="R158" i="12" s="1"/>
  <c r="R199" i="22"/>
  <c r="R201" i="22" s="1"/>
  <c r="H192" i="22"/>
  <c r="H199" i="22" s="1"/>
  <c r="R53" i="22"/>
  <c r="Q167" i="24"/>
  <c r="Q166" i="24"/>
  <c r="Q103" i="12"/>
  <c r="Q104" i="12" s="1"/>
  <c r="Q93" i="12"/>
  <c r="Q94" i="12" s="1"/>
  <c r="Q99" i="12" s="1"/>
  <c r="Q100" i="12" s="1"/>
  <c r="Q108" i="12" s="1"/>
  <c r="Q171" i="12"/>
  <c r="Q175" i="12" s="1"/>
  <c r="Q176" i="12" s="1"/>
  <c r="Q178" i="12" s="1"/>
  <c r="Q180" i="12" s="1"/>
  <c r="Q14" i="20" s="1"/>
  <c r="F9" i="25" s="1"/>
  <c r="R86" i="12"/>
  <c r="R157" i="24"/>
  <c r="R185" i="24"/>
  <c r="R193" i="24" s="1"/>
  <c r="Q187" i="12"/>
  <c r="Q195" i="12" s="1"/>
  <c r="R158" i="24"/>
  <c r="Q171" i="22"/>
  <c r="Q175" i="22" s="1"/>
  <c r="Q176" i="22" s="1"/>
  <c r="Q178" i="22" s="1"/>
  <c r="Q180" i="22" s="1"/>
  <c r="Q20" i="20" s="1"/>
  <c r="F10" i="25" s="1"/>
  <c r="Q93" i="22"/>
  <c r="Q94" i="22" s="1"/>
  <c r="Q99" i="22" s="1"/>
  <c r="Q100" i="22" s="1"/>
  <c r="Q108" i="22" s="1"/>
  <c r="Q103" i="22"/>
  <c r="Q104" i="22" s="1"/>
  <c r="R86" i="22"/>
  <c r="R187" i="24"/>
  <c r="R199" i="24"/>
  <c r="R201" i="24" s="1"/>
  <c r="H192" i="24"/>
  <c r="H199" i="24" s="1"/>
  <c r="P167" i="22"/>
  <c r="R199" i="12"/>
  <c r="R201" i="12" s="1"/>
  <c r="H192" i="12"/>
  <c r="H199" i="12" s="1"/>
  <c r="R61" i="12" l="1"/>
  <c r="R115" i="12" s="1"/>
  <c r="H53" i="12"/>
  <c r="R61" i="24"/>
  <c r="R115" i="24" s="1"/>
  <c r="H53" i="24"/>
  <c r="Q188" i="22"/>
  <c r="Q196" i="22" s="1"/>
  <c r="Q109" i="22"/>
  <c r="R186" i="23"/>
  <c r="R194" i="23" s="1"/>
  <c r="R160" i="23"/>
  <c r="H158" i="23"/>
  <c r="Q188" i="21"/>
  <c r="Q196" i="21" s="1"/>
  <c r="Q109" i="21"/>
  <c r="Q188" i="12"/>
  <c r="Q196" i="12" s="1"/>
  <c r="Q109" i="12"/>
  <c r="R186" i="22"/>
  <c r="R194" i="22" s="1"/>
  <c r="R160" i="22"/>
  <c r="H158" i="22"/>
  <c r="R61" i="23"/>
  <c r="R115" i="23" s="1"/>
  <c r="H53" i="23"/>
  <c r="R186" i="24"/>
  <c r="R194" i="24" s="1"/>
  <c r="R160" i="24"/>
  <c r="H158" i="24"/>
  <c r="R203" i="24"/>
  <c r="R205" i="24" s="1"/>
  <c r="H193" i="24"/>
  <c r="H203" i="24" s="1"/>
  <c r="R217" i="21"/>
  <c r="R219" i="21" s="1"/>
  <c r="R73" i="23"/>
  <c r="R91" i="23"/>
  <c r="R68" i="23"/>
  <c r="R70" i="23" s="1"/>
  <c r="Q200" i="12"/>
  <c r="Q201" i="12" s="1"/>
  <c r="Q217" i="12" s="1"/>
  <c r="Q219" i="12" s="1"/>
  <c r="H195" i="12"/>
  <c r="H200" i="12" s="1"/>
  <c r="R186" i="12"/>
  <c r="R194" i="12" s="1"/>
  <c r="R160" i="12"/>
  <c r="H158" i="12"/>
  <c r="R203" i="21"/>
  <c r="R205" i="21" s="1"/>
  <c r="H193" i="21"/>
  <c r="H203" i="21" s="1"/>
  <c r="R217" i="22"/>
  <c r="R219" i="22" s="1"/>
  <c r="R73" i="21"/>
  <c r="R91" i="21"/>
  <c r="R68" i="21"/>
  <c r="R70" i="21" s="1"/>
  <c r="R160" i="21"/>
  <c r="R186" i="21"/>
  <c r="R194" i="21" s="1"/>
  <c r="H158" i="21"/>
  <c r="R203" i="22"/>
  <c r="R205" i="22" s="1"/>
  <c r="H193" i="22"/>
  <c r="H203" i="22" s="1"/>
  <c r="R73" i="12"/>
  <c r="R68" i="12"/>
  <c r="R70" i="12" s="1"/>
  <c r="R91" i="12"/>
  <c r="R109" i="24"/>
  <c r="Q109" i="23"/>
  <c r="Q200" i="22"/>
  <c r="Q201" i="22" s="1"/>
  <c r="Q217" i="22" s="1"/>
  <c r="Q219" i="22" s="1"/>
  <c r="H195" i="22"/>
  <c r="H200" i="22" s="1"/>
  <c r="R217" i="24"/>
  <c r="R219" i="24" s="1"/>
  <c r="H201" i="24"/>
  <c r="H217" i="24" s="1"/>
  <c r="R203" i="12"/>
  <c r="R205" i="12" s="1"/>
  <c r="H193" i="12"/>
  <c r="H203" i="12" s="1"/>
  <c r="Q200" i="23"/>
  <c r="Q201" i="23" s="1"/>
  <c r="Q217" i="23" s="1"/>
  <c r="Q219" i="23" s="1"/>
  <c r="H195" i="23"/>
  <c r="H200" i="23" s="1"/>
  <c r="R61" i="21"/>
  <c r="R115" i="21" s="1"/>
  <c r="H53" i="21"/>
  <c r="Q200" i="21"/>
  <c r="Q201" i="21" s="1"/>
  <c r="Q217" i="21" s="1"/>
  <c r="Q219" i="21" s="1"/>
  <c r="H195" i="21"/>
  <c r="H200" i="21" s="1"/>
  <c r="R73" i="22"/>
  <c r="R68" i="22"/>
  <c r="R70" i="22" s="1"/>
  <c r="R91" i="22"/>
  <c r="Q204" i="23"/>
  <c r="Q205" i="23" s="1"/>
  <c r="Q222" i="23" s="1"/>
  <c r="Q224" i="23" s="1"/>
  <c r="H196" i="23"/>
  <c r="H204" i="23" s="1"/>
  <c r="R203" i="23"/>
  <c r="R205" i="23" s="1"/>
  <c r="H193" i="23"/>
  <c r="H203" i="23" s="1"/>
  <c r="R217" i="12"/>
  <c r="R219" i="12" s="1"/>
  <c r="R61" i="22"/>
  <c r="R115" i="22" s="1"/>
  <c r="H53" i="22"/>
  <c r="R217" i="23"/>
  <c r="R219" i="23" s="1"/>
  <c r="H201" i="22" l="1"/>
  <c r="H217" i="22" s="1"/>
  <c r="H201" i="12"/>
  <c r="H217" i="12" s="1"/>
  <c r="R222" i="24"/>
  <c r="R224" i="24" s="1"/>
  <c r="H205" i="24"/>
  <c r="H222" i="24" s="1"/>
  <c r="H160" i="24"/>
  <c r="H186" i="24"/>
  <c r="R207" i="22"/>
  <c r="R209" i="22" s="1"/>
  <c r="H194" i="22"/>
  <c r="H207" i="22" s="1"/>
  <c r="Q313" i="21"/>
  <c r="Q322" i="21" s="1"/>
  <c r="Q9" i="20" s="1"/>
  <c r="Q227" i="21"/>
  <c r="R74" i="21"/>
  <c r="R75" i="21" s="1"/>
  <c r="R87" i="21"/>
  <c r="H201" i="23"/>
  <c r="H217" i="23" s="1"/>
  <c r="Q204" i="12"/>
  <c r="Q205" i="12" s="1"/>
  <c r="Q222" i="12" s="1"/>
  <c r="Q224" i="12" s="1"/>
  <c r="H196" i="12"/>
  <c r="H204" i="12" s="1"/>
  <c r="Q116" i="23"/>
  <c r="Q117" i="23" s="1"/>
  <c r="Q189" i="23"/>
  <c r="Q197" i="23" s="1"/>
  <c r="Q161" i="23"/>
  <c r="Q162" i="23" s="1"/>
  <c r="Q164" i="23" s="1"/>
  <c r="H186" i="23"/>
  <c r="H160" i="23"/>
  <c r="R87" i="23"/>
  <c r="R74" i="23"/>
  <c r="R75" i="23" s="1"/>
  <c r="Q313" i="23"/>
  <c r="Q322" i="23" s="1"/>
  <c r="Q27" i="20" s="1"/>
  <c r="Q227" i="23"/>
  <c r="R222" i="12"/>
  <c r="R224" i="12" s="1"/>
  <c r="Q189" i="12"/>
  <c r="Q197" i="12" s="1"/>
  <c r="Q116" i="12"/>
  <c r="Q117" i="12" s="1"/>
  <c r="Q161" i="12"/>
  <c r="Q162" i="12" s="1"/>
  <c r="Q164" i="12" s="1"/>
  <c r="H160" i="12"/>
  <c r="H186" i="12"/>
  <c r="Q204" i="21"/>
  <c r="Q205" i="21" s="1"/>
  <c r="Q222" i="21" s="1"/>
  <c r="Q224" i="21" s="1"/>
  <c r="H196" i="21"/>
  <c r="H204" i="21" s="1"/>
  <c r="Q227" i="12"/>
  <c r="Q313" i="12"/>
  <c r="Q322" i="12" s="1"/>
  <c r="Q15" i="20" s="1"/>
  <c r="R222" i="23"/>
  <c r="R224" i="23" s="1"/>
  <c r="H205" i="23"/>
  <c r="H222" i="23" s="1"/>
  <c r="Q189" i="22"/>
  <c r="Q197" i="22" s="1"/>
  <c r="Q116" i="22"/>
  <c r="Q117" i="22" s="1"/>
  <c r="Q161" i="22"/>
  <c r="Q162" i="22" s="1"/>
  <c r="Q164" i="22" s="1"/>
  <c r="H201" i="21"/>
  <c r="H217" i="21" s="1"/>
  <c r="R207" i="24"/>
  <c r="R209" i="24" s="1"/>
  <c r="H209" i="24" s="1"/>
  <c r="H194" i="24"/>
  <c r="H207" i="24" s="1"/>
  <c r="H186" i="22"/>
  <c r="H160" i="22"/>
  <c r="R313" i="23"/>
  <c r="R322" i="23" s="1"/>
  <c r="R227" i="23"/>
  <c r="H219" i="23"/>
  <c r="Q313" i="22"/>
  <c r="Q322" i="22" s="1"/>
  <c r="Q21" i="20" s="1"/>
  <c r="Q227" i="22"/>
  <c r="R161" i="24"/>
  <c r="R162" i="24" s="1"/>
  <c r="R189" i="24"/>
  <c r="R116" i="24"/>
  <c r="H109" i="24"/>
  <c r="R87" i="12"/>
  <c r="R74" i="12"/>
  <c r="R75" i="12" s="1"/>
  <c r="Q314" i="23"/>
  <c r="Q323" i="23" s="1"/>
  <c r="Q28" i="20" s="1"/>
  <c r="Q228" i="23"/>
  <c r="R222" i="22"/>
  <c r="R224" i="22" s="1"/>
  <c r="R227" i="21"/>
  <c r="R313" i="21"/>
  <c r="R322" i="21" s="1"/>
  <c r="H219" i="21"/>
  <c r="R207" i="21"/>
  <c r="R209" i="21" s="1"/>
  <c r="H194" i="21"/>
  <c r="H207" i="21" s="1"/>
  <c r="R227" i="22"/>
  <c r="R313" i="22"/>
  <c r="R322" i="22" s="1"/>
  <c r="H219" i="22"/>
  <c r="R222" i="21"/>
  <c r="R224" i="21" s="1"/>
  <c r="R313" i="24"/>
  <c r="R322" i="24" s="1"/>
  <c r="R227" i="24"/>
  <c r="H219" i="24"/>
  <c r="Q161" i="21"/>
  <c r="Q162" i="21" s="1"/>
  <c r="Q164" i="21" s="1"/>
  <c r="Q189" i="21"/>
  <c r="Q197" i="21" s="1"/>
  <c r="Q116" i="21"/>
  <c r="Q117" i="21" s="1"/>
  <c r="R207" i="12"/>
  <c r="R209" i="12" s="1"/>
  <c r="H194" i="12"/>
  <c r="H207" i="12" s="1"/>
  <c r="R313" i="12"/>
  <c r="R322" i="12" s="1"/>
  <c r="R227" i="12"/>
  <c r="H219" i="12"/>
  <c r="R207" i="23"/>
  <c r="R209" i="23" s="1"/>
  <c r="H194" i="23"/>
  <c r="H207" i="23" s="1"/>
  <c r="Q204" i="22"/>
  <c r="Q205" i="22" s="1"/>
  <c r="Q222" i="22" s="1"/>
  <c r="Q224" i="22" s="1"/>
  <c r="H196" i="22"/>
  <c r="H204" i="22" s="1"/>
  <c r="R87" i="22"/>
  <c r="R74" i="22"/>
  <c r="R75" i="22" s="1"/>
  <c r="H160" i="21"/>
  <c r="H186" i="21"/>
  <c r="H205" i="22" l="1"/>
  <c r="H222" i="22" s="1"/>
  <c r="R107" i="12"/>
  <c r="R88" i="12"/>
  <c r="R107" i="23"/>
  <c r="R88" i="23"/>
  <c r="R107" i="22"/>
  <c r="R88" i="22"/>
  <c r="R89" i="22" s="1"/>
  <c r="R92" i="23"/>
  <c r="R89" i="23"/>
  <c r="Q228" i="12"/>
  <c r="Q229" i="12" s="1"/>
  <c r="Q315" i="12" s="1"/>
  <c r="Q324" i="12" s="1"/>
  <c r="Q17" i="20" s="1"/>
  <c r="Q314" i="12"/>
  <c r="Q323" i="12" s="1"/>
  <c r="Q16" i="20" s="1"/>
  <c r="R228" i="22"/>
  <c r="R229" i="22" s="1"/>
  <c r="R314" i="22"/>
  <c r="R323" i="22" s="1"/>
  <c r="H224" i="22"/>
  <c r="R228" i="23"/>
  <c r="R229" i="23" s="1"/>
  <c r="R314" i="23"/>
  <c r="R323" i="23" s="1"/>
  <c r="H224" i="23"/>
  <c r="Q228" i="21"/>
  <c r="Q229" i="21" s="1"/>
  <c r="Q315" i="21" s="1"/>
  <c r="Q324" i="21" s="1"/>
  <c r="Q11" i="20" s="1"/>
  <c r="Q314" i="21"/>
  <c r="Q323" i="21" s="1"/>
  <c r="Q10" i="20" s="1"/>
  <c r="Q208" i="23"/>
  <c r="Q209" i="23" s="1"/>
  <c r="H209" i="23" s="1"/>
  <c r="H197" i="23"/>
  <c r="H208" i="23" s="1"/>
  <c r="R107" i="21"/>
  <c r="R88" i="21"/>
  <c r="R33" i="20"/>
  <c r="H322" i="24"/>
  <c r="H33" i="20" s="1"/>
  <c r="Q208" i="12"/>
  <c r="Q209" i="12" s="1"/>
  <c r="H197" i="12"/>
  <c r="H208" i="12" s="1"/>
  <c r="H227" i="22"/>
  <c r="H313" i="22"/>
  <c r="H313" i="23"/>
  <c r="H227" i="23"/>
  <c r="H205" i="12"/>
  <c r="H222" i="12" s="1"/>
  <c r="R21" i="20"/>
  <c r="H322" i="22"/>
  <c r="H21" i="20" s="1"/>
  <c r="R314" i="12"/>
  <c r="R323" i="12" s="1"/>
  <c r="R228" i="12"/>
  <c r="R229" i="12" s="1"/>
  <c r="H224" i="12"/>
  <c r="Q208" i="22"/>
  <c r="Q209" i="22" s="1"/>
  <c r="H209" i="22" s="1"/>
  <c r="H197" i="22"/>
  <c r="H208" i="22" s="1"/>
  <c r="R15" i="20"/>
  <c r="H322" i="12"/>
  <c r="H15" i="20" s="1"/>
  <c r="H161" i="24"/>
  <c r="H116" i="24"/>
  <c r="H189" i="24"/>
  <c r="Q165" i="12"/>
  <c r="Q167" i="12" s="1"/>
  <c r="H117" i="12"/>
  <c r="H165" i="12" s="1"/>
  <c r="Q229" i="23"/>
  <c r="Q315" i="23" s="1"/>
  <c r="Q324" i="23" s="1"/>
  <c r="Q29" i="20" s="1"/>
  <c r="R92" i="22"/>
  <c r="Q165" i="22"/>
  <c r="Q167" i="22" s="1"/>
  <c r="H117" i="22"/>
  <c r="H165" i="22" s="1"/>
  <c r="H209" i="12"/>
  <c r="Q165" i="23"/>
  <c r="Q166" i="23" s="1"/>
  <c r="H117" i="23"/>
  <c r="H165" i="23" s="1"/>
  <c r="Q165" i="21"/>
  <c r="Q166" i="21" s="1"/>
  <c r="H117" i="21"/>
  <c r="H165" i="21" s="1"/>
  <c r="H313" i="24"/>
  <c r="H227" i="24"/>
  <c r="R164" i="24"/>
  <c r="R166" i="24" s="1"/>
  <c r="F166" i="24" s="1"/>
  <c r="F18" i="9" s="1"/>
  <c r="H162" i="24"/>
  <c r="H164" i="24" s="1"/>
  <c r="Q166" i="12"/>
  <c r="H205" i="21"/>
  <c r="H222" i="21" s="1"/>
  <c r="R228" i="21"/>
  <c r="R229" i="21" s="1"/>
  <c r="R314" i="21"/>
  <c r="R323" i="21" s="1"/>
  <c r="H224" i="21"/>
  <c r="R27" i="20"/>
  <c r="H322" i="23"/>
  <c r="H27" i="20" s="1"/>
  <c r="Q228" i="22"/>
  <c r="Q229" i="22" s="1"/>
  <c r="Q315" i="22" s="1"/>
  <c r="Q324" i="22" s="1"/>
  <c r="Q23" i="20" s="1"/>
  <c r="Q314" i="22"/>
  <c r="Q323" i="22" s="1"/>
  <c r="Q22" i="20" s="1"/>
  <c r="H227" i="21"/>
  <c r="H313" i="21"/>
  <c r="H313" i="12"/>
  <c r="H227" i="12"/>
  <c r="R92" i="12"/>
  <c r="R89" i="12"/>
  <c r="Q208" i="21"/>
  <c r="Q209" i="21" s="1"/>
  <c r="H209" i="21" s="1"/>
  <c r="H197" i="21"/>
  <c r="H208" i="21" s="1"/>
  <c r="R92" i="21"/>
  <c r="R89" i="21"/>
  <c r="R9" i="20"/>
  <c r="H322" i="21"/>
  <c r="H9" i="20" s="1"/>
  <c r="R314" i="24"/>
  <c r="R323" i="24" s="1"/>
  <c r="R228" i="24"/>
  <c r="R229" i="24" s="1"/>
  <c r="H224" i="24"/>
  <c r="R315" i="21" l="1"/>
  <c r="R324" i="21" s="1"/>
  <c r="H229" i="21"/>
  <c r="H315" i="21" s="1"/>
  <c r="R315" i="24"/>
  <c r="R324" i="24" s="1"/>
  <c r="H229" i="24"/>
  <c r="H315" i="24" s="1"/>
  <c r="R315" i="22"/>
  <c r="R324" i="22" s="1"/>
  <c r="H229" i="22"/>
  <c r="H315" i="22" s="1"/>
  <c r="R315" i="12"/>
  <c r="R324" i="12" s="1"/>
  <c r="H229" i="12"/>
  <c r="H315" i="12" s="1"/>
  <c r="Q167" i="23"/>
  <c r="H314" i="22"/>
  <c r="H228" i="22"/>
  <c r="H314" i="21"/>
  <c r="H228" i="21"/>
  <c r="H314" i="24"/>
  <c r="H228" i="24"/>
  <c r="R10" i="20"/>
  <c r="H323" i="21"/>
  <c r="H10" i="20" s="1"/>
  <c r="R171" i="22"/>
  <c r="R103" i="22"/>
  <c r="R104" i="22" s="1"/>
  <c r="R93" i="22"/>
  <c r="R94" i="22" s="1"/>
  <c r="R99" i="22" s="1"/>
  <c r="R100" i="22" s="1"/>
  <c r="R108" i="22" s="1"/>
  <c r="H314" i="12"/>
  <c r="H228" i="12"/>
  <c r="R28" i="20"/>
  <c r="H323" i="23"/>
  <c r="H28" i="20" s="1"/>
  <c r="R34" i="20"/>
  <c r="H323" i="24"/>
  <c r="H34" i="20" s="1"/>
  <c r="R22" i="20"/>
  <c r="H323" i="22"/>
  <c r="H22" i="20" s="1"/>
  <c r="R93" i="23"/>
  <c r="R94" i="23" s="1"/>
  <c r="R99" i="23" s="1"/>
  <c r="R100" i="23" s="1"/>
  <c r="R108" i="23" s="1"/>
  <c r="R171" i="23"/>
  <c r="R103" i="23"/>
  <c r="R104" i="23" s="1"/>
  <c r="R171" i="12"/>
  <c r="R93" i="12"/>
  <c r="R94" i="12" s="1"/>
  <c r="R99" i="12" s="1"/>
  <c r="R100" i="12" s="1"/>
  <c r="R108" i="12" s="1"/>
  <c r="R103" i="12"/>
  <c r="R104" i="12" s="1"/>
  <c r="Q167" i="21"/>
  <c r="R187" i="23"/>
  <c r="Q166" i="22"/>
  <c r="R187" i="22"/>
  <c r="H314" i="23"/>
  <c r="H228" i="23"/>
  <c r="R16" i="20"/>
  <c r="H323" i="12"/>
  <c r="H16" i="20" s="1"/>
  <c r="R315" i="23"/>
  <c r="R324" i="23" s="1"/>
  <c r="H229" i="23"/>
  <c r="H315" i="23" s="1"/>
  <c r="R171" i="21"/>
  <c r="R93" i="21"/>
  <c r="R94" i="21" s="1"/>
  <c r="R99" i="21" s="1"/>
  <c r="R100" i="21" s="1"/>
  <c r="R108" i="21" s="1"/>
  <c r="R103" i="21"/>
  <c r="R104" i="21" s="1"/>
  <c r="R187" i="21"/>
  <c r="R187" i="12"/>
  <c r="R188" i="12" l="1"/>
  <c r="R109" i="12"/>
  <c r="R188" i="22"/>
  <c r="R109" i="22"/>
  <c r="R188" i="21"/>
  <c r="R109" i="21"/>
  <c r="R188" i="23"/>
  <c r="R109" i="23"/>
  <c r="R17" i="20"/>
  <c r="H324" i="12"/>
  <c r="H17" i="20" s="1"/>
  <c r="F15" i="25" s="1"/>
  <c r="R23" i="20"/>
  <c r="H324" i="22"/>
  <c r="H23" i="20" s="1"/>
  <c r="F16" i="25" s="1"/>
  <c r="R35" i="20"/>
  <c r="H324" i="24"/>
  <c r="H35" i="20" s="1"/>
  <c r="F18" i="25" s="1"/>
  <c r="R29" i="20"/>
  <c r="H324" i="23"/>
  <c r="H29" i="20" s="1"/>
  <c r="F17" i="25" s="1"/>
  <c r="R11" i="20"/>
  <c r="H324" i="21"/>
  <c r="H11" i="20" s="1"/>
  <c r="F14" i="25" s="1"/>
  <c r="R161" i="21" l="1"/>
  <c r="R162" i="21" s="1"/>
  <c r="R189" i="21"/>
  <c r="R116" i="21"/>
  <c r="H109" i="21"/>
  <c r="R189" i="22"/>
  <c r="R161" i="22"/>
  <c r="R162" i="22" s="1"/>
  <c r="R116" i="22"/>
  <c r="H109" i="22"/>
  <c r="R116" i="12"/>
  <c r="R189" i="12"/>
  <c r="R161" i="12"/>
  <c r="R162" i="12" s="1"/>
  <c r="H109" i="12"/>
  <c r="R116" i="23"/>
  <c r="R189" i="23"/>
  <c r="R161" i="23"/>
  <c r="R162" i="23" s="1"/>
  <c r="H109" i="23"/>
  <c r="H161" i="23" l="1"/>
  <c r="H189" i="23"/>
  <c r="H116" i="23"/>
  <c r="R164" i="12"/>
  <c r="R166" i="12" s="1"/>
  <c r="F166" i="12" s="1"/>
  <c r="F15" i="9" s="1"/>
  <c r="H162" i="12"/>
  <c r="H164" i="12" s="1"/>
  <c r="R164" i="23"/>
  <c r="R166" i="23" s="1"/>
  <c r="F166" i="23" s="1"/>
  <c r="F17" i="9" s="1"/>
  <c r="H162" i="23"/>
  <c r="H164" i="23" s="1"/>
  <c r="H161" i="12"/>
  <c r="H189" i="12"/>
  <c r="H116" i="12"/>
  <c r="H161" i="22"/>
  <c r="H189" i="22"/>
  <c r="H116" i="22"/>
  <c r="R164" i="22"/>
  <c r="R166" i="22" s="1"/>
  <c r="F166" i="22" s="1"/>
  <c r="F16" i="9" s="1"/>
  <c r="H162" i="22"/>
  <c r="H164" i="22" s="1"/>
  <c r="H116" i="21"/>
  <c r="H161" i="21"/>
  <c r="H189" i="21"/>
  <c r="R164" i="21"/>
  <c r="R166" i="21" s="1"/>
  <c r="F166" i="21" s="1"/>
  <c r="F14" i="9" s="1"/>
  <c r="F9" i="9" s="1"/>
  <c r="H162" i="21"/>
  <c r="H164" i="21" s="1"/>
  <c r="F2" i="9" l="1"/>
  <c r="F2" i="24"/>
  <c r="F2" i="20"/>
  <c r="F2" i="23"/>
  <c r="F2" i="22"/>
  <c r="F2" i="12"/>
  <c r="F2" i="21"/>
  <c r="F2" i="7"/>
  <c r="F2" i="16"/>
  <c r="F2" i="8"/>
</calcChain>
</file>

<file path=xl/sharedStrings.xml><?xml version="1.0" encoding="utf-8"?>
<sst xmlns="http://schemas.openxmlformats.org/spreadsheetml/2006/main" count="5229" uniqueCount="641">
  <si>
    <t>PR24PD17</t>
  </si>
  <si>
    <t>Date:</t>
  </si>
  <si>
    <t>PR24@ofwat.gov.uk</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</si>
  <si>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</si>
  <si>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</si>
  <si>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</si>
  <si>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</si>
  <si>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</si>
  <si>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</si>
  <si>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</si>
  <si>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</si>
  <si>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</si>
  <si>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</si>
  <si>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</si>
  <si>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</si>
  <si>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</si>
  <si>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</si>
  <si>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</si>
  <si>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</si>
  <si>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</si>
  <si>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</si>
  <si>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</si>
  <si>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</si>
  <si>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</si>
  <si>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</si>
  <si>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</si>
  <si>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</si>
  <si>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</si>
  <si>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</si>
  <si>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</si>
  <si>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</si>
  <si>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</si>
  <si>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</si>
  <si>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</si>
  <si>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</si>
  <si>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</si>
  <si>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</si>
  <si>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</si>
  <si>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</si>
  <si>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</si>
  <si>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</si>
  <si>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</si>
  <si>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</si>
  <si>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</si>
  <si>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</si>
  <si>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</si>
  <si>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</si>
  <si>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</si>
  <si>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</si>
  <si>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</si>
  <si>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chks</t>
  </si>
  <si>
    <t>Checks</t>
  </si>
  <si>
    <t>£</t>
  </si>
  <si>
    <t>Great Britain Pound</t>
  </si>
  <si>
    <t>IRE</t>
  </si>
  <si>
    <t xml:space="preserve">Infrastructure renewal expenditure </t>
  </si>
  <si>
    <t>incl</t>
  </si>
  <si>
    <t>Including</t>
  </si>
  <si>
    <t>m</t>
  </si>
  <si>
    <t>Million</t>
  </si>
  <si>
    <t>WACC</t>
  </si>
  <si>
    <t>Weighted average cost of capital</t>
  </si>
  <si>
    <t>END</t>
  </si>
  <si>
    <t>ASSUMPTIONS</t>
  </si>
  <si>
    <t>CALCULATIONS</t>
  </si>
  <si>
    <t>OUTPUTS</t>
  </si>
  <si>
    <t>Quality Control</t>
  </si>
  <si>
    <t>Model documentation sheet</t>
  </si>
  <si>
    <t>Flags, part period factors (PPFs) and dates</t>
  </si>
  <si>
    <t>Key outputs</t>
  </si>
  <si>
    <t>Explanation of different formatting types</t>
  </si>
  <si>
    <t>RPI and CPIH indexation</t>
  </si>
  <si>
    <t>Table of contents</t>
  </si>
  <si>
    <t>Calculation of true up - Water Resources</t>
  </si>
  <si>
    <t>Validation</t>
  </si>
  <si>
    <t>Values for dropdown list</t>
  </si>
  <si>
    <t>Calculation of true up - Water Network</t>
  </si>
  <si>
    <t>Inputs - row format</t>
  </si>
  <si>
    <t>Calculation of true up - Wastewater Network</t>
  </si>
  <si>
    <t>Calculation of true up - Bio Resources</t>
  </si>
  <si>
    <t>Calculation of true up - Dummy Control</t>
  </si>
  <si>
    <t>Company name</t>
  </si>
  <si>
    <t>Acronym</t>
  </si>
  <si>
    <t>&lt;Select company&gt;</t>
  </si>
  <si>
    <t>Anglian Water</t>
  </si>
  <si>
    <t>ANH</t>
  </si>
  <si>
    <t>Dŵr Cymru</t>
  </si>
  <si>
    <t>WSH</t>
  </si>
  <si>
    <t>Hafren Dyfrdwy</t>
  </si>
  <si>
    <t>HDD</t>
  </si>
  <si>
    <t>Northumbrian Water</t>
  </si>
  <si>
    <t>NES</t>
  </si>
  <si>
    <t>Severn Trent Water</t>
  </si>
  <si>
    <t>SVE</t>
  </si>
  <si>
    <t>Southern Water</t>
  </si>
  <si>
    <t>SRN</t>
  </si>
  <si>
    <t>South West Water</t>
  </si>
  <si>
    <t>SWB</t>
  </si>
  <si>
    <t>Thames Water</t>
  </si>
  <si>
    <t>TMS</t>
  </si>
  <si>
    <t>United Utilities</t>
  </si>
  <si>
    <t>NWT</t>
  </si>
  <si>
    <t>Wessex Water</t>
  </si>
  <si>
    <t>WSX</t>
  </si>
  <si>
    <t>Yorkshire Water</t>
  </si>
  <si>
    <t>YKY</t>
  </si>
  <si>
    <t>Affinity Water</t>
  </si>
  <si>
    <t>AFW</t>
  </si>
  <si>
    <t>Bristol Water</t>
  </si>
  <si>
    <t>BRL</t>
  </si>
  <si>
    <t>Portsmouth Water</t>
  </si>
  <si>
    <t>PRT</t>
  </si>
  <si>
    <t>SES Water</t>
  </si>
  <si>
    <t>SES</t>
  </si>
  <si>
    <t>South East Water</t>
  </si>
  <si>
    <t>SEW</t>
  </si>
  <si>
    <t>South Staffs Water</t>
  </si>
  <si>
    <t>SSC</t>
  </si>
  <si>
    <t>PR24PD17_IN</t>
  </si>
  <si>
    <t>Reference</t>
  </si>
  <si>
    <t>Item description</t>
  </si>
  <si>
    <t>Unit</t>
  </si>
  <si>
    <t>Model</t>
  </si>
  <si>
    <t>2017-18</t>
  </si>
  <si>
    <t>2018-19</t>
  </si>
  <si>
    <t>2019-20</t>
  </si>
  <si>
    <t>2020-21</t>
  </si>
  <si>
    <t>2021-22</t>
  </si>
  <si>
    <t>2022-23</t>
  </si>
  <si>
    <t>2023-24</t>
  </si>
  <si>
    <t>2024-25</t>
  </si>
  <si>
    <t>C_PR24FM01_BB3805AL_PR24</t>
  </si>
  <si>
    <t>Retail price index - for April</t>
  </si>
  <si>
    <t>nr</t>
  </si>
  <si>
    <t>Price Review 2024</t>
  </si>
  <si>
    <t>C_PR24FM01_BB3805MY_PR24</t>
  </si>
  <si>
    <t>Retail price index - for May</t>
  </si>
  <si>
    <t>C_PR24FM01_BB3805JN_PR24</t>
  </si>
  <si>
    <t>Retail price index - for June</t>
  </si>
  <si>
    <t>C_PR24FM01_BB3805JL_PR24</t>
  </si>
  <si>
    <t>Retail price index - for July</t>
  </si>
  <si>
    <t>C_PR24FM01_BB3805AT_PR24</t>
  </si>
  <si>
    <t>Retail price index - for August</t>
  </si>
  <si>
    <t>C_PR24FM01_BB3805SR_PR24</t>
  </si>
  <si>
    <t>Retail price index - for September</t>
  </si>
  <si>
    <t>C_PR24FM01_BB3805OR_PR24</t>
  </si>
  <si>
    <t>Retail price index - for October</t>
  </si>
  <si>
    <t>C_PR24FM01_BB3805NR_PR24</t>
  </si>
  <si>
    <t>Retail price index - for November</t>
  </si>
  <si>
    <t>C_PR24FM01_BB3805DR_PR24</t>
  </si>
  <si>
    <t>Retail price index - for December</t>
  </si>
  <si>
    <t>C_PR24FM01_BB3805JY_PR24</t>
  </si>
  <si>
    <t>Retail price index - for January</t>
  </si>
  <si>
    <t>C_PR24FM01_BB3805FY_PR24</t>
  </si>
  <si>
    <t>Retail price index - for February</t>
  </si>
  <si>
    <t>C_PR24FM01_BB3805MH_PR24</t>
  </si>
  <si>
    <t>Retail price index - for March</t>
  </si>
  <si>
    <t>C_PR24FM_BB3905AL_PR24</t>
  </si>
  <si>
    <t>Ofwat - Consumer price index (including housing costs) - Consumer Price Index (with housing) for April</t>
  </si>
  <si>
    <t>C_PR24FM_BB3905MY_PR24</t>
  </si>
  <si>
    <t>Ofwat - Consumer price index (including housing costs) - Consumer Price Index (with housing) for May</t>
  </si>
  <si>
    <t>C_PR24FM_BB3905JN_PR24</t>
  </si>
  <si>
    <t>Ofwat - Consumer price index (including housing costs) - Consumer Price Index (with housing) for June</t>
  </si>
  <si>
    <t>C_PR24FM_BB3905JL_PR24</t>
  </si>
  <si>
    <t>Ofwat - Consumer price index (including housing costs) - Consumer Price Index (with housing) for July</t>
  </si>
  <si>
    <t>C_PR24FM_BB3905AT_PR24</t>
  </si>
  <si>
    <t>Ofwat - Consumer price index (including housing costs) - Consumer Price Index (with housing) for August</t>
  </si>
  <si>
    <t>C_PR24FM_BB3905SR_PR24</t>
  </si>
  <si>
    <t>Ofwat - Consumer price index (including housing costs) - Consumer Price Index (with housing) for September</t>
  </si>
  <si>
    <t>C_PR24FM_BB3905OR_PR24</t>
  </si>
  <si>
    <t>Ofwat - Consumer price index (including housing costs) - Consumer Price Index (with housing) for October</t>
  </si>
  <si>
    <t>C_PR24FM_BB3905NR_PR24</t>
  </si>
  <si>
    <t>Ofwat - Consumer price index (including housing costs) - Consumer Price Index (with housing) for November</t>
  </si>
  <si>
    <t>C_PR24FM_BB3905DR_PR24</t>
  </si>
  <si>
    <t>Ofwat - Consumer price index (including housing costs) - Consumer Price Index (with housing) for December</t>
  </si>
  <si>
    <t>C_PR24FM_BB3905JY_PR24</t>
  </si>
  <si>
    <t>Ofwat - Consumer price index (including housing costs) - Consumer Price Index (with housing) for January</t>
  </si>
  <si>
    <t>C_PR24FM_BB3905FY_PR24</t>
  </si>
  <si>
    <t>Ofwat - Consumer price index (including housing costs) - Consumer Price Index (with housing) for February</t>
  </si>
  <si>
    <t>C_PR24FM_BB3905MH_PR24</t>
  </si>
  <si>
    <t>Ofwat - Consumer price index (including housing costs) - Consumer Price Index (with housing) for March</t>
  </si>
  <si>
    <t>Override Reason</t>
  </si>
  <si>
    <t>Override Data Source</t>
  </si>
  <si>
    <t>Override Description and Impact</t>
  </si>
  <si>
    <t>Data sourced from</t>
  </si>
  <si>
    <t>Description</t>
  </si>
  <si>
    <t>Constant</t>
  </si>
  <si>
    <t>PR19 Financial model, 'RCV balance summary' sheet cell K23</t>
  </si>
  <si>
    <t>RCV - CPI(H) + RPI wedge initial balance - nominal - WR</t>
  </si>
  <si>
    <t>PR19 Financial model, 'RCV balance summary' sheet cell K93</t>
  </si>
  <si>
    <t>RCV - CPI(H) + RPI wedge initial balance - nominal - WN</t>
  </si>
  <si>
    <t>PR19 Financial model, 'RCV balance summary' sheet cell K163</t>
  </si>
  <si>
    <t>RCV - CPI(H) + RPI wedge initial balance - nominal - WWN</t>
  </si>
  <si>
    <t>PR19 Financial model, 'RCV balance summary' sheet cell K233</t>
  </si>
  <si>
    <t>RCV - CPI(H) + RPI wedge initial balance - nominal - BR</t>
  </si>
  <si>
    <t>PR19 Financial model, 'RCV balance summary' sheet cell K303</t>
  </si>
  <si>
    <t>RCV - CPI(H) + RPI wedge initial balance - nominal - DMMY</t>
  </si>
  <si>
    <t>PR19 Financial model, 'F_OutputsMaster' sheet row 953, PR19FM2090POST</t>
  </si>
  <si>
    <t>Run-off rate - CPI(H) + RPI wedge - active - WR</t>
  </si>
  <si>
    <t>PR19 Financial model, 'F_OutputsMaster' sheet row 956, PR19FM2093POST</t>
  </si>
  <si>
    <t>Run-off rate - CPI(H) + RPI wedge - active - WN</t>
  </si>
  <si>
    <t>PR19 Financial model, 'F_OutputsMaster' sheet row 959, PR19FM2096POST</t>
  </si>
  <si>
    <t>Run-off rate - CPI(H) + RPI wedge - active - WWN</t>
  </si>
  <si>
    <t>PR19 Financial model, 'F_OutputsMaster' sheet row 962, PR19FM2099POST</t>
  </si>
  <si>
    <t>Run-off rate - CPI(H) + RPI wedge - active - BR</t>
  </si>
  <si>
    <t>PR19 Financial model, 'F_OutputsMaster' sheet row 966, PR19FM2103POST</t>
  </si>
  <si>
    <t>Run-off rate - CPI(H) + RPI wedge - active - DMMY</t>
  </si>
  <si>
    <t>PR19 Financial model, 'Water Resources' sheet row 980</t>
  </si>
  <si>
    <t>WACC on RCV - CPI(H) + RPI wedge bf and additions - WR</t>
  </si>
  <si>
    <t>PR19 Financial model, 'Water Network' sheet row 980</t>
  </si>
  <si>
    <t>WACC on RCV - CPI(H) + RPI wedge bf and additions - WN</t>
  </si>
  <si>
    <t>PR19 Financial model, 'Wastewater Network' sheet row 980</t>
  </si>
  <si>
    <t>WACC on RCV - CPI(H) + RPI wedge bf and additions - WWN</t>
  </si>
  <si>
    <t>PR19 Financial model, 'Bio Resources' sheet row 980</t>
  </si>
  <si>
    <t>WACC on RCV - CPI(H) + RPI wedge bf and additions - BR</t>
  </si>
  <si>
    <t>PR19 Financial model, 'Dummy Control' sheet row 980</t>
  </si>
  <si>
    <t>WACC on RCV - CPI(H) + RPI wedge bf and additions - DMMY</t>
  </si>
  <si>
    <t>PR19 Financial model, 'Water Resources' sheet row 860</t>
  </si>
  <si>
    <t>WACC real on RCV - CPI(H) bf and additions - WR</t>
  </si>
  <si>
    <t>PR19 Financial model, 'Water Network' sheet row 860</t>
  </si>
  <si>
    <t>WACC real on RCV - CPI(H) bf and additions - WN</t>
  </si>
  <si>
    <t>PR19 Financial model, 'Wastewater Network' sheet row 860</t>
  </si>
  <si>
    <t>WACC real on RCV - CPI(H) bf and additions - WWN</t>
  </si>
  <si>
    <t>PR19 Financial model, 'Bio Resources' sheet row 860</t>
  </si>
  <si>
    <t>WACC real on RCV - CPI(H) bf and additions - BR</t>
  </si>
  <si>
    <t>PR19 Financial model, 'Dummy Control' sheet row 860</t>
  </si>
  <si>
    <t>WACC real on RCV - CPI(H) bf and additions - DMMY</t>
  </si>
  <si>
    <t>PR24PD24_PR19BYRUN2</t>
  </si>
  <si>
    <t>Run on 02 Apr 2024 10:39</t>
  </si>
  <si>
    <t>Company Acronym</t>
  </si>
  <si>
    <t>Item Code</t>
  </si>
  <si>
    <t>Item Description</t>
  </si>
  <si>
    <t>Item Unit</t>
  </si>
  <si>
    <t>Item Table Suite</t>
  </si>
  <si>
    <t>PR19 application</t>
  </si>
  <si>
    <t>BYRun2: Blind Year FD</t>
  </si>
  <si>
    <t>C_APP27048_PR19PD016</t>
  </si>
  <si>
    <t>ODI end of period RCV adjustment ~ Water resources at 2017-18 FYA CPIH deflated price base - BY Adjustment</t>
  </si>
  <si>
    <t>£m</t>
  </si>
  <si>
    <t>Price Review 2019</t>
  </si>
  <si>
    <t/>
  </si>
  <si>
    <t>C_APP27049_PR19PD016</t>
  </si>
  <si>
    <t>ODI end of period RCV adjustment  ~ Water network plus at 2017-18 FYA CPIH deflated price base - BY Adjustment</t>
  </si>
  <si>
    <t>C_APP27050_PR19PD016</t>
  </si>
  <si>
    <t>ODI end of period RCV adjustment ~ Wastewater network plus - BY Adjustment at 2017-18 FYA CPIH deflated price base</t>
  </si>
  <si>
    <t>C_APP27051_PR19PD016</t>
  </si>
  <si>
    <t>ODI end of period RCV adjustment  ~ Thames Tideway at 2017-18 FYA CPIH deflated price base - BY Adjustment</t>
  </si>
  <si>
    <t>C_WS15027_PR19PD016</t>
  </si>
  <si>
    <t>Water: Totex menu RCV adjustment at 2017-18 FYA CPIH deflated price base - BY Adjustment</t>
  </si>
  <si>
    <t>C_WWS15022_PR19PD016</t>
  </si>
  <si>
    <t>Wastewater: Totex menu RCV adjustment - BY adjustment at 2017-18 FYA CPIH deflated price base</t>
  </si>
  <si>
    <t>C_WWS15022DMMY_PR19PD016</t>
  </si>
  <si>
    <t>Dummy ~ Totex menu RCV adjustment at 2017-18 FYA CPIH deflated price base - BY Adjustment</t>
  </si>
  <si>
    <t>C_A7011W_PR19PD016</t>
  </si>
  <si>
    <t>Water ~ NPV effect of 50% of proceeds from disposals of interest in land at 2017-18 FYA CPIH deflated price base - BY Adjustment</t>
  </si>
  <si>
    <t>C_A7011WW_PR19PD016</t>
  </si>
  <si>
    <t>Wastewater ~ NPV effect of 50% of proceeds from disposals of interest in land - BY Adjustment at 2017-18 FYA CPIH deflated price base</t>
  </si>
  <si>
    <t>C_A7011DMMY_PR19PD016</t>
  </si>
  <si>
    <t>Dummy: NPV effect of 100% of proceeds from disposals of interest in land at 2017-18 FYA CPIH deflated price base - BY Adjustment</t>
  </si>
  <si>
    <t>C402_PR19PD016</t>
  </si>
  <si>
    <t>2019-20 RPI-CPIH wedge adjustment at 2017-18 FYA CPIH prices - WR</t>
  </si>
  <si>
    <t>C403_PR19PD016</t>
  </si>
  <si>
    <t>2019-20 RPI-CPIH wedge adjustment at 2017-18 FYA CPIH prices - WN</t>
  </si>
  <si>
    <t>C412_PR19PD016</t>
  </si>
  <si>
    <t>2019-20 RPI-CPIH wedge adjustment at 2017-18 FYA CPIH prices - WWN</t>
  </si>
  <si>
    <t>C413_PR19PD016</t>
  </si>
  <si>
    <t>2019-20 RPI-CPIH wedge adjustment at 2017-18 FYA CPIH prices - BR</t>
  </si>
  <si>
    <t>C422_PR19PD016</t>
  </si>
  <si>
    <t>2019-20 RPI-CPIH wedge adjustment at 2017-18 FYA CPIH prices - Dummy</t>
  </si>
  <si>
    <t>C030_PR19PD016</t>
  </si>
  <si>
    <t>Water ~ Other adjustment to wholesale RCV - Difference at 2017-18 FYA CPIH deflated price base - BY Adjustment</t>
  </si>
  <si>
    <t>C040_PR19PD016</t>
  </si>
  <si>
    <t>Wastewater ~ Other adjustment to wholesale RCV - BY Adjustment at 2017-18 FYA CPIH deflated price base</t>
  </si>
  <si>
    <t>C050_PR19PD016</t>
  </si>
  <si>
    <t>Dummy other RCV adjustment at 2017-18 FYA CPIH deflated price base - BY Adjustment</t>
  </si>
  <si>
    <t>C_APP8022WR_PR19PD016</t>
  </si>
  <si>
    <t>Water resources IFRS16 RCV adjustment - BY Adjustment at 2017-18 FYA CPIH deflated price base</t>
  </si>
  <si>
    <t>C_APP8022WN_PR19PD016</t>
  </si>
  <si>
    <t>Water network plus IFRS16 RCV adjustment - BY Adjustment at 2017-18 FYA CPIH deflated price base</t>
  </si>
  <si>
    <t>C_APP8022WWN_PR19PD016</t>
  </si>
  <si>
    <t>Wastewater network plus IFRS16 RCV adjustment - BY Adjustment at 2017-18 FYA CPIH deflated price base</t>
  </si>
  <si>
    <t>C_APP8022BIO_PR19PD016</t>
  </si>
  <si>
    <t>Bioresources IFRS16 RCV adjustment - BY Adjustment at 2017-18 FYA CPIH deflated price base</t>
  </si>
  <si>
    <t>C_APP8022DMMY_PR19PD016</t>
  </si>
  <si>
    <t>Dummy IFRS16 RCV adjustment - BY adjustment at 2017-18 FYA CPIH deflated price base</t>
  </si>
  <si>
    <t>SWB = SWT + BWH</t>
  </si>
  <si>
    <t>SWT</t>
  </si>
  <si>
    <t>BWH</t>
  </si>
  <si>
    <t>Error chks</t>
  </si>
  <si>
    <t>Total</t>
  </si>
  <si>
    <t>TIME</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</si>
  <si>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</si>
  <si>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</si>
  <si>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</si>
  <si>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</si>
  <si>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</si>
  <si>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</si>
  <si>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</si>
  <si>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</si>
  <si>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</si>
  <si>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</si>
  <si>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</si>
  <si>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</si>
  <si>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</si>
  <si>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PR19 RPI and CPIH inflation assumptions</t>
  </si>
  <si>
    <t>RPI - final determination</t>
  </si>
  <si>
    <t>RPI: April - index - final determination</t>
  </si>
  <si>
    <t>index</t>
  </si>
  <si>
    <t>RPI: May - index - final determination</t>
  </si>
  <si>
    <t>RPI: June - index - final determination</t>
  </si>
  <si>
    <t>RPI: July - index - final determination</t>
  </si>
  <si>
    <t>RPI: August - index - final determination</t>
  </si>
  <si>
    <t>RPI: September - index - final determination</t>
  </si>
  <si>
    <t>RPI: October - index - final determination</t>
  </si>
  <si>
    <t>RPI: November - index - final determination</t>
  </si>
  <si>
    <t>RPI: December - index - final determination</t>
  </si>
  <si>
    <t>RPI: January - index - final determination</t>
  </si>
  <si>
    <t>RPI: February - index - final determination</t>
  </si>
  <si>
    <t>RPI: March - index - final determination</t>
  </si>
  <si>
    <t>CPI(H) - final determination</t>
  </si>
  <si>
    <t>CPI(H): April - index - final determination</t>
  </si>
  <si>
    <t>CPI(H): May - index - final determination</t>
  </si>
  <si>
    <t>CPI(H): June - index - final determination</t>
  </si>
  <si>
    <t>CPI(H): July - index - final determination</t>
  </si>
  <si>
    <t>CPI(H): August - index - final determination</t>
  </si>
  <si>
    <t>CPI(H): September - index - final determination</t>
  </si>
  <si>
    <t>CPI(H): October - index - final determination</t>
  </si>
  <si>
    <t>CPI(H): November - index - final determination</t>
  </si>
  <si>
    <t>CPI(H): December - index - final determination</t>
  </si>
  <si>
    <t>CPI(H): January - index - final determination</t>
  </si>
  <si>
    <t>CPI(H): February - index - final determination</t>
  </si>
  <si>
    <t>CPI(H): March - index - final determination</t>
  </si>
  <si>
    <t>RPI and CPIH outturn and PR24 assumptions</t>
  </si>
  <si>
    <t>RPI - outturn</t>
  </si>
  <si>
    <t>RPI: April - index - actual (including forecast)</t>
  </si>
  <si>
    <t>RPI: May - index - actual (including forecast)</t>
  </si>
  <si>
    <t>RPI: June - index - actual (including forecast)</t>
  </si>
  <si>
    <t>RPI: July - index - actual (including forecast)</t>
  </si>
  <si>
    <t>RPI: August - index - actual (including forecast)</t>
  </si>
  <si>
    <t>RPI: September - index - actual (including forecast)</t>
  </si>
  <si>
    <t>RPI: October - index - actual (including forecast)</t>
  </si>
  <si>
    <t>RPI: November - index - actual (including forecast)</t>
  </si>
  <si>
    <t>RPI: December - index - actual (including forecast)</t>
  </si>
  <si>
    <t>RPI: January - index - actual (including forecast)</t>
  </si>
  <si>
    <t>RPI: February - index - actual (including forecast)</t>
  </si>
  <si>
    <t>RPI: March - index - actual (including forecast)</t>
  </si>
  <si>
    <t>CPI(H) - outturn</t>
  </si>
  <si>
    <t>CPI(H): April - index - actual (including forecast)</t>
  </si>
  <si>
    <t>CPI(H): May - index - actual (including forecast)</t>
  </si>
  <si>
    <t>CPI(H): June - index - actual (including forecast)</t>
  </si>
  <si>
    <t>CPI(H): July - index - actual (including forecast)</t>
  </si>
  <si>
    <t>CPI(H): August - index - actual (including forecast)</t>
  </si>
  <si>
    <t>CPI(H): September - index - actual (including forecast)</t>
  </si>
  <si>
    <t>CPI(H): October - index - actual (including forecast)</t>
  </si>
  <si>
    <t>CPI(H): November - index - actual (including forecast)</t>
  </si>
  <si>
    <t>CPI(H): December - index - actual (including forecast)</t>
  </si>
  <si>
    <t>CPI(H): January - index - actual (including forecast)</t>
  </si>
  <si>
    <t>CPI(H): February - index - actual (including forecast)</t>
  </si>
  <si>
    <t>CPI(H): March - index - actual (including forecast)</t>
  </si>
  <si>
    <t>Financing cost index</t>
  </si>
  <si>
    <t>Company specific inputs</t>
  </si>
  <si>
    <t>Text</t>
  </si>
  <si>
    <t>Ofwat company acronym</t>
  </si>
  <si>
    <t>2020 RCV RPI inflated - initial balance - nominal</t>
  </si>
  <si>
    <t>2020 RCV RPI inflated - run-off rate</t>
  </si>
  <si>
    <t>%</t>
  </si>
  <si>
    <t>Real RPI based wholesale WACC</t>
  </si>
  <si>
    <t>Real CPIH based wholesale WACC</t>
  </si>
  <si>
    <t>2019-20 RPI-CPIH wedge RCV at 2017-18 FYA CPIH prices</t>
  </si>
  <si>
    <t>Model parameters</t>
  </si>
  <si>
    <t>Model Tolerance</t>
  </si>
  <si>
    <t>Model Check Tolerance Level</t>
  </si>
  <si>
    <t>tolerance</t>
  </si>
  <si>
    <t>Track Tolerance Level</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</si>
  <si>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</si>
  <si>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</si>
  <si>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</si>
  <si>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</si>
  <si>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</si>
  <si>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</si>
  <si>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</si>
  <si>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</si>
  <si>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</si>
  <si>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</si>
  <si>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</si>
  <si>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</si>
  <si>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</si>
  <si>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</si>
  <si>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</si>
  <si>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</si>
  <si>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</si>
  <si>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</si>
  <si>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</si>
  <si>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</si>
  <si>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</si>
  <si>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</si>
  <si>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</si>
  <si>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</si>
  <si>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</si>
  <si>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</si>
  <si>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</si>
  <si>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</si>
  <si>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</si>
  <si>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</si>
  <si>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</si>
  <si>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</si>
  <si>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</si>
  <si>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</si>
  <si>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FINANCIAL YEAR</t>
  </si>
  <si>
    <t>Financial Year Ending</t>
  </si>
  <si>
    <t>year #</t>
  </si>
  <si>
    <t>FINAL DETERMINATION ASSUMPTIONS</t>
  </si>
  <si>
    <t>RPI: Financial year average - index - final determination</t>
  </si>
  <si>
    <t>RPI: Fin year average - percentage increase - final determination</t>
  </si>
  <si>
    <t>RPI Growth from 2019-20 FYE to 2020-21 FYA - final determination</t>
  </si>
  <si>
    <t>CPI(H): Financial year average - index - final determination</t>
  </si>
  <si>
    <t>CPI(H): Fin year average - inflate from base year 2017-18 average - final determination</t>
  </si>
  <si>
    <t>CPI(H): Fin year average - percentage increase - final determination</t>
  </si>
  <si>
    <t>CPIH Growth from 2019-20 FYE to 2020-21 FYA - final determination</t>
  </si>
  <si>
    <t>Wedge between RPI and CPIH 2020-21 - final determination</t>
  </si>
  <si>
    <t>Indexation - final determination</t>
  </si>
  <si>
    <t>CPI(H) + RPI wedge 2020-21 percentage movement - final determination</t>
  </si>
  <si>
    <t>RPI: Fin year average - percentage increase - final determination active</t>
  </si>
  <si>
    <t>Forecast RPI/CPIH wedge - final determination</t>
  </si>
  <si>
    <t>OUTTURN INFLATION</t>
  </si>
  <si>
    <t>RPI: Financial year average - index - actual (including forecast)</t>
  </si>
  <si>
    <t>RPI: Fin year average - percentage increase - actual (including forecast)</t>
  </si>
  <si>
    <t>RPI Growth from 2019-20 FYE to 2020-21 FYA - actual (including forecast)</t>
  </si>
  <si>
    <t>CPI(H): Financial year average - index - actual (including forecast)</t>
  </si>
  <si>
    <t>CPI(H): Fin year average - inflate from base year 2017-18 average - actual (including forecast)</t>
  </si>
  <si>
    <t>CPI(H): Fin year average - percentage increase - actual (including forecast)</t>
  </si>
  <si>
    <t>CPIH Growth from 2019-20 FYE to 2020-21 FYA - actual (including forecast)</t>
  </si>
  <si>
    <t>Wedge between RPI and CPIH 2020-21 - actual (including forecast)</t>
  </si>
  <si>
    <t>CPI(H) + RPI wedge 2020-21 percentage movement - actual (including forecast)</t>
  </si>
  <si>
    <t>RPI: Fin year average - percentage increase - actual (including forecast) active</t>
  </si>
  <si>
    <t>Actual RPI/CPIH wedge - actual (including forecast)</t>
  </si>
  <si>
    <t>FORECAST POSITION AT PR19 FINAL DETERMINATION</t>
  </si>
  <si>
    <t>This section replicates the RCV calculations in the PR19 final determination financial model.</t>
  </si>
  <si>
    <t>Forecast inflation</t>
  </si>
  <si>
    <t>Forecast Indexation percentage</t>
  </si>
  <si>
    <t>Cumulative CPIH inflation</t>
  </si>
  <si>
    <t>Forecast RCV balance</t>
  </si>
  <si>
    <t>Forecast RCV indexation</t>
  </si>
  <si>
    <t>Forecast RCV run-off</t>
  </si>
  <si>
    <t>Forecast Nominal RCV balance BEG</t>
  </si>
  <si>
    <t>Plus:</t>
  </si>
  <si>
    <t>Less:</t>
  </si>
  <si>
    <t>Forecast Nominal RCV balance END</t>
  </si>
  <si>
    <t>Forecast RCV average balance</t>
  </si>
  <si>
    <t>Forecast return on RCV</t>
  </si>
  <si>
    <t>Forecast nominal return</t>
  </si>
  <si>
    <t>Forecast total revenue</t>
  </si>
  <si>
    <t>Total Forecast revenue to company</t>
  </si>
  <si>
    <t>What the company actually experienced</t>
  </si>
  <si>
    <t>This section calculates the revenue that the company actually receives.</t>
  </si>
  <si>
    <t>The CPIH + K mechanism in the licence is designed to compensate companies for varitions in actual and forecast CPIH.</t>
  </si>
  <si>
    <t>The model therefore assumes that forecast and actual CPIH are identical so that the impact of variations in the CPIH RPI wedge can be viewed.</t>
  </si>
  <si>
    <t>Actual nominal revenue</t>
  </si>
  <si>
    <t>WHAT THE COMPANY SHOULD HAVE EXPERIENCED</t>
  </si>
  <si>
    <t>This section calculates the revenue that the company should have been allowed, assuming that Ofwat had perfect foresight of the actual RPI CPIH wedge.</t>
  </si>
  <si>
    <t>RCV balance based on actual wedge</t>
  </si>
  <si>
    <t>Actual RCV indexation - nominal</t>
  </si>
  <si>
    <t>RCV run-off company should have received - nominal</t>
  </si>
  <si>
    <t>RCV - CPI(H) + RPI wedge initial balance adjusted for actual inflation - nominal - WR</t>
  </si>
  <si>
    <t>Actual Nominal RCV balance BEG</t>
  </si>
  <si>
    <t>Actual Nominal RCV balance END</t>
  </si>
  <si>
    <t>Actual average RCV balance</t>
  </si>
  <si>
    <t>RCV returns based on actual wedge</t>
  </si>
  <si>
    <t>Nominal return company should have received</t>
  </si>
  <si>
    <t>Actual Nominal RCV residual balance</t>
  </si>
  <si>
    <t>Revenue based on actual wedge</t>
  </si>
  <si>
    <t>Total nominal revenue company should have received</t>
  </si>
  <si>
    <t>DIFFERENCE</t>
  </si>
  <si>
    <t>This section compares the actual revenue the company received with the revenue Ofwat would have allowed if it had perfect foresight of the RPI CPIH wedge.</t>
  </si>
  <si>
    <t>Difference in nominal revenue</t>
  </si>
  <si>
    <t>TRUE UP</t>
  </si>
  <si>
    <t>This section works out the value of the true up to be applied.</t>
  </si>
  <si>
    <t>The CPIH + K mechanism in the licence is designed to adjust revenues for changes in CPIH from forecast.</t>
  </si>
  <si>
    <t>The true up mechanism therefore does not need to do this. Forecast CPIH, rather than actual CPIH should therefore be used in when applying the true up.</t>
  </si>
  <si>
    <t>True up Indexation percentage</t>
  </si>
  <si>
    <t>True up RCV indexation</t>
  </si>
  <si>
    <t>True up Nominal RCV run-off</t>
  </si>
  <si>
    <t>True up Nominal RCV balance BEG</t>
  </si>
  <si>
    <t>True up Nominal RCV balance END</t>
  </si>
  <si>
    <t>True up Nominal RCV average balance</t>
  </si>
  <si>
    <t>True up Nominal return</t>
  </si>
  <si>
    <t>Total True up Nominal revenue to company</t>
  </si>
  <si>
    <t>Value of True up nominal</t>
  </si>
  <si>
    <t>True-up correctly calculates revenue adjustment</t>
  </si>
  <si>
    <t>RCV expressed in real terms</t>
  </si>
  <si>
    <t>Forecast RCV balance END - real</t>
  </si>
  <si>
    <t>Actual RCV balance END - real</t>
  </si>
  <si>
    <t>Difference RCV balance END - real</t>
  </si>
  <si>
    <t>RCV adjustment at end of period - real - WR</t>
  </si>
  <si>
    <t>Revenue expressed in real terms and with time value of money adjustment applied</t>
  </si>
  <si>
    <t>Value of True up run-off - real</t>
  </si>
  <si>
    <t>Value of True up return - real</t>
  </si>
  <si>
    <t>Value of True up total - real</t>
  </si>
  <si>
    <t>Time value of money factors</t>
  </si>
  <si>
    <t xml:space="preserve">Time value of money factor </t>
  </si>
  <si>
    <t>Factor</t>
  </si>
  <si>
    <t>Revenue adjustment for run-off</t>
  </si>
  <si>
    <t>Revenue adjustment for RCV run-off - real - WR</t>
  </si>
  <si>
    <t>Revenue adjustment for return</t>
  </si>
  <si>
    <t>Revenue adjustment for return - real -WR</t>
  </si>
  <si>
    <t>Revenue adjustment for run-off and return</t>
  </si>
  <si>
    <t>Revenue adjustment - real - WR</t>
  </si>
  <si>
    <t>REVENUE ASSOCIATED WITH 2019-20 RPI-CPIH WEDGE ADJUSTMENT</t>
  </si>
  <si>
    <t>This section works out the value of the revenue associated with the 2019-20 RPI-CPIH wedge.</t>
  </si>
  <si>
    <t>The revenue associated with 2019-20 RPI-CPIH wegde therefore does not need to do this. Forecast CPIH, rather than actual CPIH should therefore be used.</t>
  </si>
  <si>
    <t>2019-20 wedge RCV indexation</t>
  </si>
  <si>
    <t>2019-20 wedge Nominal RCV run-off</t>
  </si>
  <si>
    <t>CPI(H): Inflate from 2027-18 FYA to 2019-20 FYE</t>
  </si>
  <si>
    <t>2019-20 RPI-CPIH wedge adjustment - nominal - WN</t>
  </si>
  <si>
    <t>2019-20 wedge Nominal RCV balance BEG</t>
  </si>
  <si>
    <t>[intentionally left blank]</t>
  </si>
  <si>
    <t>2019-20 wedge Nominal RCV balance END</t>
  </si>
  <si>
    <t>2019-20 wedge Nominal RCV average balance</t>
  </si>
  <si>
    <t>2019-20 wedge Nominal return</t>
  </si>
  <si>
    <t>Total 2019-20 wedge Nominal revenue to company</t>
  </si>
  <si>
    <t>2019-20 wedge RCV run-off - real</t>
  </si>
  <si>
    <t>2019-20 wedge return - real</t>
  </si>
  <si>
    <t>Total 2019-20 wedge revenue to company - real</t>
  </si>
  <si>
    <t>Revenue adjustment for 2019-20 wedge run-off - real - WR</t>
  </si>
  <si>
    <t>Revenue adjustment for 2019-20 wedge return - real -WR</t>
  </si>
  <si>
    <t>Revenue adjustment for 2019-20 wedge - real - WR</t>
  </si>
  <si>
    <t>TOTAL REVENUE ADJUSTMENT</t>
  </si>
  <si>
    <t>True up</t>
  </si>
  <si>
    <t>2019-20 wedge adjustment</t>
  </si>
  <si>
    <t>Revenue adjustment for RCV run-off total - real - WR</t>
  </si>
  <si>
    <t>Revenue adjustment for return total - real -WR</t>
  </si>
  <si>
    <t>Revenue adjustment total - real - WR</t>
  </si>
  <si>
    <t>RCV - CPI(H) + RPI wedge initial balance adjusted for actual inflation - nominal - WN</t>
  </si>
  <si>
    <t>RCV adjustment at end of period - real -WN</t>
  </si>
  <si>
    <t>Revenue adjustment for RCV run-off - real - WN</t>
  </si>
  <si>
    <t>Revenue adjustment for return - real - WN</t>
  </si>
  <si>
    <t>Revenue adjustment - real - WN</t>
  </si>
  <si>
    <t>2019-20 wedge Indexation percentage</t>
  </si>
  <si>
    <t>Revenue adjustment for 2019-20 wedge run-off - real - WN</t>
  </si>
  <si>
    <t>Revenue adjustment for 2019-20 wedge return - real - WN</t>
  </si>
  <si>
    <t>Revenue adjustment for 2019-20 wedge - real - WN</t>
  </si>
  <si>
    <t>Revenue adjustment for RCV run-off total - real - WN</t>
  </si>
  <si>
    <t>Revenue adjustment for return total - real - WN</t>
  </si>
  <si>
    <t>Revenue adjustment total - real - WN</t>
  </si>
  <si>
    <t>RCV adjustment at end of period - real - WWN</t>
  </si>
  <si>
    <t>Revenue adjustment for RCV run-off - real - WWN</t>
  </si>
  <si>
    <t>Revenue adjustment for return - real - WWN</t>
  </si>
  <si>
    <t>Revenue adjustment - real - WWN</t>
  </si>
  <si>
    <t>2019-20 RPI-CPIH wedge adjustment - nominal - WWN</t>
  </si>
  <si>
    <t>Revenue adjustment for 2019-20 wedge run-off - real - WWN</t>
  </si>
  <si>
    <t>Revenue adjustment for 2019-20 wedge return - real - WWN</t>
  </si>
  <si>
    <t>Revenue adjustment for 2019-20 wedge - real - WWN</t>
  </si>
  <si>
    <t>Revenue adjustment for RCV run-off total - real - WWN</t>
  </si>
  <si>
    <t>Revenue adjustment for return total - real - WWN</t>
  </si>
  <si>
    <t>Revenue adjustment total - real - WWN</t>
  </si>
  <si>
    <t>RCV - CPI(H) + RPI wedge initial balance adjusted for actual inflation - nominal - BR</t>
  </si>
  <si>
    <t>RCV adjustment at end of period - real - BR</t>
  </si>
  <si>
    <t>Revenue adjustment for RCV run-off - real - BR</t>
  </si>
  <si>
    <t>Revenue adjustment for return - real - BR</t>
  </si>
  <si>
    <t>Revenue adjustment - real - BR</t>
  </si>
  <si>
    <t>2019-20 RPI-CPIH wedge adjustment - nominal - BR</t>
  </si>
  <si>
    <t>Revenue adjustment for 2019-20 wedge run-off - real - BR</t>
  </si>
  <si>
    <t>Revenue adjustment for 2019-20 wedge return - real - BR</t>
  </si>
  <si>
    <t>Revenue adjustment for 2019-20 wedge - real - BR</t>
  </si>
  <si>
    <t>Revenue adjustment for RCV run-off total - real - BR</t>
  </si>
  <si>
    <t>Revenue adjustment for return total - real - BR</t>
  </si>
  <si>
    <t>Revenue adjustment total - real - BR</t>
  </si>
  <si>
    <t>RCV adjustment at end of period - real - DMMY</t>
  </si>
  <si>
    <t>Revenue adjustment for RCV run-off - real - DMMY</t>
  </si>
  <si>
    <t>Revenue adjustment for return - real - DMMY</t>
  </si>
  <si>
    <t>Revenue adjustment - real - DMMY</t>
  </si>
  <si>
    <t>2019-20 RPI-CPIH wedge adjustment - nominal - Dummy</t>
  </si>
  <si>
    <t>Revenue adjustment for 2019-20 wedge run-off - real - DMMY</t>
  </si>
  <si>
    <t>Revenue adjustment for 2019-20 wedge return - real - DMMY</t>
  </si>
  <si>
    <t>Revenue adjustment for 2019-20 wedge - real - DMMY</t>
  </si>
  <si>
    <t>Revenue adjustment for RCV run-off total - real - DMMY</t>
  </si>
  <si>
    <t>Revenue adjustment for return total - real - DMMY</t>
  </si>
  <si>
    <t>Revenue adjustment total - real - DMMY</t>
  </si>
  <si>
    <t>Water Resources</t>
  </si>
  <si>
    <t>Water Network</t>
  </si>
  <si>
    <t>Wastewater Network</t>
  </si>
  <si>
    <t>Bio Resources</t>
  </si>
  <si>
    <t>Dummy Control</t>
  </si>
  <si>
    <t>CHECK SUMMARY</t>
  </si>
  <si>
    <t>Total Checks</t>
  </si>
  <si>
    <t xml:space="preserve">check </t>
  </si>
  <si>
    <t>[do not delete this row]</t>
  </si>
  <si>
    <t>[range start]</t>
  </si>
  <si>
    <t>[range ends]</t>
  </si>
  <si>
    <t>[Fountain will populate this cell with the report name. Keep this placeholder here]</t>
  </si>
  <si>
    <t>[Fountain will put a date and timestamp here]</t>
  </si>
  <si>
    <t>PR24QA_PR24PD17_OUT1</t>
  </si>
  <si>
    <t>Date &amp; Time for Model - PR24PD17</t>
  </si>
  <si>
    <t>PR24QA_PR24PD17_OUT2</t>
  </si>
  <si>
    <t>Name of Model - PR24PD17</t>
  </si>
  <si>
    <t>PR24QA_PR24PD17_OUT3</t>
  </si>
  <si>
    <t>F_Inputs time stamp - PR24PD17</t>
  </si>
  <si>
    <t>PR24QA_PR24PD17_OUT4</t>
  </si>
  <si>
    <t>Model override switch for - PR24PD17</t>
  </si>
  <si>
    <t>C_PR24PD17_PD11_15WR_PR24</t>
  </si>
  <si>
    <t xml:space="preserve">PR19 RPI-CPIH wedge RCV adjustment in 2017-18 FYA (CPIH deflated) prices (WR) </t>
  </si>
  <si>
    <t>C_PR24PD17_PD11_15WN_PR24</t>
  </si>
  <si>
    <t xml:space="preserve">PR19 RPI-CPIH wedge RCV adjustment in 2017-18 FYA (CPIH deflated) prices (WN) </t>
  </si>
  <si>
    <t>C_PR24PD17_PD11_15WWN_PR24</t>
  </si>
  <si>
    <t xml:space="preserve">PR19 RPI-CPIH wedge RCV adjustment in 2017-18 FYA (CPIH deflated) prices (WWN) </t>
  </si>
  <si>
    <t>C_PR24PD17_PD11_15BIO_PR24</t>
  </si>
  <si>
    <t xml:space="preserve">PR19 RPI-CPIH wedge RCV adjustment in 2017-18 FYA (CPIH deflated) prices (BR) </t>
  </si>
  <si>
    <t>C_PR24PD17_PD11_15ADDN1_PR24</t>
  </si>
  <si>
    <t xml:space="preserve">PR19 RPI-CPIH wedge RCV adjustment in 2017-18 FYA (CPIH deflated) prices (ADDN1) </t>
  </si>
  <si>
    <t>C_PR24PD17_PD11_15ADDN2_PR24</t>
  </si>
  <si>
    <t xml:space="preserve">PR19 RPI-CPIH wedge RCV adjustment in 2017-18 FYA (CPIH deflated) prices (ADDN2) </t>
  </si>
  <si>
    <t>C_PR24PD17_PD12_30WR_PR24</t>
  </si>
  <si>
    <t xml:space="preserve">PR19 RPI-CPIH wedge revenue adjustment in 2017-18 FYA (CPIH deflated) prices (WR) </t>
  </si>
  <si>
    <t>C_PR24PD17_PD12_30WN_PR24</t>
  </si>
  <si>
    <t xml:space="preserve">PR19 RPI-CPIH wedge revenue adjustment in 2017-18 FYA (CPIH deflated) prices (WN) </t>
  </si>
  <si>
    <t>C_PR24PD17_PD12_30WWN_PR24</t>
  </si>
  <si>
    <t xml:space="preserve">PR19 RPI-CPIH wedge revenue adjustment in 2017-18 FYA (CPIH deflated) prices (WWN) </t>
  </si>
  <si>
    <t>C_PR24PD17_PD12_30BIO_PR24</t>
  </si>
  <si>
    <t xml:space="preserve">PR19 RPI-CPIH wedge revenue adjustment in 2017-18 FYA (CPIH deflated) prices (BR) </t>
  </si>
  <si>
    <t>C_PR24PD17_PD12_30ADDN1_PR24</t>
  </si>
  <si>
    <t xml:space="preserve">PR19 RPI-CPIH wedge revenue adjustment in 2017-18 FYA (CPIH deflated) prices (ADDN1) </t>
  </si>
  <si>
    <t>C_PR24PD17_PD12_30ADDN2_PR24</t>
  </si>
  <si>
    <t xml:space="preserve">PR19 RPI-CPIH wedge revenue adjustment in 2017-18 FYA (CPIH deflated) prices (ADDN2) </t>
  </si>
  <si>
    <t>Run on 13 Aug 2025 14:50</t>
  </si>
  <si>
    <t>PR24 RPI-CPIH wedge true up model</t>
  </si>
  <si>
    <t>Model code</t>
  </si>
  <si>
    <t>Version number:</t>
  </si>
  <si>
    <t>File name:</t>
  </si>
  <si>
    <t>For enquiries please contact:</t>
  </si>
  <si>
    <t>Sheet(s) in current model</t>
  </si>
  <si>
    <t>Description of change(s) made</t>
  </si>
  <si>
    <t>Model link(s)</t>
  </si>
  <si>
    <t xml:space="preserve">Below are details of changes to the model from the previously published version (November 2024) for the final determination. </t>
  </si>
  <si>
    <t xml:space="preserve">The changes address issues that have been identified when reconciling RCV balances to the RCV indexation annual update. Further details of these can be found in the blind year overview document.  </t>
  </si>
  <si>
    <t>For clarity these lines have been highlighted in yellow.</t>
  </si>
  <si>
    <t>Calculations have been amended to use actual inflation to calculate differences on what the company should have received.</t>
  </si>
  <si>
    <t>Calcs-WR, Calcs-WN, Calcs-WWN, Calcs-BR, Calcs-DMMY</t>
  </si>
  <si>
    <t xml:space="preserve">In "WHAT THE COMPANY SHOULD HAVE EXPERIENCED":
- "Actual RCV indexation" in row 70 is adjusted to use actual inflation "RPI: Fin year average - percentage increase - actual (including forecast) active".
- the opening RCV "RCV - CPI(H) + RPI wedge initial balance adjusted for actual inflation - nominal" in row 83 is adjusted to take account of actual wedge as calculated in the new calculation block in rows 77 - 81.
</t>
  </si>
  <si>
    <t>In "TRUE UP": 
- added "CPI(H): Fin year average - inflate from base year 2017-18 average - actual (including forecast)" in rows 173 and 191 for actual inflation with rows 175 and 195 - 197 using this line.
- the formulae in rows 192 - 194 have been amended to correctly look at row 190.</t>
  </si>
  <si>
    <t>In "REVENUE ASSOCIATED WITH 2019-20 RPI-CPIH WEDGE ADJUSTMENT":
- Correction to the formula in row 261 to refer to opening nominal RCV balance in row 255.</t>
  </si>
  <si>
    <t>In "TOTAL REVENUE ADJUSTMENT", "Revenue adjustment total - real" row 324 is adjusted to only include 2019-20 revenue for the return on RCV not the return + plus RCV run off. As the PR19 RPI wedge adjustment hasn’t been run off yet this would result in a double count of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</si>
</sst>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_(* #,##0.0000_);_(* \(#,##0.0000\);_(* &quot;-&quot;??_);_(@_)"/>
    <numFmt numFmtId="172" formatCode="#,##0.0_);\(#,##0.0\);&quot;-  &quot;;&quot; &quot;@"/>
    <numFmt numFmtId="173" formatCode="#,##0.0_);\(#,##0.0\);&quot;-  &quot;;&quot; &quot;@&quot; &quot;"/>
    <numFmt numFmtId="174" formatCode="_-* #,##0.000_-;\-* #,##0.000_-;_-* &quot;-&quot;??_-;_-@_-"/>
    <numFmt numFmtId="175" formatCode="_-* #,##0.0000_-;\-* #,##0.0000_-;_-* &quot;-&quot;??_-;_-@_-"/>
    <numFmt numFmtId="176" formatCode="0.00000"/>
    <numFmt numFmtId="177" formatCode="0.0%"/>
    <numFmt numFmtId="178" formatCode="_(* #,##0.000_);_(* \(#,##0.000\);_(* &quot;-&quot;??_);_(@_)"/>
    <numFmt numFmtId="179" formatCode="#,##0.00_);\(#,##0.00\);&quot;-  &quot;;&quot; &quot;@&quot; &quot;"/>
    <numFmt numFmtId="180" formatCode="0.0000"/>
    <numFmt numFmtId="181" formatCode="0.00%_);\-0.00%_);&quot;-  &quot;;&quot; &quot;@&quot; &quot;"/>
    <numFmt numFmtId="182" formatCode="0.000"/>
    <numFmt numFmtId="183" formatCode="_-* #,##0.000_-;\-* #,##0.000_-;_-* &quot;-&quot;???_-;_-@_-"/>
    <numFmt numFmtId="184" formatCode="#,##0.000_ ;\-#,##0.000\ "/>
    <numFmt numFmtId="185" formatCode="_-* #,##0_-;\-* #,##0_-;_-* &quot;-&quot;??_-;_-@_-"/>
    <numFmt numFmtId="186" formatCode="#,##0.000"/>
    <numFmt numFmtId="187" formatCode="#,##0.0"/>
    <numFmt numFmtId="188" formatCode="0.000%"/>
    <numFmt numFmtId="189" formatCode="###0_);\(###0\);&quot;-  &quot;;&quot; &quot;@&quot; &quot;"/>
    <numFmt numFmtId="190" formatCode="mmmm\ yyyy;@"/>
  </numFmts>
  <fonts count="77" x14ac:knownFonts="1">
    <font>
      <sz val="10"/>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u/>
      <sz val="10"/>
      <color theme="10"/>
      <name val="Arial"/>
      <family val="2"/>
    </font>
    <font>
      <b/>
      <u/>
      <sz val="10"/>
      <name val="Arial"/>
      <family val="2"/>
    </font>
    <font>
      <sz val="10"/>
      <color rgb="FF0000FF"/>
      <name val="Arial"/>
      <family val="2"/>
    </font>
    <font>
      <i/>
      <sz val="10"/>
      <color rgb="FF00B050"/>
      <name val="Arial"/>
      <family val="2"/>
    </font>
    <font>
      <i/>
      <u/>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b/>
      <sz val="10"/>
      <color rgb="FF0000FF"/>
      <name val="Arial"/>
      <family val="2"/>
    </font>
    <font>
      <u/>
      <sz val="10"/>
      <color rgb="FF0000FF"/>
      <name val="Arial"/>
      <family val="2"/>
    </font>
    <font>
      <i/>
      <sz val="10"/>
      <color rgb="FF0000FF"/>
      <name val="Arial"/>
      <family val="2"/>
    </font>
    <font>
      <i/>
      <sz val="10"/>
      <name val="Arial"/>
      <family val="2"/>
    </font>
    <font>
      <sz val="10"/>
      <color theme="0"/>
      <name val="Franklin Gothic Demi"/>
      <family val="2"/>
    </font>
    <font>
      <b/>
      <sz val="10"/>
      <color rgb="FFFF0000"/>
      <name val="Arial"/>
      <family val="2"/>
    </font>
    <font>
      <u/>
      <sz val="10"/>
      <color rgb="FFFF0000"/>
      <name val="Arial"/>
      <family val="2"/>
    </font>
    <font>
      <i/>
      <sz val="10"/>
      <color rgb="FFFF0000"/>
      <name val="Arial"/>
      <family val="2"/>
    </font>
    <font>
      <i/>
      <u/>
      <sz val="10"/>
      <name val="Arial"/>
      <family val="2"/>
    </font>
    <font>
      <sz val="8"/>
      <name val="Arial"/>
      <family val="2"/>
    </font>
    <font>
      <b/>
      <u/>
      <sz val="11"/>
      <name val="Calibri"/>
      <family val="2"/>
    </font>
    <font>
      <b/>
      <sz val="11"/>
      <name val="Calibri"/>
      <family val="2"/>
    </font>
    <font>
      <sz val="11"/>
      <color indexed="8"/>
      <name val="Calibri"/>
      <family val="2"/>
      <scheme val="minor"/>
    </font>
    <font>
      <sz val="11"/>
      <name val="Calibri"/>
      <family val="2"/>
      <scheme val="minor"/>
    </font>
    <font>
      <sz val="11"/>
      <color indexed="8"/>
      <name val="Arial"/>
      <family val="2"/>
    </font>
    <font>
      <sz val="10"/>
      <color rgb="FF0078C9"/>
      <name val="Arial"/>
      <family val="2"/>
    </font>
    <font>
      <b/>
      <sz val="11"/>
      <color theme="0"/>
      <name val="Arial"/>
      <family val="2"/>
    </font>
    <font>
      <sz val="11"/>
      <color theme="1"/>
      <name val="Calibri"/>
      <family val="2"/>
    </font>
    <font>
      <sz val="10"/>
      <color indexed="8"/>
      <name val="Arial"/>
      <family val="2"/>
    </font>
    <font>
      <b/>
      <sz val="11"/>
      <name val="Calibri"/>
      <family val="2"/>
    </font>
    <font>
      <b/>
      <u/>
      <sz val="11"/>
      <name val="Calibri"/>
      <family val="2"/>
    </font>
    <font>
      <sz val="8"/>
      <color theme="1"/>
      <name val="Tahoma"/>
      <family val="2"/>
    </font>
    <font>
      <sz val="24"/>
      <color theme="0"/>
      <name val="Calibri"/>
      <family val="2"/>
    </font>
    <font>
      <sz val="10"/>
      <name val="Calibri"/>
      <family val="2"/>
    </font>
    <font>
      <sz val="10"/>
      <name val="Calibri"/>
      <family val="2"/>
      <scheme val="minor"/>
    </font>
    <font>
      <sz val="18"/>
      <name val="Calibri"/>
      <family val="2"/>
    </font>
    <font>
      <b/>
      <sz val="18"/>
      <name val="Calibri"/>
      <family val="2"/>
    </font>
    <font>
      <sz val="18"/>
      <name val="Calibri"/>
      <family val="2"/>
      <scheme val="minor"/>
    </font>
    <font>
      <u/>
      <sz val="11"/>
      <color theme="10"/>
      <name val="Arial"/>
      <family val="2"/>
    </font>
    <font>
      <u/>
      <sz val="11"/>
      <color theme="10"/>
      <name val="Calibri"/>
      <family val="2"/>
    </font>
    <font>
      <sz val="10"/>
      <color theme="1"/>
      <name val="Calibri"/>
      <family val="2"/>
      <scheme val="minor"/>
    </font>
    <font>
      <sz val="11"/>
      <color rgb="FF242424"/>
      <name val="Aptos Narrow"/>
      <family val="2"/>
    </font>
    <font>
      <sz val="11"/>
      <color theme="1"/>
      <name val="Calibri"/>
      <family val="2"/>
      <scheme val="minor"/>
    </font>
    <font>
      <sz val="10"/>
      <color theme="0"/>
      <name val="Calibri"/>
      <family val="2"/>
    </font>
    <font>
      <sz val="10"/>
      <color theme="1"/>
      <name val="Calibri"/>
      <family val="2"/>
    </font>
    <font>
      <sz val="10"/>
      <color rgb="FF003595"/>
      <name val="Calibri"/>
      <family val="2"/>
    </font>
    <font>
      <sz val="10"/>
      <color rgb="FF0000FF"/>
      <name val="Calibri"/>
      <family val="2"/>
    </font>
    <font>
      <b/>
      <sz val="10"/>
      <name val="Calibri"/>
      <family val="2"/>
    </font>
  </fonts>
  <fills count="8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rgb="FFC0C0C0"/>
        <bgColor indexed="64"/>
      </patternFill>
    </fill>
    <fill>
      <patternFill patternType="solid">
        <fgColor indexed="11"/>
        <bgColor indexed="64"/>
      </patternFill>
    </fill>
    <fill>
      <patternFill patternType="solid">
        <fgColor rgb="FFFFFF99"/>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E0DCD8"/>
        <bgColor indexed="64"/>
      </patternFill>
    </fill>
    <fill>
      <patternFill patternType="solid">
        <fgColor theme="6"/>
        <bgColor indexed="64"/>
      </patternFill>
    </fill>
    <fill>
      <patternFill patternType="solid">
        <fgColor rgb="FF003479"/>
        <bgColor indexed="64"/>
      </patternFill>
    </fill>
    <fill>
      <patternFill patternType="solid">
        <fgColor theme="0"/>
        <bgColor indexed="64"/>
      </patternFill>
    </fill>
    <fill>
      <patternFill patternType="solid">
        <fgColor rgb="FFD740A2"/>
        <bgColor indexed="64"/>
      </patternFill>
    </fill>
    <fill>
      <patternFill patternType="solid">
        <fgColor theme="8" tint="0.39997558519241921"/>
        <bgColor indexed="64"/>
      </patternFill>
    </fill>
    <fill>
      <patternFill patternType="solid">
        <fgColor rgb="FFBFDDF1"/>
        <bgColor indexed="64"/>
      </patternFill>
    </fill>
    <fill>
      <patternFill patternType="solid">
        <fgColor rgb="FFFFFF00"/>
      </patternFill>
    </fill>
    <fill>
      <patternFill patternType="solid">
        <fgColor rgb="FFFFFFE0"/>
      </patternFill>
    </fill>
    <fill>
      <patternFill patternType="solid">
        <fgColor theme="5"/>
        <bgColor indexed="64"/>
      </patternFill>
    </fill>
    <fill>
      <patternFill patternType="solid">
        <fgColor rgb="FFF0EEEC"/>
        <bgColor indexed="64"/>
      </patternFill>
    </fill>
    <fill>
      <patternFill patternType="solid">
        <fgColor theme="8" tint="0.79998168889431442"/>
        <bgColor indexed="64"/>
      </patternFill>
    </fill>
    <fill>
      <patternFill patternType="solid">
        <fgColor rgb="FFFFFFE0"/>
        <bgColor indexed="64"/>
      </patternFill>
    </fill>
    <fill>
      <patternFill patternType="solid">
        <fgColor theme="9"/>
        <bgColor indexed="64"/>
      </patternFill>
    </fill>
    <fill>
      <patternFill patternType="solid">
        <fgColor rgb="FFE2EFDA"/>
        <bgColor indexed="64"/>
      </patternFill>
    </fill>
    <fill>
      <patternFill patternType="solid">
        <fgColor rgb="FFFFFF00"/>
        <bgColor indexed="64"/>
      </patternFill>
    </fill>
    <fill>
      <patternFill patternType="solid">
        <fgColor rgb="FF003595"/>
        <bgColor indexed="64"/>
      </patternFill>
    </fill>
    <fill>
      <patternFill patternType="solid">
        <fgColor theme="3" tint="0.89999084444715716"/>
        <bgColor indexed="64"/>
      </patternFill>
    </fill>
    <fill>
      <patternFill patternType="solid">
        <fgColor theme="0" tint="-0.149998474074526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808080"/>
      </top>
      <bottom style="thin">
        <color rgb="FF808080"/>
      </bottom>
      <diagonal/>
    </border>
    <border>
      <left style="thin">
        <color rgb="FF857362"/>
      </left>
      <right style="thin">
        <color rgb="FF857362"/>
      </right>
      <top style="thin">
        <color rgb="FF857362"/>
      </top>
      <bottom style="thin">
        <color rgb="FF857362"/>
      </bottom>
      <diagonal/>
    </border>
    <border>
      <left style="thin">
        <color auto="1"/>
      </left>
      <right/>
      <top/>
      <bottom/>
      <diagonal/>
    </border>
    <border>
      <left style="thin">
        <color auto="1"/>
      </left>
      <right style="thin">
        <color auto="1"/>
      </right>
      <top/>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style="thin">
        <color rgb="FF003595"/>
      </left>
      <right style="thin">
        <color rgb="FF003595"/>
      </right>
      <top/>
      <bottom/>
      <diagonal/>
    </border>
  </borders>
  <cellStyleXfs count="87">
    <xf numFmtId="0" fontId="0" fillId="0" borderId="0"/>
    <xf numFmtId="43" fontId="4" fillId="0" borderId="0" applyFont="0" applyFill="0" applyBorder="0" applyAlignment="0" applyProtection="0"/>
    <xf numFmtId="10" fontId="4" fillId="0" borderId="0" applyFon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6" fillId="46" borderId="0" applyNumberFormat="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165" fontId="4" fillId="43" borderId="0" applyNumberFormat="0" applyFont="0" applyBorder="0" applyAlignment="0" applyProtection="0"/>
    <xf numFmtId="0" fontId="4" fillId="44" borderId="0" applyNumberFormat="0" applyFont="0" applyBorder="0" applyAlignment="0" applyProtection="0"/>
    <xf numFmtId="166" fontId="27" fillId="0" borderId="0" applyNumberFormat="0" applyProtection="0">
      <alignment vertical="top"/>
    </xf>
    <xf numFmtId="166" fontId="28" fillId="0" borderId="0" applyNumberFormat="0" applyProtection="0">
      <alignment vertical="top"/>
    </xf>
    <xf numFmtId="166" fontId="21" fillId="45" borderId="0" applyNumberFormat="0" applyProtection="0">
      <alignment vertical="top"/>
    </xf>
    <xf numFmtId="9" fontId="4" fillId="0" borderId="0" applyFont="0" applyFill="0" applyBorder="0" applyAlignment="0" applyProtection="0"/>
    <xf numFmtId="0" fontId="32" fillId="0" borderId="0" applyNumberFormat="0" applyFill="0" applyBorder="0" applyProtection="0">
      <alignment vertical="top"/>
    </xf>
    <xf numFmtId="167" fontId="21" fillId="0" borderId="0" applyFont="0" applyFill="0" applyBorder="0" applyProtection="0">
      <alignment vertical="top"/>
    </xf>
    <xf numFmtId="168" fontId="21" fillId="0" borderId="0" applyFont="0" applyFill="0" applyBorder="0" applyProtection="0">
      <alignment vertical="top"/>
    </xf>
    <xf numFmtId="169" fontId="21" fillId="0" borderId="0" applyFont="0" applyFill="0" applyBorder="0" applyProtection="0">
      <alignment vertical="top"/>
    </xf>
    <xf numFmtId="0" fontId="22" fillId="0" borderId="0"/>
    <xf numFmtId="0" fontId="23" fillId="0" borderId="0"/>
    <xf numFmtId="0" fontId="24" fillId="0" borderId="0"/>
    <xf numFmtId="168" fontId="25" fillId="0" borderId="0" applyNumberFormat="0" applyFill="0" applyBorder="0" applyProtection="0">
      <alignment vertical="top"/>
    </xf>
    <xf numFmtId="0" fontId="26" fillId="0" borderId="0" applyNumberFormat="0" applyFill="0" applyBorder="0" applyProtection="0">
      <alignment vertical="top"/>
    </xf>
    <xf numFmtId="0" fontId="21" fillId="0" borderId="0" applyNumberFormat="0" applyFill="0" applyBorder="0" applyProtection="0">
      <alignment horizontal="right" vertical="top"/>
    </xf>
    <xf numFmtId="0" fontId="29" fillId="0" borderId="0" applyNumberFormat="0" applyFill="0" applyBorder="0" applyAlignment="0" applyProtection="0"/>
    <xf numFmtId="0" fontId="43" fillId="65" borderId="0" applyNumberFormat="0" applyBorder="0" applyAlignment="0" applyProtection="0"/>
    <xf numFmtId="0" fontId="43" fillId="63" borderId="0" applyNumberFormat="0" applyAlignment="0" applyProtection="0"/>
    <xf numFmtId="0" fontId="29" fillId="0" borderId="0" applyNumberFormat="0" applyFill="0" applyBorder="0" applyAlignment="0" applyProtection="0"/>
    <xf numFmtId="0" fontId="3" fillId="0" borderId="0"/>
    <xf numFmtId="0" fontId="3" fillId="0" borderId="0"/>
    <xf numFmtId="0" fontId="51" fillId="0" borderId="0"/>
    <xf numFmtId="0" fontId="3" fillId="0" borderId="0"/>
    <xf numFmtId="0" fontId="2" fillId="0" borderId="0"/>
    <xf numFmtId="164" fontId="4" fillId="0" borderId="0" applyFont="0" applyFill="0" applyBorder="0" applyProtection="0">
      <alignment vertical="top"/>
    </xf>
    <xf numFmtId="0" fontId="56" fillId="0" borderId="0"/>
    <xf numFmtId="0" fontId="51" fillId="0" borderId="0"/>
    <xf numFmtId="164" fontId="60" fillId="0" borderId="0" applyFont="0" applyFill="0" applyBorder="0" applyProtection="0">
      <alignment vertical="top"/>
    </xf>
    <xf numFmtId="164" fontId="62" fillId="0" borderId="0" applyFill="0" applyBorder="0" applyProtection="0">
      <alignment vertical="top"/>
    </xf>
    <xf numFmtId="189" fontId="62" fillId="0" borderId="0" applyFont="0" applyFill="0" applyBorder="0" applyProtection="0">
      <alignment vertical="top"/>
    </xf>
    <xf numFmtId="0" fontId="67" fillId="0" borderId="0" applyNumberFormat="0" applyFill="0" applyBorder="0" applyAlignment="0" applyProtection="0"/>
    <xf numFmtId="0" fontId="1" fillId="0" borderId="0"/>
    <xf numFmtId="0" fontId="71" fillId="0" borderId="0"/>
  </cellStyleXfs>
  <cellXfs count="401">
    <xf numFmtId="0" fontId="0" fillId="0" borderId="0" xfId="0"/>
    <xf numFmtId="0" fontId="0" fillId="44" borderId="0" xfId="0" applyFill="1"/>
    <xf numFmtId="0" fontId="28" fillId="0" borderId="0" xfId="0" applyFont="1" applyAlignment="1">
      <alignment vertical="top"/>
    </xf>
    <xf numFmtId="0" fontId="21" fillId="45" borderId="0" xfId="0" applyFont="1" applyFill="1" applyAlignment="1">
      <alignment vertical="top"/>
    </xf>
    <xf numFmtId="0" fontId="27" fillId="0" borderId="0" xfId="55" applyNumberFormat="1">
      <alignment vertical="top"/>
    </xf>
    <xf numFmtId="0" fontId="25" fillId="0" borderId="0" xfId="0" applyFont="1" applyAlignment="1">
      <alignment vertical="top"/>
    </xf>
    <xf numFmtId="0" fontId="21" fillId="0" borderId="0" xfId="0" applyFont="1" applyAlignment="1">
      <alignment horizontal="right" vertical="top"/>
    </xf>
    <xf numFmtId="0" fontId="21" fillId="0" borderId="0" xfId="0" applyFont="1" applyAlignment="1">
      <alignment vertical="top"/>
    </xf>
    <xf numFmtId="0" fontId="21" fillId="43" borderId="0" xfId="0" applyFont="1" applyFill="1" applyAlignment="1">
      <alignment vertical="top"/>
    </xf>
    <xf numFmtId="0" fontId="26" fillId="0" borderId="0" xfId="0" applyFont="1" applyAlignment="1">
      <alignment vertical="top"/>
    </xf>
    <xf numFmtId="0" fontId="19" fillId="44" borderId="0" xfId="0" applyFont="1" applyFill="1"/>
    <xf numFmtId="0" fontId="4" fillId="0" borderId="0" xfId="0" applyFont="1"/>
    <xf numFmtId="0" fontId="21" fillId="48" borderId="0" xfId="0" applyFont="1" applyFill="1" applyAlignment="1">
      <alignment vertical="top"/>
    </xf>
    <xf numFmtId="0" fontId="21" fillId="48" borderId="0" xfId="0" applyFont="1" applyFill="1" applyAlignment="1">
      <alignment horizontal="right" vertical="top"/>
    </xf>
    <xf numFmtId="0" fontId="26" fillId="48" borderId="0" xfId="0" applyFont="1" applyFill="1" applyAlignment="1">
      <alignment vertical="top"/>
    </xf>
    <xf numFmtId="0" fontId="25" fillId="48" borderId="0" xfId="0" applyFont="1" applyFill="1" applyAlignment="1">
      <alignment vertical="top"/>
    </xf>
    <xf numFmtId="168" fontId="21" fillId="50" borderId="0" xfId="61" applyFont="1" applyFill="1">
      <alignment vertical="top"/>
    </xf>
    <xf numFmtId="168" fontId="21" fillId="0" borderId="0" xfId="61" applyFont="1">
      <alignment vertical="top"/>
    </xf>
    <xf numFmtId="167" fontId="21" fillId="0" borderId="0" xfId="60" applyFont="1" applyFill="1">
      <alignment vertical="top"/>
    </xf>
    <xf numFmtId="170" fontId="21" fillId="50" borderId="0" xfId="0" applyNumberFormat="1" applyFont="1" applyFill="1" applyAlignment="1">
      <alignment vertical="top"/>
    </xf>
    <xf numFmtId="170" fontId="0" fillId="0" borderId="0" xfId="0" applyNumberFormat="1" applyAlignment="1">
      <alignment vertical="top"/>
    </xf>
    <xf numFmtId="170" fontId="21" fillId="0" borderId="0" xfId="0" applyNumberFormat="1" applyFont="1" applyAlignment="1">
      <alignment vertical="top"/>
    </xf>
    <xf numFmtId="170" fontId="21" fillId="0" borderId="0" xfId="0" applyNumberFormat="1" applyFont="1" applyAlignment="1">
      <alignment horizontal="right" vertical="top"/>
    </xf>
    <xf numFmtId="170" fontId="26" fillId="0" borderId="0" xfId="0" applyNumberFormat="1" applyFont="1" applyAlignment="1">
      <alignment vertical="top"/>
    </xf>
    <xf numFmtId="170" fontId="25" fillId="0" borderId="0" xfId="0" applyNumberFormat="1" applyFont="1" applyAlignment="1">
      <alignment vertical="top"/>
    </xf>
    <xf numFmtId="167" fontId="21" fillId="0" borderId="0" xfId="60" applyFont="1">
      <alignment vertical="top"/>
    </xf>
    <xf numFmtId="168" fontId="21" fillId="0" borderId="0" xfId="61" applyFont="1" applyBorder="1">
      <alignment vertical="top"/>
    </xf>
    <xf numFmtId="0" fontId="30" fillId="0" borderId="0" xfId="0" applyFont="1" applyAlignment="1">
      <alignment vertical="top"/>
    </xf>
    <xf numFmtId="168" fontId="25" fillId="0" borderId="0" xfId="61" applyFont="1" applyBorder="1">
      <alignment vertical="top"/>
    </xf>
    <xf numFmtId="164" fontId="21" fillId="49" borderId="0" xfId="0" applyNumberFormat="1" applyFont="1" applyFill="1" applyAlignment="1">
      <alignment vertical="top"/>
    </xf>
    <xf numFmtId="0" fontId="31" fillId="0" borderId="0" xfId="0" applyFont="1" applyAlignment="1">
      <alignment vertical="top"/>
    </xf>
    <xf numFmtId="168" fontId="21" fillId="0" borderId="0" xfId="61" applyFont="1" applyFill="1">
      <alignment vertical="top"/>
    </xf>
    <xf numFmtId="167" fontId="27" fillId="0" borderId="0" xfId="60" applyFont="1" applyFill="1">
      <alignment vertical="top"/>
    </xf>
    <xf numFmtId="164" fontId="21" fillId="49" borderId="0" xfId="0" applyNumberFormat="1" applyFont="1" applyFill="1" applyAlignment="1">
      <alignment horizontal="right" vertical="top"/>
    </xf>
    <xf numFmtId="0" fontId="17" fillId="0" borderId="0" xfId="0" applyFont="1" applyAlignment="1">
      <alignment vertical="top"/>
    </xf>
    <xf numFmtId="0" fontId="17" fillId="48" borderId="0" xfId="0" applyFont="1" applyFill="1" applyAlignment="1">
      <alignment vertical="top"/>
    </xf>
    <xf numFmtId="167" fontId="27" fillId="0" borderId="0" xfId="60" applyFont="1">
      <alignment vertical="top"/>
    </xf>
    <xf numFmtId="0" fontId="27" fillId="0" borderId="0" xfId="0" applyFont="1" applyAlignment="1">
      <alignment vertical="top"/>
    </xf>
    <xf numFmtId="171" fontId="21" fillId="0" borderId="0" xfId="0" applyNumberFormat="1" applyFont="1" applyAlignment="1">
      <alignment vertical="top"/>
    </xf>
    <xf numFmtId="168" fontId="17" fillId="0" borderId="0" xfId="61" applyFont="1" applyFill="1">
      <alignment vertical="top"/>
    </xf>
    <xf numFmtId="168" fontId="17" fillId="48" borderId="0" xfId="61" applyFont="1" applyFill="1">
      <alignment vertical="top"/>
    </xf>
    <xf numFmtId="172" fontId="21" fillId="0" borderId="0" xfId="0" applyNumberFormat="1" applyFont="1" applyAlignment="1">
      <alignment vertical="top"/>
    </xf>
    <xf numFmtId="173" fontId="21" fillId="0" borderId="0" xfId="62" applyNumberFormat="1" applyFont="1">
      <alignment vertical="top"/>
    </xf>
    <xf numFmtId="173" fontId="21" fillId="44" borderId="0" xfId="62" applyNumberFormat="1" applyFont="1" applyFill="1">
      <alignment vertical="top"/>
    </xf>
    <xf numFmtId="0" fontId="21" fillId="42" borderId="0" xfId="0" applyFont="1" applyFill="1" applyAlignment="1">
      <alignment vertical="top"/>
    </xf>
    <xf numFmtId="43" fontId="21" fillId="0" borderId="0" xfId="1" applyFont="1" applyBorder="1" applyAlignment="1">
      <alignment vertical="top"/>
    </xf>
    <xf numFmtId="168" fontId="21" fillId="0" borderId="0" xfId="61" applyFont="1" applyFill="1" applyBorder="1">
      <alignment vertical="top"/>
    </xf>
    <xf numFmtId="0" fontId="25" fillId="0" borderId="0" xfId="66" applyNumberFormat="1" applyFill="1" applyBorder="1">
      <alignment vertical="top"/>
    </xf>
    <xf numFmtId="0" fontId="25" fillId="0" borderId="0" xfId="66" applyNumberFormat="1" applyBorder="1">
      <alignment vertical="top"/>
    </xf>
    <xf numFmtId="0" fontId="25" fillId="0" borderId="0" xfId="66" applyNumberFormat="1" applyFill="1">
      <alignment vertical="top"/>
    </xf>
    <xf numFmtId="0" fontId="25" fillId="0" borderId="0" xfId="66" applyNumberFormat="1">
      <alignment vertical="top"/>
    </xf>
    <xf numFmtId="0" fontId="26" fillId="0" borderId="0" xfId="67" applyFill="1" applyBorder="1">
      <alignment vertical="top"/>
    </xf>
    <xf numFmtId="168" fontId="21" fillId="0" borderId="0" xfId="68" applyNumberFormat="1" applyBorder="1">
      <alignment horizontal="right" vertical="top"/>
    </xf>
    <xf numFmtId="0" fontId="21" fillId="0" borderId="0" xfId="68" applyBorder="1">
      <alignment horizontal="right" vertical="top"/>
    </xf>
    <xf numFmtId="170" fontId="21" fillId="0" borderId="0" xfId="68" applyNumberFormat="1" applyBorder="1">
      <alignment horizontal="right" vertical="top"/>
    </xf>
    <xf numFmtId="0" fontId="21" fillId="0" borderId="0" xfId="68">
      <alignment horizontal="right" vertical="top"/>
    </xf>
    <xf numFmtId="0" fontId="21" fillId="0" borderId="0" xfId="68" applyFill="1" applyBorder="1">
      <alignment horizontal="right" vertical="top"/>
    </xf>
    <xf numFmtId="0" fontId="21" fillId="0" borderId="0" xfId="68" applyFill="1">
      <alignment horizontal="right" vertical="top"/>
    </xf>
    <xf numFmtId="168" fontId="26" fillId="0" borderId="0" xfId="67" applyNumberFormat="1" applyBorder="1">
      <alignment vertical="top"/>
    </xf>
    <xf numFmtId="0" fontId="26" fillId="0" borderId="0" xfId="67" applyBorder="1">
      <alignment vertical="top"/>
    </xf>
    <xf numFmtId="170" fontId="26" fillId="0" borderId="0" xfId="67" applyNumberFormat="1" applyBorder="1">
      <alignment vertical="top"/>
    </xf>
    <xf numFmtId="0" fontId="26" fillId="0" borderId="0" xfId="67" applyFill="1">
      <alignment vertical="top"/>
    </xf>
    <xf numFmtId="168" fontId="25" fillId="0" borderId="0" xfId="66" applyBorder="1">
      <alignment vertical="top"/>
    </xf>
    <xf numFmtId="170" fontId="25" fillId="0" borderId="0" xfId="66" applyNumberFormat="1" applyBorder="1">
      <alignment vertical="top"/>
    </xf>
    <xf numFmtId="0" fontId="26" fillId="0" borderId="0" xfId="67">
      <alignment vertical="top"/>
    </xf>
    <xf numFmtId="0" fontId="4" fillId="0" borderId="0" xfId="0" applyFont="1" applyAlignment="1">
      <alignment vertical="top"/>
    </xf>
    <xf numFmtId="173" fontId="25" fillId="0" borderId="0" xfId="66" applyNumberFormat="1" applyFill="1">
      <alignment vertical="top"/>
    </xf>
    <xf numFmtId="173" fontId="26" fillId="0" borderId="0" xfId="67" applyNumberFormat="1">
      <alignment vertical="top"/>
    </xf>
    <xf numFmtId="173" fontId="21" fillId="0" borderId="0" xfId="68" applyNumberFormat="1">
      <alignment horizontal="right" vertical="top"/>
    </xf>
    <xf numFmtId="172" fontId="25" fillId="0" borderId="0" xfId="66" applyNumberFormat="1" applyFill="1">
      <alignment vertical="top"/>
    </xf>
    <xf numFmtId="172" fontId="26" fillId="0" borderId="0" xfId="67" applyNumberFormat="1" applyFill="1">
      <alignment vertical="top"/>
    </xf>
    <xf numFmtId="172" fontId="21" fillId="0" borderId="0" xfId="68" applyNumberFormat="1" applyFill="1">
      <alignment horizontal="right" vertical="top"/>
    </xf>
    <xf numFmtId="167" fontId="25" fillId="0" borderId="0" xfId="66" applyNumberFormat="1" applyFill="1">
      <alignment vertical="top"/>
    </xf>
    <xf numFmtId="167" fontId="26" fillId="0" borderId="0" xfId="67" applyNumberFormat="1">
      <alignment vertical="top"/>
    </xf>
    <xf numFmtId="167" fontId="21" fillId="0" borderId="0" xfId="68" applyNumberFormat="1">
      <alignment horizontal="right" vertical="top"/>
    </xf>
    <xf numFmtId="168" fontId="25" fillId="0" borderId="0" xfId="66" applyFill="1">
      <alignment vertical="top"/>
    </xf>
    <xf numFmtId="168" fontId="26" fillId="0" borderId="0" xfId="67" applyNumberFormat="1">
      <alignment vertical="top"/>
    </xf>
    <xf numFmtId="168" fontId="21" fillId="0" borderId="0" xfId="68" applyNumberFormat="1">
      <alignment horizontal="right" vertical="top"/>
    </xf>
    <xf numFmtId="168" fontId="26" fillId="0" borderId="0" xfId="67" applyNumberFormat="1" applyFill="1">
      <alignment vertical="top"/>
    </xf>
    <xf numFmtId="168" fontId="21" fillId="0" borderId="0" xfId="68" applyNumberFormat="1" applyFill="1">
      <alignment horizontal="right" vertical="top"/>
    </xf>
    <xf numFmtId="171" fontId="25" fillId="0" borderId="0" xfId="66" applyNumberFormat="1" applyFill="1">
      <alignment vertical="top"/>
    </xf>
    <xf numFmtId="171" fontId="26" fillId="0" borderId="0" xfId="67" applyNumberFormat="1" applyFill="1">
      <alignment vertical="top"/>
    </xf>
    <xf numFmtId="171" fontId="21" fillId="0" borderId="0" xfId="68" applyNumberFormat="1" applyFill="1">
      <alignment horizontal="right" vertical="top"/>
    </xf>
    <xf numFmtId="167" fontId="26" fillId="0" borderId="0" xfId="67" applyNumberFormat="1" applyFill="1">
      <alignment vertical="top"/>
    </xf>
    <xf numFmtId="167" fontId="21" fillId="0" borderId="0" xfId="68" applyNumberFormat="1" applyFill="1">
      <alignment horizontal="right" vertical="top"/>
    </xf>
    <xf numFmtId="168" fontId="4" fillId="0" borderId="0" xfId="61" applyFont="1">
      <alignment vertical="top"/>
    </xf>
    <xf numFmtId="167" fontId="25" fillId="0" borderId="0" xfId="66" applyNumberFormat="1">
      <alignment vertical="top"/>
    </xf>
    <xf numFmtId="168" fontId="4" fillId="0" borderId="0" xfId="61" applyFont="1" applyFill="1">
      <alignment vertical="top"/>
    </xf>
    <xf numFmtId="168" fontId="4" fillId="48" borderId="0" xfId="61" applyFont="1" applyFill="1">
      <alignment vertical="top"/>
    </xf>
    <xf numFmtId="168" fontId="25" fillId="0" borderId="0" xfId="66">
      <alignment vertical="top"/>
    </xf>
    <xf numFmtId="43" fontId="4" fillId="0" borderId="0" xfId="1" applyFont="1"/>
    <xf numFmtId="43" fontId="21" fillId="0" borderId="0" xfId="1" applyFont="1" applyAlignment="1">
      <alignment vertical="top"/>
    </xf>
    <xf numFmtId="43" fontId="21" fillId="0" borderId="0" xfId="1" applyFont="1" applyFill="1" applyAlignment="1">
      <alignment vertical="top"/>
    </xf>
    <xf numFmtId="43" fontId="4" fillId="0" borderId="0" xfId="1" applyFont="1" applyBorder="1" applyAlignment="1">
      <alignment vertical="top"/>
    </xf>
    <xf numFmtId="43" fontId="27" fillId="0" borderId="0" xfId="1" applyFont="1" applyAlignment="1">
      <alignment vertical="top"/>
    </xf>
    <xf numFmtId="43" fontId="17" fillId="0" borderId="0" xfId="1" applyFont="1" applyFill="1" applyAlignment="1">
      <alignment vertical="top"/>
    </xf>
    <xf numFmtId="43" fontId="27" fillId="0" borderId="0" xfId="1" applyFont="1" applyFill="1" applyAlignment="1">
      <alignment vertical="top"/>
    </xf>
    <xf numFmtId="43" fontId="4" fillId="0" borderId="0" xfId="1" applyFont="1" applyAlignment="1">
      <alignment vertical="top"/>
    </xf>
    <xf numFmtId="43" fontId="28" fillId="0" borderId="0" xfId="1" applyFont="1" applyAlignment="1">
      <alignment vertical="top"/>
    </xf>
    <xf numFmtId="43" fontId="4" fillId="0" borderId="0" xfId="1" applyFont="1" applyFill="1" applyAlignment="1">
      <alignment vertical="top"/>
    </xf>
    <xf numFmtId="169" fontId="21" fillId="48" borderId="0" xfId="62" applyFont="1" applyFill="1">
      <alignment vertical="top"/>
    </xf>
    <xf numFmtId="43" fontId="27" fillId="0" borderId="0" xfId="0" applyNumberFormat="1" applyFont="1" applyAlignment="1">
      <alignment vertical="top"/>
    </xf>
    <xf numFmtId="0" fontId="32" fillId="0" borderId="0" xfId="59">
      <alignment vertical="top"/>
    </xf>
    <xf numFmtId="0" fontId="0" fillId="42" borderId="10" xfId="0" applyFill="1" applyBorder="1"/>
    <xf numFmtId="0" fontId="0" fillId="44" borderId="10" xfId="0" applyFill="1" applyBorder="1"/>
    <xf numFmtId="0" fontId="0" fillId="52" borderId="10" xfId="0" applyFill="1" applyBorder="1"/>
    <xf numFmtId="164" fontId="0" fillId="44" borderId="10" xfId="0" applyNumberFormat="1" applyFill="1" applyBorder="1"/>
    <xf numFmtId="168" fontId="32" fillId="0" borderId="0" xfId="67" applyNumberFormat="1" applyFont="1" applyBorder="1">
      <alignment vertical="top"/>
    </xf>
    <xf numFmtId="0" fontId="32" fillId="0" borderId="0" xfId="67" applyFont="1" applyBorder="1">
      <alignment vertical="top"/>
    </xf>
    <xf numFmtId="170" fontId="32" fillId="0" borderId="0" xfId="67" applyNumberFormat="1" applyFont="1" applyBorder="1">
      <alignment vertical="top"/>
    </xf>
    <xf numFmtId="0" fontId="32" fillId="0" borderId="0" xfId="67" applyFont="1" applyFill="1">
      <alignment vertical="top"/>
    </xf>
    <xf numFmtId="0" fontId="32" fillId="0" borderId="0" xfId="67" applyFont="1" applyFill="1" applyBorder="1">
      <alignment vertical="top"/>
    </xf>
    <xf numFmtId="172" fontId="32" fillId="0" borderId="0" xfId="67" applyNumberFormat="1" applyFont="1" applyFill="1">
      <alignment vertical="top"/>
    </xf>
    <xf numFmtId="168" fontId="33" fillId="0" borderId="0" xfId="67" applyNumberFormat="1" applyFont="1" applyBorder="1">
      <alignment vertical="top"/>
    </xf>
    <xf numFmtId="0" fontId="33" fillId="0" borderId="0" xfId="67" applyFont="1" applyBorder="1">
      <alignment vertical="top"/>
    </xf>
    <xf numFmtId="170" fontId="33" fillId="0" borderId="0" xfId="67" applyNumberFormat="1" applyFont="1" applyBorder="1">
      <alignment vertical="top"/>
    </xf>
    <xf numFmtId="0" fontId="33" fillId="0" borderId="0" xfId="67" applyFont="1" applyFill="1">
      <alignment vertical="top"/>
    </xf>
    <xf numFmtId="0" fontId="33" fillId="0" borderId="0" xfId="0" applyFont="1" applyAlignment="1">
      <alignment vertical="top"/>
    </xf>
    <xf numFmtId="164" fontId="34" fillId="33" borderId="0" xfId="0" applyNumberFormat="1" applyFont="1" applyFill="1" applyAlignment="1">
      <alignment vertical="top"/>
    </xf>
    <xf numFmtId="0" fontId="35" fillId="33" borderId="0" xfId="67" applyFont="1" applyFill="1">
      <alignment vertical="top"/>
    </xf>
    <xf numFmtId="0" fontId="36" fillId="33" borderId="0" xfId="67" applyFont="1" applyFill="1">
      <alignment vertical="top"/>
    </xf>
    <xf numFmtId="0" fontId="37" fillId="33" borderId="0" xfId="68" applyFont="1" applyFill="1">
      <alignment horizontal="right" vertical="top"/>
    </xf>
    <xf numFmtId="0" fontId="38" fillId="33" borderId="0" xfId="0" applyFont="1" applyFill="1"/>
    <xf numFmtId="0" fontId="38" fillId="0" borderId="0" xfId="0" applyFont="1"/>
    <xf numFmtId="0" fontId="32" fillId="0" borderId="0" xfId="67" applyFont="1">
      <alignment vertical="top"/>
    </xf>
    <xf numFmtId="173" fontId="32" fillId="0" borderId="0" xfId="67" applyNumberFormat="1" applyFont="1">
      <alignment vertical="top"/>
    </xf>
    <xf numFmtId="167" fontId="32" fillId="0" borderId="0" xfId="67" applyNumberFormat="1" applyFont="1">
      <alignment vertical="top"/>
    </xf>
    <xf numFmtId="168" fontId="32" fillId="0" borderId="0" xfId="67" applyNumberFormat="1" applyFont="1">
      <alignment vertical="top"/>
    </xf>
    <xf numFmtId="168" fontId="32" fillId="0" borderId="0" xfId="67" applyNumberFormat="1" applyFont="1" applyFill="1">
      <alignment vertical="top"/>
    </xf>
    <xf numFmtId="171" fontId="32" fillId="0" borderId="0" xfId="67" applyNumberFormat="1" applyFont="1" applyFill="1">
      <alignment vertical="top"/>
    </xf>
    <xf numFmtId="167" fontId="32" fillId="0" borderId="0" xfId="67" applyNumberFormat="1" applyFont="1" applyFill="1">
      <alignment vertical="top"/>
    </xf>
    <xf numFmtId="43" fontId="38" fillId="33" borderId="0" xfId="1" applyFont="1" applyFill="1"/>
    <xf numFmtId="0" fontId="36" fillId="33" borderId="0" xfId="0" applyFont="1" applyFill="1"/>
    <xf numFmtId="164" fontId="25" fillId="0" borderId="0" xfId="66" applyNumberFormat="1" applyFill="1">
      <alignment vertical="top"/>
    </xf>
    <xf numFmtId="0" fontId="25" fillId="0" borderId="12" xfId="66" applyNumberFormat="1" applyFill="1" applyBorder="1">
      <alignment vertical="top"/>
    </xf>
    <xf numFmtId="0" fontId="26" fillId="0" borderId="12" xfId="67" applyFill="1" applyBorder="1">
      <alignment vertical="top"/>
    </xf>
    <xf numFmtId="0" fontId="32" fillId="0" borderId="12" xfId="67" applyFont="1" applyFill="1" applyBorder="1">
      <alignment vertical="top"/>
    </xf>
    <xf numFmtId="0" fontId="21" fillId="0" borderId="12" xfId="68" applyFill="1" applyBorder="1">
      <alignment horizontal="right" vertical="top"/>
    </xf>
    <xf numFmtId="0" fontId="21" fillId="0" borderId="12" xfId="0" applyFont="1" applyBorder="1" applyAlignment="1">
      <alignment vertical="top"/>
    </xf>
    <xf numFmtId="0" fontId="25" fillId="53" borderId="0" xfId="0" applyFont="1" applyFill="1" applyAlignment="1">
      <alignment vertical="top"/>
    </xf>
    <xf numFmtId="0" fontId="21" fillId="53" borderId="0" xfId="0" applyFont="1" applyFill="1" applyAlignment="1">
      <alignment vertical="top"/>
    </xf>
    <xf numFmtId="0" fontId="25" fillId="53" borderId="0" xfId="0" applyFont="1" applyFill="1" applyAlignment="1">
      <alignment horizontal="left" vertical="top"/>
    </xf>
    <xf numFmtId="0" fontId="21" fillId="54" borderId="0" xfId="0" applyFont="1" applyFill="1" applyAlignment="1">
      <alignment horizontal="left" vertical="top"/>
    </xf>
    <xf numFmtId="0" fontId="21" fillId="0" borderId="0" xfId="0" applyFont="1" applyAlignment="1">
      <alignment horizontal="left" vertical="top"/>
    </xf>
    <xf numFmtId="0" fontId="21" fillId="55" borderId="0" xfId="0" applyFont="1" applyFill="1" applyAlignment="1">
      <alignment horizontal="left" vertical="top"/>
    </xf>
    <xf numFmtId="0" fontId="21" fillId="56" borderId="0" xfId="0" applyFont="1" applyFill="1" applyAlignment="1">
      <alignment horizontal="left" vertical="top"/>
    </xf>
    <xf numFmtId="0" fontId="21" fillId="45" borderId="0" xfId="0" applyFont="1" applyFill="1" applyAlignment="1">
      <alignment horizontal="left" vertical="top"/>
    </xf>
    <xf numFmtId="0" fontId="21" fillId="43" borderId="0" xfId="0" applyFont="1" applyFill="1" applyAlignment="1">
      <alignment horizontal="left" vertical="top"/>
    </xf>
    <xf numFmtId="0" fontId="21" fillId="54" borderId="0" xfId="0" applyFont="1" applyFill="1" applyAlignment="1">
      <alignment vertical="top"/>
    </xf>
    <xf numFmtId="0" fontId="21" fillId="55" borderId="0" xfId="0" applyFont="1" applyFill="1" applyAlignment="1">
      <alignment vertical="top"/>
    </xf>
    <xf numFmtId="0" fontId="27" fillId="55" borderId="0" xfId="0" applyFont="1" applyFill="1" applyAlignment="1">
      <alignment vertical="top"/>
    </xf>
    <xf numFmtId="0" fontId="21" fillId="56" borderId="0" xfId="0" applyFont="1" applyFill="1" applyAlignment="1">
      <alignment vertical="top"/>
    </xf>
    <xf numFmtId="0" fontId="21" fillId="57" borderId="0" xfId="0" applyFont="1" applyFill="1" applyAlignment="1">
      <alignment vertical="top"/>
    </xf>
    <xf numFmtId="0" fontId="21" fillId="58" borderId="0" xfId="0" applyFont="1" applyFill="1" applyAlignment="1">
      <alignment vertical="top"/>
    </xf>
    <xf numFmtId="0" fontId="21" fillId="59" borderId="0" xfId="0" applyFont="1" applyFill="1" applyAlignment="1">
      <alignment vertical="top"/>
    </xf>
    <xf numFmtId="0" fontId="21" fillId="60" borderId="0" xfId="0" applyFont="1" applyFill="1" applyAlignment="1">
      <alignment vertical="top"/>
    </xf>
    <xf numFmtId="0" fontId="21" fillId="47" borderId="0" xfId="0" applyFont="1" applyFill="1" applyAlignment="1">
      <alignment vertical="top"/>
    </xf>
    <xf numFmtId="0" fontId="25" fillId="61" borderId="0" xfId="66" applyNumberFormat="1" applyFill="1">
      <alignment vertical="top"/>
    </xf>
    <xf numFmtId="0" fontId="26" fillId="61" borderId="0" xfId="67" applyFill="1">
      <alignment vertical="top"/>
    </xf>
    <xf numFmtId="0" fontId="32" fillId="61" borderId="0" xfId="67" applyFont="1" applyFill="1">
      <alignment vertical="top"/>
    </xf>
    <xf numFmtId="0" fontId="21" fillId="61" borderId="0" xfId="68" applyFill="1">
      <alignment horizontal="right" vertical="top"/>
    </xf>
    <xf numFmtId="0" fontId="21" fillId="61" borderId="0" xfId="0" applyFont="1" applyFill="1" applyAlignment="1">
      <alignment vertical="top"/>
    </xf>
    <xf numFmtId="43" fontId="21" fillId="0" borderId="0" xfId="1" applyFont="1" applyFill="1" applyBorder="1" applyAlignment="1">
      <alignment vertical="top"/>
    </xf>
    <xf numFmtId="43" fontId="21" fillId="0" borderId="12" xfId="1" applyFont="1" applyFill="1" applyBorder="1" applyAlignment="1">
      <alignment vertical="top"/>
    </xf>
    <xf numFmtId="43" fontId="25" fillId="0" borderId="0" xfId="1" applyFont="1" applyFill="1" applyAlignment="1">
      <alignment vertical="top"/>
    </xf>
    <xf numFmtId="43" fontId="26" fillId="0" borderId="0" xfId="1" applyFont="1" applyFill="1" applyAlignment="1">
      <alignment vertical="top"/>
    </xf>
    <xf numFmtId="43" fontId="32" fillId="0" borderId="0" xfId="1" applyFont="1" applyFill="1" applyAlignment="1">
      <alignment vertical="top"/>
    </xf>
    <xf numFmtId="43" fontId="21" fillId="0" borderId="0" xfId="1" applyFont="1" applyFill="1" applyAlignment="1">
      <alignment horizontal="right" vertical="top"/>
    </xf>
    <xf numFmtId="43" fontId="21" fillId="0" borderId="0" xfId="0" applyNumberFormat="1" applyFont="1" applyAlignment="1">
      <alignment vertical="top"/>
    </xf>
    <xf numFmtId="43" fontId="21" fillId="61" borderId="0" xfId="1" applyFont="1" applyFill="1" applyAlignment="1">
      <alignment vertical="top"/>
    </xf>
    <xf numFmtId="43" fontId="25" fillId="0" borderId="0" xfId="1" applyFont="1" applyAlignment="1">
      <alignment vertical="top"/>
    </xf>
    <xf numFmtId="43" fontId="21" fillId="0" borderId="0" xfId="1" applyFont="1" applyAlignment="1">
      <alignment horizontal="right" vertical="top"/>
    </xf>
    <xf numFmtId="10" fontId="21" fillId="0" borderId="0" xfId="2" applyFont="1" applyAlignment="1">
      <alignment vertical="top"/>
    </xf>
    <xf numFmtId="10" fontId="25" fillId="0" borderId="0" xfId="2" applyFont="1" applyAlignment="1">
      <alignment vertical="top"/>
    </xf>
    <xf numFmtId="10" fontId="26" fillId="0" borderId="0" xfId="2" applyFont="1" applyFill="1" applyAlignment="1">
      <alignment vertical="top"/>
    </xf>
    <xf numFmtId="10" fontId="32" fillId="0" borderId="0" xfId="2" applyFont="1" applyFill="1" applyAlignment="1">
      <alignment vertical="top"/>
    </xf>
    <xf numFmtId="10" fontId="21" fillId="0" borderId="0" xfId="2" applyFont="1" applyAlignment="1">
      <alignment horizontal="right" vertical="top"/>
    </xf>
    <xf numFmtId="10" fontId="21" fillId="0" borderId="0" xfId="2" applyFont="1" applyFill="1" applyAlignment="1">
      <alignment vertical="top"/>
    </xf>
    <xf numFmtId="10" fontId="21" fillId="0" borderId="0" xfId="0" applyNumberFormat="1" applyFont="1" applyAlignment="1">
      <alignment vertical="top"/>
    </xf>
    <xf numFmtId="0" fontId="21" fillId="0" borderId="0" xfId="1" applyNumberFormat="1" applyFont="1" applyFill="1" applyAlignment="1">
      <alignment vertical="top"/>
    </xf>
    <xf numFmtId="174" fontId="25" fillId="0" borderId="0" xfId="1" applyNumberFormat="1" applyFont="1" applyAlignment="1">
      <alignment vertical="top"/>
    </xf>
    <xf numFmtId="174" fontId="26" fillId="0" borderId="0" xfId="1" applyNumberFormat="1" applyFont="1" applyFill="1" applyAlignment="1">
      <alignment vertical="top"/>
    </xf>
    <xf numFmtId="174" fontId="32" fillId="0" borderId="0" xfId="1" applyNumberFormat="1" applyFont="1" applyFill="1" applyAlignment="1">
      <alignment vertical="top"/>
    </xf>
    <xf numFmtId="174" fontId="21" fillId="0" borderId="0" xfId="1" applyNumberFormat="1" applyFont="1" applyAlignment="1">
      <alignment horizontal="right" vertical="top"/>
    </xf>
    <xf numFmtId="174" fontId="21" fillId="0" borderId="0" xfId="1" applyNumberFormat="1" applyFont="1" applyAlignment="1">
      <alignment vertical="top"/>
    </xf>
    <xf numFmtId="174" fontId="21" fillId="0" borderId="0" xfId="1" applyNumberFormat="1" applyFont="1" applyFill="1" applyAlignment="1">
      <alignment vertical="top"/>
    </xf>
    <xf numFmtId="175" fontId="21" fillId="0" borderId="0" xfId="1" applyNumberFormat="1" applyFont="1" applyAlignment="1">
      <alignment vertical="top"/>
    </xf>
    <xf numFmtId="176" fontId="21" fillId="0" borderId="0" xfId="0" applyNumberFormat="1" applyFont="1" applyAlignment="1">
      <alignment vertical="top"/>
    </xf>
    <xf numFmtId="0" fontId="26" fillId="0" borderId="0" xfId="67" applyNumberFormat="1" applyFill="1">
      <alignment vertical="top"/>
    </xf>
    <xf numFmtId="0" fontId="32" fillId="0" borderId="0" xfId="67" applyNumberFormat="1" applyFont="1" applyFill="1">
      <alignment vertical="top"/>
    </xf>
    <xf numFmtId="0" fontId="21" fillId="0" borderId="0" xfId="68" applyNumberFormat="1">
      <alignment horizontal="right" vertical="top"/>
    </xf>
    <xf numFmtId="0" fontId="39" fillId="0" borderId="0" xfId="66" applyNumberFormat="1" applyFont="1" applyFill="1">
      <alignment vertical="top"/>
    </xf>
    <xf numFmtId="0" fontId="40" fillId="0" borderId="0" xfId="67" applyFont="1" applyFill="1">
      <alignment vertical="top"/>
    </xf>
    <xf numFmtId="0" fontId="41" fillId="0" borderId="0" xfId="67" applyFont="1" applyFill="1">
      <alignment vertical="top"/>
    </xf>
    <xf numFmtId="0" fontId="31" fillId="0" borderId="0" xfId="68" applyFont="1" applyFill="1">
      <alignment horizontal="right" vertical="top"/>
    </xf>
    <xf numFmtId="10" fontId="31" fillId="0" borderId="0" xfId="0" applyNumberFormat="1" applyFont="1" applyAlignment="1">
      <alignment vertical="top"/>
    </xf>
    <xf numFmtId="0" fontId="39" fillId="0" borderId="11" xfId="66" applyNumberFormat="1" applyFont="1" applyFill="1" applyBorder="1">
      <alignment vertical="top"/>
    </xf>
    <xf numFmtId="0" fontId="40" fillId="0" borderId="11" xfId="67" applyFont="1" applyFill="1" applyBorder="1">
      <alignment vertical="top"/>
    </xf>
    <xf numFmtId="0" fontId="41" fillId="0" borderId="11" xfId="67" applyFont="1" applyFill="1" applyBorder="1">
      <alignment vertical="top"/>
    </xf>
    <xf numFmtId="0" fontId="31" fillId="0" borderId="11" xfId="68" applyFont="1" applyFill="1" applyBorder="1">
      <alignment horizontal="right" vertical="top"/>
    </xf>
    <xf numFmtId="0" fontId="31" fillId="0" borderId="11" xfId="0" applyFont="1" applyBorder="1" applyAlignment="1">
      <alignment vertical="top"/>
    </xf>
    <xf numFmtId="10" fontId="39" fillId="0" borderId="0" xfId="2" applyFont="1" applyFill="1" applyAlignment="1">
      <alignment vertical="top"/>
    </xf>
    <xf numFmtId="10" fontId="40" fillId="0" borderId="0" xfId="2" applyFont="1" applyFill="1" applyAlignment="1">
      <alignment vertical="top"/>
    </xf>
    <xf numFmtId="10" fontId="41" fillId="0" borderId="0" xfId="2" applyFont="1" applyFill="1" applyAlignment="1">
      <alignment vertical="top"/>
    </xf>
    <xf numFmtId="10" fontId="31" fillId="0" borderId="0" xfId="2" applyFont="1" applyFill="1" applyAlignment="1">
      <alignment horizontal="right" vertical="top"/>
    </xf>
    <xf numFmtId="10" fontId="31" fillId="0" borderId="0" xfId="2" applyFont="1" applyFill="1" applyAlignment="1">
      <alignment vertical="top"/>
    </xf>
    <xf numFmtId="177" fontId="21" fillId="50" borderId="0" xfId="0" applyNumberFormat="1" applyFont="1" applyFill="1" applyAlignment="1">
      <alignment vertical="top"/>
    </xf>
    <xf numFmtId="177" fontId="21" fillId="0" borderId="0" xfId="0" applyNumberFormat="1" applyFont="1" applyAlignment="1">
      <alignment vertical="top"/>
    </xf>
    <xf numFmtId="178" fontId="26" fillId="0" borderId="0" xfId="1" applyNumberFormat="1" applyFont="1" applyFill="1" applyAlignment="1">
      <alignment vertical="top"/>
    </xf>
    <xf numFmtId="178" fontId="32" fillId="0" borderId="0" xfId="1" applyNumberFormat="1" applyFont="1" applyFill="1" applyAlignment="1">
      <alignment vertical="top"/>
    </xf>
    <xf numFmtId="178" fontId="21" fillId="0" borderId="0" xfId="1" applyNumberFormat="1" applyFont="1" applyAlignment="1">
      <alignment horizontal="right" vertical="top"/>
    </xf>
    <xf numFmtId="178" fontId="21" fillId="0" borderId="0" xfId="1" applyNumberFormat="1" applyFont="1" applyAlignment="1">
      <alignment vertical="top"/>
    </xf>
    <xf numFmtId="171" fontId="25" fillId="0" borderId="0" xfId="1" applyNumberFormat="1" applyFont="1" applyFill="1" applyAlignment="1">
      <alignment vertical="top"/>
    </xf>
    <xf numFmtId="171" fontId="26" fillId="0" borderId="0" xfId="1" applyNumberFormat="1" applyFont="1" applyFill="1" applyAlignment="1">
      <alignment vertical="top"/>
    </xf>
    <xf numFmtId="171" fontId="32" fillId="0" borderId="0" xfId="1" applyNumberFormat="1" applyFont="1" applyFill="1" applyAlignment="1">
      <alignment vertical="top"/>
    </xf>
    <xf numFmtId="171" fontId="21" fillId="0" borderId="0" xfId="1" applyNumberFormat="1" applyFont="1" applyAlignment="1">
      <alignment horizontal="right" vertical="top"/>
    </xf>
    <xf numFmtId="171" fontId="21" fillId="0" borderId="0" xfId="1" applyNumberFormat="1" applyFont="1" applyAlignment="1">
      <alignment vertical="top"/>
    </xf>
    <xf numFmtId="171" fontId="21" fillId="61" borderId="0" xfId="1" applyNumberFormat="1" applyFont="1" applyFill="1" applyAlignment="1">
      <alignment vertical="top"/>
    </xf>
    <xf numFmtId="171" fontId="21" fillId="0" borderId="0" xfId="1" applyNumberFormat="1" applyFont="1" applyFill="1" applyAlignment="1">
      <alignment vertical="top"/>
    </xf>
    <xf numFmtId="43" fontId="25" fillId="61" borderId="0" xfId="1" applyFont="1" applyFill="1" applyAlignment="1">
      <alignment vertical="top"/>
    </xf>
    <xf numFmtId="43" fontId="26" fillId="61" borderId="0" xfId="1" applyFont="1" applyFill="1" applyAlignment="1">
      <alignment vertical="top"/>
    </xf>
    <xf numFmtId="43" fontId="32" fillId="61" borderId="0" xfId="1" applyFont="1" applyFill="1" applyAlignment="1">
      <alignment vertical="top"/>
    </xf>
    <xf numFmtId="43" fontId="21" fillId="61" borderId="0" xfId="1" applyFont="1" applyFill="1" applyAlignment="1">
      <alignment horizontal="right" vertical="top"/>
    </xf>
    <xf numFmtId="43" fontId="31" fillId="0" borderId="0" xfId="1" applyFont="1" applyFill="1" applyAlignment="1">
      <alignment vertical="top"/>
    </xf>
    <xf numFmtId="178" fontId="25" fillId="0" borderId="0" xfId="1" applyNumberFormat="1" applyFont="1" applyAlignment="1">
      <alignment vertical="top"/>
    </xf>
    <xf numFmtId="178" fontId="21" fillId="49" borderId="0" xfId="1" applyNumberFormat="1" applyFont="1" applyFill="1" applyAlignment="1">
      <alignment vertical="top"/>
    </xf>
    <xf numFmtId="0" fontId="42" fillId="0" borderId="0" xfId="0" applyFont="1" applyAlignment="1">
      <alignment horizontal="left" vertical="top"/>
    </xf>
    <xf numFmtId="2" fontId="21" fillId="50" borderId="0" xfId="0" applyNumberFormat="1" applyFont="1" applyFill="1" applyAlignment="1">
      <alignment vertical="top"/>
    </xf>
    <xf numFmtId="0" fontId="21" fillId="62" borderId="0" xfId="0" applyFont="1" applyFill="1" applyAlignment="1">
      <alignment vertical="top"/>
    </xf>
    <xf numFmtId="180" fontId="21" fillId="0" borderId="0" xfId="0" applyNumberFormat="1" applyFont="1" applyAlignment="1">
      <alignment vertical="top"/>
    </xf>
    <xf numFmtId="43" fontId="31" fillId="0" borderId="0" xfId="0" applyNumberFormat="1" applyFont="1" applyAlignment="1">
      <alignment vertical="top"/>
    </xf>
    <xf numFmtId="181" fontId="21" fillId="0" borderId="0" xfId="0" applyNumberFormat="1" applyFont="1" applyAlignment="1">
      <alignment vertical="top"/>
    </xf>
    <xf numFmtId="0" fontId="21" fillId="0" borderId="0" xfId="66" applyNumberFormat="1" applyFont="1">
      <alignment vertical="top"/>
    </xf>
    <xf numFmtId="10" fontId="4" fillId="0" borderId="0" xfId="2" applyAlignment="1">
      <alignment vertical="top"/>
    </xf>
    <xf numFmtId="181" fontId="21" fillId="0" borderId="0" xfId="2" applyNumberFormat="1" applyFont="1" applyAlignment="1">
      <alignment vertical="top"/>
    </xf>
    <xf numFmtId="10" fontId="4" fillId="0" borderId="13" xfId="2" applyBorder="1" applyAlignment="1">
      <alignment vertical="top"/>
    </xf>
    <xf numFmtId="43" fontId="17" fillId="0" borderId="0" xfId="0" applyNumberFormat="1" applyFont="1" applyAlignment="1">
      <alignment vertical="top"/>
    </xf>
    <xf numFmtId="181" fontId="17" fillId="0" borderId="0" xfId="0" applyNumberFormat="1" applyFont="1" applyAlignment="1">
      <alignment vertical="top"/>
    </xf>
    <xf numFmtId="10" fontId="4" fillId="0" borderId="0" xfId="2" applyFont="1" applyBorder="1" applyAlignment="1">
      <alignment vertical="top"/>
    </xf>
    <xf numFmtId="10" fontId="21" fillId="50" borderId="0" xfId="0" applyNumberFormat="1" applyFont="1" applyFill="1" applyAlignment="1">
      <alignment vertical="top"/>
    </xf>
    <xf numFmtId="174" fontId="21" fillId="61" borderId="0" xfId="1" applyNumberFormat="1" applyFont="1" applyFill="1" applyAlignment="1">
      <alignment vertical="top"/>
    </xf>
    <xf numFmtId="174" fontId="21" fillId="0" borderId="0" xfId="1" applyNumberFormat="1" applyFont="1" applyFill="1" applyBorder="1" applyAlignment="1">
      <alignment vertical="top"/>
    </xf>
    <xf numFmtId="174" fontId="21" fillId="0" borderId="12" xfId="1" applyNumberFormat="1" applyFont="1" applyFill="1" applyBorder="1" applyAlignment="1">
      <alignment vertical="top"/>
    </xf>
    <xf numFmtId="174" fontId="21" fillId="0" borderId="0" xfId="0" applyNumberFormat="1" applyFont="1" applyAlignment="1">
      <alignment vertical="top"/>
    </xf>
    <xf numFmtId="182" fontId="21" fillId="61" borderId="0" xfId="0" applyNumberFormat="1" applyFont="1" applyFill="1" applyAlignment="1">
      <alignment vertical="top"/>
    </xf>
    <xf numFmtId="182" fontId="21" fillId="0" borderId="0" xfId="1" applyNumberFormat="1" applyFont="1" applyAlignment="1">
      <alignment vertical="top"/>
    </xf>
    <xf numFmtId="182" fontId="21" fillId="0" borderId="0" xfId="0" applyNumberFormat="1" applyFont="1" applyAlignment="1">
      <alignment vertical="top"/>
    </xf>
    <xf numFmtId="184" fontId="21" fillId="0" borderId="0" xfId="1" applyNumberFormat="1" applyFont="1" applyAlignment="1">
      <alignment vertical="top"/>
    </xf>
    <xf numFmtId="185" fontId="31" fillId="0" borderId="0" xfId="1" applyNumberFormat="1" applyFont="1" applyFill="1" applyAlignment="1">
      <alignment vertical="top"/>
    </xf>
    <xf numFmtId="182" fontId="31" fillId="0" borderId="0" xfId="0" applyNumberFormat="1" applyFont="1" applyAlignment="1">
      <alignment vertical="top"/>
    </xf>
    <xf numFmtId="185" fontId="31" fillId="0" borderId="0" xfId="0" applyNumberFormat="1" applyFont="1" applyAlignment="1">
      <alignment vertical="top"/>
    </xf>
    <xf numFmtId="174" fontId="25" fillId="0" borderId="0" xfId="1" applyNumberFormat="1" applyFont="1" applyFill="1" applyAlignment="1">
      <alignment vertical="top"/>
    </xf>
    <xf numFmtId="174" fontId="21" fillId="0" borderId="0" xfId="1" applyNumberFormat="1" applyFont="1" applyFill="1" applyAlignment="1">
      <alignment horizontal="right" vertical="top"/>
    </xf>
    <xf numFmtId="164" fontId="21" fillId="50" borderId="0" xfId="0" applyNumberFormat="1" applyFont="1" applyFill="1" applyAlignment="1">
      <alignment vertical="top"/>
    </xf>
    <xf numFmtId="183" fontId="21" fillId="0" borderId="0" xfId="0" applyNumberFormat="1" applyFont="1" applyAlignment="1">
      <alignment vertical="top"/>
    </xf>
    <xf numFmtId="0" fontId="0" fillId="66" borderId="10" xfId="0" applyFill="1" applyBorder="1"/>
    <xf numFmtId="0" fontId="45" fillId="0" borderId="0" xfId="67" applyFont="1" applyFill="1">
      <alignment vertical="top"/>
    </xf>
    <xf numFmtId="0" fontId="46" fillId="0" borderId="0" xfId="67" applyFont="1" applyFill="1">
      <alignment vertical="top"/>
    </xf>
    <xf numFmtId="43" fontId="17" fillId="0" borderId="0" xfId="1" applyFont="1" applyAlignment="1">
      <alignment vertical="top"/>
    </xf>
    <xf numFmtId="174" fontId="17" fillId="0" borderId="0" xfId="0" applyNumberFormat="1" applyFont="1" applyAlignment="1">
      <alignment vertical="top"/>
    </xf>
    <xf numFmtId="174" fontId="17" fillId="0" borderId="0" xfId="1" applyNumberFormat="1" applyFont="1" applyAlignment="1">
      <alignment vertical="top"/>
    </xf>
    <xf numFmtId="43" fontId="44" fillId="0" borderId="0" xfId="1" applyFont="1" applyAlignment="1">
      <alignment vertical="top"/>
    </xf>
    <xf numFmtId="43" fontId="45" fillId="0" borderId="0" xfId="1" applyFont="1" applyFill="1" applyAlignment="1">
      <alignment vertical="top"/>
    </xf>
    <xf numFmtId="43" fontId="46" fillId="0" borderId="0" xfId="1" applyFont="1" applyFill="1" applyAlignment="1">
      <alignment vertical="top"/>
    </xf>
    <xf numFmtId="43" fontId="17" fillId="0" borderId="0" xfId="1" applyFont="1" applyAlignment="1">
      <alignment horizontal="right" vertical="top"/>
    </xf>
    <xf numFmtId="43" fontId="42" fillId="0" borderId="0" xfId="1" applyFont="1" applyFill="1" applyAlignment="1">
      <alignment vertical="top"/>
    </xf>
    <xf numFmtId="174" fontId="17" fillId="0" borderId="0" xfId="1" applyNumberFormat="1" applyFont="1" applyFill="1" applyAlignment="1">
      <alignment vertical="top"/>
    </xf>
    <xf numFmtId="0" fontId="42" fillId="0" borderId="0" xfId="67" applyFont="1" applyFill="1">
      <alignment vertical="top"/>
    </xf>
    <xf numFmtId="0" fontId="42" fillId="0" borderId="12" xfId="67" applyFont="1" applyFill="1" applyBorder="1">
      <alignment vertical="top"/>
    </xf>
    <xf numFmtId="0" fontId="42" fillId="0" borderId="0" xfId="67" applyFont="1" applyFill="1" applyBorder="1">
      <alignment vertical="top"/>
    </xf>
    <xf numFmtId="174" fontId="31" fillId="0" borderId="0" xfId="1" applyNumberFormat="1" applyFont="1" applyFill="1" applyAlignment="1">
      <alignment vertical="top"/>
    </xf>
    <xf numFmtId="182" fontId="21" fillId="0" borderId="0" xfId="2" applyNumberFormat="1" applyFont="1" applyFill="1" applyAlignment="1">
      <alignment vertical="top"/>
    </xf>
    <xf numFmtId="0" fontId="47" fillId="0" borderId="0" xfId="67" applyFont="1" applyFill="1">
      <alignment vertical="top"/>
    </xf>
    <xf numFmtId="185" fontId="27" fillId="0" borderId="0" xfId="0" applyNumberFormat="1" applyFont="1" applyAlignment="1">
      <alignment vertical="top"/>
    </xf>
    <xf numFmtId="179" fontId="25" fillId="67" borderId="0" xfId="62" applyNumberFormat="1" applyFont="1" applyFill="1">
      <alignment vertical="top"/>
    </xf>
    <xf numFmtId="179" fontId="26" fillId="67" borderId="0" xfId="62" applyNumberFormat="1" applyFont="1" applyFill="1">
      <alignment vertical="top"/>
    </xf>
    <xf numFmtId="179" fontId="21" fillId="67" borderId="0" xfId="62" applyNumberFormat="1" applyFill="1">
      <alignment vertical="top"/>
    </xf>
    <xf numFmtId="178" fontId="21" fillId="51" borderId="0" xfId="1" applyNumberFormat="1" applyFont="1" applyFill="1" applyAlignment="1">
      <alignment vertical="top"/>
    </xf>
    <xf numFmtId="186" fontId="21" fillId="50" borderId="0" xfId="0" applyNumberFormat="1" applyFont="1" applyFill="1" applyAlignment="1">
      <alignment vertical="top"/>
    </xf>
    <xf numFmtId="0" fontId="21" fillId="0" borderId="0" xfId="66" applyNumberFormat="1" applyFont="1" applyFill="1">
      <alignment vertical="top"/>
    </xf>
    <xf numFmtId="0" fontId="21" fillId="61" borderId="0" xfId="66" applyNumberFormat="1" applyFont="1" applyFill="1">
      <alignment vertical="top"/>
    </xf>
    <xf numFmtId="0" fontId="3" fillId="0" borderId="0" xfId="73"/>
    <xf numFmtId="0" fontId="49" fillId="0" borderId="0" xfId="73" applyFont="1"/>
    <xf numFmtId="0" fontId="50" fillId="68" borderId="0" xfId="73" applyFont="1" applyFill="1"/>
    <xf numFmtId="0" fontId="52" fillId="0" borderId="0" xfId="75" applyFont="1" applyAlignment="1">
      <alignment vertical="top"/>
    </xf>
    <xf numFmtId="0" fontId="2" fillId="0" borderId="0" xfId="77"/>
    <xf numFmtId="0" fontId="53" fillId="0" borderId="0" xfId="77" applyFont="1"/>
    <xf numFmtId="0" fontId="53" fillId="0" borderId="0" xfId="77" applyFont="1" applyAlignment="1">
      <alignment horizontal="right"/>
    </xf>
    <xf numFmtId="182" fontId="53" fillId="0" borderId="0" xfId="77" applyNumberFormat="1" applyFont="1"/>
    <xf numFmtId="0" fontId="2" fillId="0" borderId="0" xfId="77" applyAlignment="1">
      <alignment horizontal="right"/>
    </xf>
    <xf numFmtId="10" fontId="2" fillId="0" borderId="0" xfId="77" applyNumberFormat="1"/>
    <xf numFmtId="164" fontId="4" fillId="0" borderId="0" xfId="78" applyFill="1" applyAlignment="1">
      <alignment vertical="top" wrapText="1"/>
    </xf>
    <xf numFmtId="164" fontId="20" fillId="70" borderId="10" xfId="78" applyFont="1" applyFill="1" applyBorder="1" applyAlignment="1">
      <alignment vertical="top" wrapText="1"/>
    </xf>
    <xf numFmtId="0" fontId="21" fillId="64" borderId="0" xfId="0" applyFont="1" applyFill="1" applyAlignment="1">
      <alignment horizontal="left" vertical="center" wrapText="1"/>
    </xf>
    <xf numFmtId="0" fontId="54" fillId="61" borderId="14" xfId="0" applyFont="1" applyFill="1" applyBorder="1" applyAlignment="1">
      <alignment horizontal="left" vertical="center" wrapText="1"/>
    </xf>
    <xf numFmtId="0" fontId="21" fillId="71" borderId="14" xfId="0" applyFont="1" applyFill="1" applyBorder="1" applyAlignment="1">
      <alignment horizontal="left" vertical="center" wrapText="1"/>
    </xf>
    <xf numFmtId="0" fontId="21" fillId="71" borderId="14" xfId="0" applyFont="1" applyFill="1" applyBorder="1" applyAlignment="1">
      <alignment horizontal="left" vertical="center"/>
    </xf>
    <xf numFmtId="164" fontId="55" fillId="33" borderId="0" xfId="0" applyNumberFormat="1" applyFont="1" applyFill="1" applyAlignment="1">
      <alignment vertical="top"/>
    </xf>
    <xf numFmtId="0" fontId="2" fillId="33" borderId="0" xfId="0" applyFont="1" applyFill="1"/>
    <xf numFmtId="0" fontId="29" fillId="0" borderId="0" xfId="72"/>
    <xf numFmtId="187" fontId="0" fillId="69" borderId="0" xfId="0" applyNumberFormat="1" applyFill="1"/>
    <xf numFmtId="0" fontId="50" fillId="72" borderId="16" xfId="0" applyFont="1" applyFill="1" applyBorder="1" applyAlignment="1">
      <alignment wrapText="1"/>
    </xf>
    <xf numFmtId="0" fontId="50" fillId="72" borderId="15" xfId="0" applyFont="1" applyFill="1" applyBorder="1" applyAlignment="1">
      <alignment wrapText="1"/>
    </xf>
    <xf numFmtId="0" fontId="0" fillId="0" borderId="16" xfId="0" applyBorder="1"/>
    <xf numFmtId="0" fontId="0" fillId="0" borderId="15" xfId="0" applyBorder="1"/>
    <xf numFmtId="187" fontId="0" fillId="69" borderId="16" xfId="0" applyNumberFormat="1" applyFill="1" applyBorder="1"/>
    <xf numFmtId="187" fontId="0" fillId="69" borderId="15" xfId="0" applyNumberFormat="1" applyFill="1" applyBorder="1"/>
    <xf numFmtId="187" fontId="0" fillId="73" borderId="0" xfId="0" applyNumberFormat="1" applyFill="1"/>
    <xf numFmtId="187" fontId="3" fillId="0" borderId="0" xfId="73" applyNumberFormat="1"/>
    <xf numFmtId="22" fontId="3" fillId="0" borderId="0" xfId="74" applyNumberFormat="1"/>
    <xf numFmtId="0" fontId="3" fillId="0" borderId="0" xfId="76" applyAlignment="1">
      <alignment vertical="top"/>
    </xf>
    <xf numFmtId="3" fontId="3" fillId="0" borderId="0" xfId="73" applyNumberFormat="1"/>
    <xf numFmtId="176" fontId="3" fillId="0" borderId="0" xfId="73" applyNumberFormat="1" applyAlignment="1">
      <alignment horizontal="right"/>
    </xf>
    <xf numFmtId="0" fontId="21" fillId="74" borderId="0" xfId="0" applyFont="1" applyFill="1" applyAlignment="1">
      <alignment vertical="top"/>
    </xf>
    <xf numFmtId="180" fontId="25" fillId="0" borderId="0" xfId="2" applyNumberFormat="1" applyFont="1" applyFill="1" applyAlignment="1">
      <alignment vertical="top"/>
    </xf>
    <xf numFmtId="180" fontId="26" fillId="0" borderId="0" xfId="2" applyNumberFormat="1" applyFont="1" applyFill="1" applyAlignment="1">
      <alignment vertical="top"/>
    </xf>
    <xf numFmtId="180" fontId="42" fillId="0" borderId="0" xfId="2" applyNumberFormat="1" applyFont="1" applyFill="1" applyAlignment="1">
      <alignment vertical="top"/>
    </xf>
    <xf numFmtId="180" fontId="21" fillId="0" borderId="0" xfId="2" applyNumberFormat="1" applyFont="1" applyFill="1" applyAlignment="1">
      <alignment horizontal="right" vertical="top"/>
    </xf>
    <xf numFmtId="180" fontId="21" fillId="0" borderId="0" xfId="2" applyNumberFormat="1" applyFont="1" applyFill="1" applyAlignment="1">
      <alignment vertical="top"/>
    </xf>
    <xf numFmtId="180" fontId="21" fillId="0" borderId="0" xfId="1" applyNumberFormat="1" applyFont="1" applyFill="1" applyAlignment="1">
      <alignment vertical="top"/>
    </xf>
    <xf numFmtId="185" fontId="21" fillId="0" borderId="0" xfId="1" applyNumberFormat="1" applyFont="1" applyFill="1" applyAlignment="1">
      <alignment vertical="top"/>
    </xf>
    <xf numFmtId="182" fontId="21" fillId="0" borderId="0" xfId="1" applyNumberFormat="1" applyFont="1" applyFill="1" applyAlignment="1">
      <alignment vertical="top"/>
    </xf>
    <xf numFmtId="0" fontId="44" fillId="0" borderId="0" xfId="66" applyNumberFormat="1" applyFont="1" applyFill="1">
      <alignment vertical="top"/>
    </xf>
    <xf numFmtId="0" fontId="17" fillId="0" borderId="0" xfId="68" applyFont="1" applyFill="1">
      <alignment horizontal="right" vertical="top"/>
    </xf>
    <xf numFmtId="0" fontId="49" fillId="0" borderId="0" xfId="0" applyFont="1"/>
    <xf numFmtId="0" fontId="50" fillId="68" borderId="0" xfId="0" applyFont="1" applyFill="1"/>
    <xf numFmtId="174" fontId="21" fillId="61" borderId="0" xfId="0" applyNumberFormat="1" applyFont="1" applyFill="1" applyAlignment="1">
      <alignment vertical="top"/>
    </xf>
    <xf numFmtId="186" fontId="0" fillId="69" borderId="0" xfId="0" applyNumberFormat="1" applyFill="1"/>
    <xf numFmtId="0" fontId="0" fillId="69" borderId="0" xfId="0" applyFill="1"/>
    <xf numFmtId="186" fontId="51" fillId="75" borderId="0" xfId="80" applyNumberFormat="1" applyFill="1"/>
    <xf numFmtId="186" fontId="57" fillId="75" borderId="0" xfId="80" applyNumberFormat="1" applyFont="1" applyFill="1"/>
    <xf numFmtId="0" fontId="25" fillId="76" borderId="0" xfId="66" applyNumberFormat="1" applyFill="1">
      <alignment vertical="top"/>
    </xf>
    <xf numFmtId="0" fontId="26" fillId="76" borderId="0" xfId="67" applyFill="1">
      <alignment vertical="top"/>
    </xf>
    <xf numFmtId="0" fontId="32" fillId="76" borderId="0" xfId="67" applyFont="1" applyFill="1">
      <alignment vertical="top"/>
    </xf>
    <xf numFmtId="0" fontId="21" fillId="76" borderId="0" xfId="68" applyFill="1">
      <alignment horizontal="right" vertical="top"/>
    </xf>
    <xf numFmtId="188" fontId="31" fillId="0" borderId="0" xfId="2" applyNumberFormat="1" applyFont="1" applyFill="1" applyAlignment="1">
      <alignment vertical="top"/>
    </xf>
    <xf numFmtId="10" fontId="39" fillId="76" borderId="0" xfId="2" applyFont="1" applyFill="1" applyAlignment="1">
      <alignment vertical="top"/>
    </xf>
    <xf numFmtId="10" fontId="40" fillId="76" borderId="0" xfId="2" applyFont="1" applyFill="1" applyAlignment="1">
      <alignment vertical="top"/>
    </xf>
    <xf numFmtId="10" fontId="41" fillId="76" borderId="0" xfId="2" applyFont="1" applyFill="1" applyAlignment="1">
      <alignment vertical="top"/>
    </xf>
    <xf numFmtId="10" fontId="31" fillId="76" borderId="0" xfId="2" applyFont="1" applyFill="1" applyAlignment="1">
      <alignment horizontal="right" vertical="top"/>
    </xf>
    <xf numFmtId="43" fontId="25" fillId="76" borderId="0" xfId="1" applyFont="1" applyFill="1" applyAlignment="1">
      <alignment vertical="top"/>
    </xf>
    <xf numFmtId="43" fontId="26" fillId="76" borderId="0" xfId="1" applyFont="1" applyFill="1" applyAlignment="1">
      <alignment vertical="top"/>
    </xf>
    <xf numFmtId="43" fontId="32" fillId="76" borderId="0" xfId="1" applyFont="1" applyFill="1" applyAlignment="1">
      <alignment vertical="top"/>
    </xf>
    <xf numFmtId="43" fontId="21" fillId="76" borderId="0" xfId="1" applyFont="1" applyFill="1" applyAlignment="1">
      <alignment horizontal="right" vertical="top"/>
    </xf>
    <xf numFmtId="10" fontId="31" fillId="0" borderId="0" xfId="2" applyFont="1" applyAlignment="1">
      <alignment vertical="top"/>
    </xf>
    <xf numFmtId="0" fontId="21" fillId="0" borderId="11" xfId="0" applyFont="1" applyBorder="1" applyAlignment="1">
      <alignment vertical="top"/>
    </xf>
    <xf numFmtId="0" fontId="40" fillId="76" borderId="11" xfId="67" applyFont="1" applyFill="1" applyBorder="1">
      <alignment vertical="top"/>
    </xf>
    <xf numFmtId="0" fontId="41" fillId="76" borderId="11" xfId="67" applyFont="1" applyFill="1" applyBorder="1">
      <alignment vertical="top"/>
    </xf>
    <xf numFmtId="0" fontId="31" fillId="76" borderId="11" xfId="68" applyFont="1" applyFill="1" applyBorder="1">
      <alignment horizontal="right" vertical="top"/>
    </xf>
    <xf numFmtId="10" fontId="25" fillId="76" borderId="0" xfId="2" applyFont="1" applyFill="1" applyAlignment="1">
      <alignment vertical="top"/>
    </xf>
    <xf numFmtId="10" fontId="26" fillId="76" borderId="0" xfId="2" applyFont="1" applyFill="1" applyAlignment="1">
      <alignment vertical="top"/>
    </xf>
    <xf numFmtId="10" fontId="32" fillId="76" borderId="0" xfId="2" applyFont="1" applyFill="1" applyAlignment="1">
      <alignment vertical="top"/>
    </xf>
    <xf numFmtId="10" fontId="21" fillId="76" borderId="0" xfId="2" applyFont="1" applyFill="1" applyAlignment="1">
      <alignment horizontal="right" vertical="top"/>
    </xf>
    <xf numFmtId="180" fontId="31" fillId="0" borderId="0" xfId="0" applyNumberFormat="1" applyFont="1" applyAlignment="1">
      <alignment vertical="top"/>
    </xf>
    <xf numFmtId="182" fontId="21" fillId="0" borderId="11" xfId="0" applyNumberFormat="1" applyFont="1" applyBorder="1" applyAlignment="1">
      <alignment vertical="top"/>
    </xf>
    <xf numFmtId="182" fontId="3" fillId="0" borderId="0" xfId="74" applyNumberFormat="1" applyAlignment="1">
      <alignment horizontal="right"/>
    </xf>
    <xf numFmtId="182" fontId="3" fillId="0" borderId="0" xfId="76" applyNumberFormat="1" applyAlignment="1">
      <alignment horizontal="right" vertical="top"/>
    </xf>
    <xf numFmtId="43" fontId="21" fillId="0" borderId="12" xfId="0" applyNumberFormat="1" applyFont="1" applyBorder="1" applyAlignment="1">
      <alignment vertical="top"/>
    </xf>
    <xf numFmtId="10" fontId="31" fillId="76" borderId="0" xfId="2" applyFont="1" applyFill="1" applyAlignment="1">
      <alignment vertical="top"/>
    </xf>
    <xf numFmtId="0" fontId="31" fillId="76" borderId="0" xfId="0" applyFont="1" applyFill="1" applyAlignment="1">
      <alignment vertical="top"/>
    </xf>
    <xf numFmtId="43" fontId="21" fillId="76" borderId="0" xfId="1" applyFont="1" applyFill="1" applyAlignment="1">
      <alignment vertical="top"/>
    </xf>
    <xf numFmtId="0" fontId="44" fillId="76" borderId="0" xfId="66" applyNumberFormat="1" applyFont="1" applyFill="1">
      <alignment vertical="top"/>
    </xf>
    <xf numFmtId="0" fontId="45" fillId="76" borderId="0" xfId="67" applyFont="1" applyFill="1">
      <alignment vertical="top"/>
    </xf>
    <xf numFmtId="0" fontId="46" fillId="76" borderId="0" xfId="67" applyFont="1" applyFill="1">
      <alignment vertical="top"/>
    </xf>
    <xf numFmtId="0" fontId="17" fillId="76" borderId="0" xfId="68" applyFont="1" applyFill="1">
      <alignment horizontal="right" vertical="top"/>
    </xf>
    <xf numFmtId="0" fontId="21" fillId="0" borderId="0" xfId="66" applyNumberFormat="1" applyFont="1" applyFill="1" applyBorder="1">
      <alignment vertical="top"/>
    </xf>
    <xf numFmtId="0" fontId="58" fillId="68" borderId="0" xfId="0" applyFont="1" applyFill="1"/>
    <xf numFmtId="0" fontId="59" fillId="0" borderId="0" xfId="0" applyFont="1"/>
    <xf numFmtId="164" fontId="61" fillId="77" borderId="0" xfId="81" applyFont="1" applyFill="1">
      <alignment vertical="top"/>
    </xf>
    <xf numFmtId="164" fontId="62" fillId="77" borderId="0" xfId="82" applyFill="1">
      <alignment vertical="top"/>
    </xf>
    <xf numFmtId="164" fontId="63" fillId="77" borderId="0" xfId="82" applyFont="1" applyFill="1">
      <alignment vertical="top"/>
    </xf>
    <xf numFmtId="164" fontId="63" fillId="0" borderId="0" xfId="82" applyFont="1" applyFill="1">
      <alignment vertical="top"/>
    </xf>
    <xf numFmtId="164" fontId="62" fillId="0" borderId="0" xfId="82" applyFill="1">
      <alignment vertical="top"/>
    </xf>
    <xf numFmtId="164" fontId="64" fillId="0" borderId="0" xfId="82" applyFont="1" applyFill="1">
      <alignment vertical="top"/>
    </xf>
    <xf numFmtId="164" fontId="65" fillId="0" borderId="0" xfId="82" applyFont="1" applyFill="1">
      <alignment vertical="top"/>
    </xf>
    <xf numFmtId="164" fontId="66" fillId="0" borderId="0" xfId="82" applyFont="1" applyFill="1">
      <alignment vertical="top"/>
    </xf>
    <xf numFmtId="173" fontId="62" fillId="0" borderId="0" xfId="82" applyNumberFormat="1" applyFill="1" applyAlignment="1">
      <alignment horizontal="left" vertical="top"/>
    </xf>
    <xf numFmtId="164" fontId="62" fillId="0" borderId="0" xfId="82" applyFill="1" applyAlignment="1">
      <alignment horizontal="left" vertical="center"/>
    </xf>
    <xf numFmtId="190" fontId="62" fillId="0" borderId="0" xfId="83" applyNumberFormat="1" applyFont="1" applyFill="1" applyAlignment="1">
      <alignment horizontal="left" vertical="top"/>
    </xf>
    <xf numFmtId="164" fontId="68" fillId="0" borderId="0" xfId="84" applyNumberFormat="1" applyFont="1" applyFill="1" applyAlignment="1">
      <alignment vertical="top"/>
    </xf>
    <xf numFmtId="164" fontId="69" fillId="0" borderId="0" xfId="81" applyFont="1" applyAlignment="1"/>
    <xf numFmtId="0" fontId="70" fillId="0" borderId="0" xfId="85" applyFont="1"/>
    <xf numFmtId="0" fontId="61" fillId="77" borderId="0" xfId="86" applyFont="1" applyFill="1" applyAlignment="1">
      <alignment vertical="top"/>
    </xf>
    <xf numFmtId="0" fontId="72" fillId="77" borderId="0" xfId="86" applyFont="1" applyFill="1" applyAlignment="1">
      <alignment vertical="top"/>
    </xf>
    <xf numFmtId="0" fontId="71" fillId="0" borderId="0" xfId="86"/>
    <xf numFmtId="0" fontId="73" fillId="0" borderId="0" xfId="86" applyFont="1" applyAlignment="1">
      <alignment vertical="top"/>
    </xf>
    <xf numFmtId="0" fontId="74" fillId="78" borderId="17" xfId="86" applyFont="1" applyFill="1" applyBorder="1" applyAlignment="1">
      <alignment horizontal="center" vertical="center"/>
    </xf>
    <xf numFmtId="0" fontId="74" fillId="78" borderId="17" xfId="86" applyFont="1" applyFill="1" applyBorder="1" applyAlignment="1">
      <alignment horizontal="center" vertical="center" wrapText="1"/>
    </xf>
    <xf numFmtId="0" fontId="62" fillId="0" borderId="17" xfId="86" applyFont="1" applyBorder="1" applyAlignment="1">
      <alignment vertical="top" wrapText="1"/>
    </xf>
    <xf numFmtId="10" fontId="75" fillId="0" borderId="17" xfId="86" applyNumberFormat="1" applyFont="1" applyBorder="1" applyAlignment="1">
      <alignment vertical="top" wrapText="1"/>
    </xf>
    <xf numFmtId="164" fontId="76" fillId="79" borderId="0" xfId="82" applyFont="1" applyFill="1">
      <alignment vertical="top"/>
    </xf>
    <xf numFmtId="0" fontId="62" fillId="0" borderId="0" xfId="86" applyFont="1" applyAlignment="1">
      <alignment vertical="center" wrapText="1"/>
    </xf>
    <xf numFmtId="0" fontId="62" fillId="0" borderId="0" xfId="86" applyFont="1" applyAlignment="1">
      <alignment vertical="top" wrapText="1"/>
    </xf>
    <xf numFmtId="182" fontId="75" fillId="0" borderId="0" xfId="86" applyNumberFormat="1" applyFont="1" applyAlignment="1">
      <alignment vertical="top" wrapText="1"/>
    </xf>
    <xf numFmtId="0" fontId="62" fillId="0" borderId="17" xfId="86" applyFont="1" applyBorder="1" applyAlignment="1">
      <alignment horizontal="center" vertical="center" wrapText="1"/>
    </xf>
    <xf numFmtId="0" fontId="62" fillId="0" borderId="18" xfId="86" applyFont="1" applyBorder="1" applyAlignment="1">
      <alignment horizontal="center" vertical="center" wrapText="1"/>
    </xf>
    <xf numFmtId="0" fontId="62" fillId="0" borderId="19" xfId="86" applyFont="1" applyBorder="1" applyAlignment="1">
      <alignment horizontal="center" vertical="center" wrapText="1"/>
    </xf>
    <xf numFmtId="0" fontId="62" fillId="0" borderId="18" xfId="86" applyFont="1" applyBorder="1" applyAlignment="1">
      <alignment horizontal="left" vertical="top" wrapText="1"/>
    </xf>
    <xf numFmtId="0" fontId="62" fillId="0" borderId="19" xfId="86" applyFont="1" applyBorder="1" applyAlignment="1">
      <alignment horizontal="left" vertical="top" wrapText="1"/>
    </xf>
    <xf numFmtId="0" fontId="62" fillId="0" borderId="20" xfId="86" applyFont="1" applyBorder="1" applyAlignment="1">
      <alignment horizontal="center" vertical="center" wrapText="1"/>
    </xf>
    <xf numFmtId="0" fontId="62" fillId="0" borderId="20" xfId="86" applyFont="1" applyBorder="1" applyAlignment="1">
      <alignment horizontal="left" vertical="top" wrapText="1"/>
    </xf>
  </cellXfs>
  <cellStyles count="87">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nd of sheet" xfId="71" xr:uid="{00000000-0005-0000-0000-000023000000}"/>
    <cellStyle name="Explanatory Text" xfId="18" builtinId="53" hidden="1"/>
    <cellStyle name="Export" xfId="56" xr:uid="{00000000-0005-0000-0000-000025000000}"/>
    <cellStyle name="Factor" xfId="62" xr:uid="{00000000-0005-0000-0000-000026000000}"/>
    <cellStyle name="Good" xfId="8" builtinId="26" hidden="1"/>
    <cellStyle name="Hard coded" xfId="57" xr:uid="{00000000-0005-0000-0000-000028000000}"/>
    <cellStyle name="Heading 1" xfId="4" builtinId="16" hidden="1"/>
    <cellStyle name="Heading 2" xfId="5" builtinId="17" hidden="1"/>
    <cellStyle name="Heading 3" xfId="6" builtinId="18" hidden="1"/>
    <cellStyle name="Heading 4" xfId="7" builtinId="19" hidden="1"/>
    <cellStyle name="Hyperlink" xfId="72" builtinId="8"/>
    <cellStyle name="Hyperlink 2" xfId="69" xr:uid="{00000000-0005-0000-0000-00002E000000}"/>
    <cellStyle name="Hyperlink 2 2" xfId="84" xr:uid="{B6A69F04-1221-401D-AFA5-9BBE341EE4FC}"/>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10" xfId="85" xr:uid="{233E99A3-14D3-4835-A9D4-100C1220515A}"/>
    <cellStyle name="Normal 12 3" xfId="74" xr:uid="{9290A317-B04A-4687-BE8A-B3ED9AC654C8}"/>
    <cellStyle name="Normal 13" xfId="80" xr:uid="{C10808A7-CB6D-43E9-A5A3-250DD6F648AB}"/>
    <cellStyle name="Normal 2" xfId="77" xr:uid="{31828634-21EC-4361-A115-B717C95BCE25}"/>
    <cellStyle name="Normal 2 2" xfId="78" xr:uid="{4F941220-AA65-426C-865E-B3751D7E3B9C}"/>
    <cellStyle name="Normal 2 2 2" xfId="75" xr:uid="{D33B39ED-1E8F-4570-8CF2-1882C00E751D}"/>
    <cellStyle name="Normal 2 3" xfId="79" xr:uid="{B33FD5AB-CE09-4C6E-86B3-102796C5CE8D}"/>
    <cellStyle name="Normal 2 4" xfId="82" xr:uid="{9A89BF42-8211-48CD-8114-B8E9CAD9F915}"/>
    <cellStyle name="Normal 3" xfId="86" xr:uid="{99332B56-C0F5-4CF8-BE17-D1DB7A9D385E}"/>
    <cellStyle name="Normal 3 2 6" xfId="81" xr:uid="{5115173A-FBB7-47C7-80A1-8CBE373F5322}"/>
    <cellStyle name="Normal 7 3" xfId="76" xr:uid="{6F222D00-2EE2-4AB8-8789-930C5A8417D5}"/>
    <cellStyle name="Normal 8" xfId="73" xr:uid="{83195A49-A3C3-479E-A37B-F17825E60611}"/>
    <cellStyle name="Note" xfId="17" builtinId="10" hidden="1"/>
    <cellStyle name="Output" xfId="12" builtinId="21" hidden="1"/>
    <cellStyle name="Pantone 130C" xfId="47" xr:uid="{00000000-0005-0000-0000-000039000000}"/>
    <cellStyle name="Pantone 179C" xfId="52" xr:uid="{00000000-0005-0000-0000-00003A000000}"/>
    <cellStyle name="Pantone 232C" xfId="51" xr:uid="{00000000-0005-0000-0000-00003B000000}"/>
    <cellStyle name="Pantone 2745C" xfId="50" xr:uid="{00000000-0005-0000-0000-00003C000000}"/>
    <cellStyle name="Pantone 279C" xfId="45" xr:uid="{00000000-0005-0000-0000-00003D000000}"/>
    <cellStyle name="Pantone 281C" xfId="44" xr:uid="{00000000-0005-0000-0000-00003E000000}"/>
    <cellStyle name="Pantone 451C" xfId="46" xr:uid="{00000000-0005-0000-0000-00003F000000}"/>
    <cellStyle name="Pantone 583C" xfId="49" xr:uid="{00000000-0005-0000-0000-000040000000}"/>
    <cellStyle name="Pantone 633C" xfId="48" xr:uid="{00000000-0005-0000-0000-000041000000}"/>
    <cellStyle name="Per cent" xfId="2" builtinId="5" customBuiltin="1"/>
    <cellStyle name="Percent [0]" xfId="58" xr:uid="{00000000-0005-0000-0000-000043000000}"/>
    <cellStyle name="Title" xfId="3" builtinId="15" hidden="1"/>
    <cellStyle name="Total" xfId="19" builtinId="25" hidden="1"/>
    <cellStyle name="Warning Text" xfId="16" builtinId="11" customBuiltin="1"/>
    <cellStyle name="Warning Text 2" xfId="70" xr:uid="{00000000-0005-0000-0000-000048000000}"/>
    <cellStyle name="WIP" xfId="53" xr:uid="{00000000-0005-0000-0000-000049000000}"/>
    <cellStyle name="Year" xfId="83" xr:uid="{C1BADEA5-594C-4FEA-A701-24D47A67D3A6}"/>
  </cellStyles>
  <dxfs count="76">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103412</xdr:rowOff>
    </xdr:from>
    <xdr:to>
      <xdr:col>8</xdr:col>
      <xdr:colOff>560101</xdr:colOff>
      <xdr:row>42</xdr:row>
      <xdr:rowOff>76200</xdr:rowOff>
    </xdr:to>
    <xdr:sp macro="" textlink="">
      <xdr:nvSpPr>
        <xdr:cNvPr id="2" name="TextBox 2">
          <a:extLst>
            <a:ext uri="{FF2B5EF4-FFF2-40B4-BE49-F238E27FC236}">
              <a16:creationId xmlns:a16="http://schemas.microsoft.com/office/drawing/2014/main" id="{C0FE6165-A4FE-47A5-A5C6-427580B07A99}"/>
            </a:ext>
          </a:extLst>
        </xdr:cNvPr>
        <xdr:cNvSpPr txBox="1"/>
      </xdr:nvSpPr>
      <xdr:spPr>
        <a:xfrm>
          <a:off x="616766" y="2300512"/>
          <a:ext cx="8985735" cy="5135338"/>
        </a:xfrm>
        <a:prstGeom prst="rect">
          <a:avLst/>
        </a:prstGeom>
        <a:noFill/>
        <a:ln>
          <a:noFill/>
        </a:ln>
      </xdr:spPr>
      <xdr:txBody>
        <a:bodyPr lIns="27432" tIns="22860" rIns="0" bIns="0" rtlCol="0"/>
        <a:lstStyle/>
        <a:p>
          <a:pPr algn="l"/>
          <a:r>
            <a:rPr lang="en-US" sz="1100" b="1">
              <a:latin typeface="Calibri"/>
            </a:rPr>
            <a:t>Summary of the model:</a:t>
          </a:r>
          <a:endParaRPr lang="en-US" sz="1000" b="1">
            <a:solidFill>
              <a:srgbClr val="000000"/>
            </a:solidFill>
            <a:latin typeface="Calibri"/>
          </a:endParaRPr>
        </a:p>
        <a:p>
          <a:pPr algn="l"/>
          <a:endParaRPr lang="en-US" sz="1000" b="1">
            <a:solidFill>
              <a:srgbClr val="000000"/>
            </a:solidFill>
            <a:latin typeface="Calibri"/>
          </a:endParaRPr>
        </a:p>
        <a:p>
          <a:pPr algn="l"/>
          <a:r>
            <a:rPr lang="en-US" sz="1000">
              <a:latin typeface="Calibri"/>
              <a:ea typeface="+mn-ea"/>
              <a:cs typeface="+mn-cs"/>
            </a:rPr>
            <a:t>This model performs the true up for differences between actual and forecast RPI-CPIH wedge. It isolates the effect of variances in the wedge, calculates adjustments to correct for the variance in the wedge, converts the adjustments from nominal to real terms and applies the time value of money adjustment to the revenue adjustment.</a:t>
          </a:r>
        </a:p>
        <a:p>
          <a:pPr algn="l"/>
          <a:endParaRPr lang="en-US" sz="1000">
            <a:latin typeface="Calibri"/>
            <a:ea typeface="+mn-ea"/>
            <a:cs typeface="+mn-cs"/>
          </a:endParaRPr>
        </a:p>
        <a:p>
          <a:pPr algn="l"/>
          <a:r>
            <a:rPr lang="en-US" sz="1000">
              <a:latin typeface="Calibri"/>
              <a:ea typeface="+mn-ea"/>
              <a:cs typeface="+mn-cs"/>
            </a:rPr>
            <a:t>References:</a:t>
          </a:r>
        </a:p>
        <a:p>
          <a:pPr algn="l"/>
          <a:endParaRPr lang="en-US" sz="1000">
            <a:latin typeface="Calibri"/>
            <a:ea typeface="+mn-ea"/>
            <a:cs typeface="+mn-cs"/>
          </a:endParaRPr>
        </a:p>
        <a:p>
          <a:pPr marL="171450" indent="-171450" algn="l">
            <a:buFont typeface="Arial" panose="020B0604020202020204" pitchFamily="34" charset="0"/>
            <a:buChar char="•"/>
          </a:pPr>
          <a:r>
            <a:rPr lang="en-GB" sz="1000">
              <a:latin typeface="Calibri"/>
              <a:ea typeface="+mn-ea"/>
              <a:cs typeface="+mn-cs"/>
            </a:rPr>
            <a:t>Forecast RPI and CPIH index values included in the final determination </a:t>
          </a:r>
        </a:p>
        <a:p>
          <a:pPr marL="171450" indent="-171450" algn="l">
            <a:buFont typeface="Arial" panose="020B0604020202020204" pitchFamily="34" charset="0"/>
            <a:buChar char="•"/>
          </a:pPr>
          <a:r>
            <a:rPr lang="en-GB" sz="1000">
              <a:latin typeface="Calibri"/>
              <a:ea typeface="+mn-ea"/>
              <a:cs typeface="+mn-cs"/>
            </a:rPr>
            <a:t>Actual RPI and CPIH index values published by ONS </a:t>
          </a:r>
        </a:p>
        <a:p>
          <a:pPr marL="171450" indent="-171450" algn="l">
            <a:buFont typeface="Arial" panose="020B0604020202020204" pitchFamily="34" charset="0"/>
            <a:buChar char="•"/>
          </a:pPr>
          <a:r>
            <a:rPr lang="en-GB" sz="1000">
              <a:latin typeface="Calibri"/>
              <a:ea typeface="+mn-ea"/>
              <a:cs typeface="+mn-cs"/>
            </a:rPr>
            <a:t>RCV run-off rate included in final determination </a:t>
          </a:r>
        </a:p>
        <a:p>
          <a:pPr marL="171450" indent="-171450" algn="l">
            <a:buFont typeface="Arial" panose="020B0604020202020204" pitchFamily="34" charset="0"/>
            <a:buChar char="•"/>
          </a:pPr>
          <a:r>
            <a:rPr lang="en-GB" sz="1000">
              <a:latin typeface="Calibri"/>
              <a:ea typeface="+mn-ea"/>
              <a:cs typeface="+mn-cs"/>
            </a:rPr>
            <a:t>Real RPI based WACC for wholesale included in final determination </a:t>
          </a:r>
        </a:p>
        <a:p>
          <a:pPr marL="171450" indent="-171450" algn="l">
            <a:buFont typeface="Arial" panose="020B0604020202020204" pitchFamily="34" charset="0"/>
            <a:buChar char="•"/>
          </a:pPr>
          <a:r>
            <a:rPr lang="en-GB" sz="1000">
              <a:latin typeface="Calibri"/>
              <a:ea typeface="+mn-ea"/>
              <a:cs typeface="+mn-cs"/>
            </a:rPr>
            <a:t>Real CPIH based WACC for wholesale included in final determination </a:t>
          </a:r>
          <a:endParaRPr lang="en-US" sz="1000">
            <a:latin typeface="Calibri"/>
            <a:ea typeface="+mn-ea"/>
            <a:cs typeface="+mn-cs"/>
          </a:endParaRPr>
        </a:p>
        <a:p>
          <a:pPr algn="l"/>
          <a:endParaRPr lang="en-US" sz="1000">
            <a:latin typeface="Calibri"/>
            <a:ea typeface="+mn-ea"/>
            <a:cs typeface="+mn-cs"/>
          </a:endParaRPr>
        </a:p>
        <a:p>
          <a:pPr algn="l"/>
          <a:endParaRPr lang="en-US" sz="1000">
            <a:latin typeface="Calibri"/>
            <a:ea typeface="+mn-ea"/>
            <a:cs typeface="+mn-cs"/>
          </a:endParaRPr>
        </a:p>
        <a:p>
          <a:pPr algn="l"/>
          <a:r>
            <a:rPr lang="en-US" sz="1100" b="1">
              <a:latin typeface="Calibri"/>
            </a:rPr>
            <a:t>Quality assurance: </a:t>
          </a:r>
          <a:endParaRPr lang="en-US" sz="1000" b="1">
            <a:latin typeface="Calibri"/>
          </a:endParaRPr>
        </a:p>
        <a:p>
          <a:pPr algn="l"/>
          <a:endParaRPr lang="en-US" sz="1000">
            <a:latin typeface="Calibri"/>
          </a:endParaRPr>
        </a:p>
        <a:p>
          <a:pPr algn="l"/>
          <a:r>
            <a:rPr lang="en-US" sz="1000">
              <a:latin typeface="Calibri"/>
            </a:rPr>
            <a:t>This model has been subject to Ofwat internal quality assurance </a:t>
          </a:r>
        </a:p>
        <a:p>
          <a:pPr algn="l"/>
          <a:r>
            <a:rPr lang="en-US" sz="1000">
              <a:latin typeface="Calibri"/>
            </a:rPr>
            <a:t>  </a:t>
          </a:r>
          <a:endParaRPr lang="en-US" sz="1000" b="1">
            <a:solidFill>
              <a:srgbClr val="000000"/>
            </a:solidFill>
            <a:latin typeface="Calibri"/>
          </a:endParaRPr>
        </a:p>
        <a:p>
          <a:pPr algn="l"/>
          <a:r>
            <a:rPr lang="en-US" sz="1000" b="1">
              <a:solidFill>
                <a:srgbClr val="000000"/>
              </a:solidFill>
              <a:latin typeface="Calibri"/>
            </a:rPr>
            <a:t>Disclaimer:</a:t>
          </a:r>
        </a:p>
        <a:p>
          <a:pPr algn="l"/>
          <a:endParaRPr lang="en-US" sz="1000">
            <a:solidFill>
              <a:srgbClr val="000000"/>
            </a:solidFill>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latin typeface="Calibri"/>
              <a:ea typeface="+mn-ea"/>
              <a:cs typeface="+mn-cs"/>
            </a:rPr>
            <a:t>This model is part of the Blind Year Reconciliation for 2024-25. For further information see the Blind Year decision documentation for 2024-25 and the PR24 final determinations setting out the price, service, and incentive package for water companies for the period 2025-30.</a:t>
          </a:r>
        </a:p>
        <a:p>
          <a:pPr algn="l"/>
          <a:endParaRPr lang="en-US" sz="1000">
            <a:latin typeface="Calibri"/>
          </a:endParaRPr>
        </a:p>
        <a:p>
          <a:pPr algn="l"/>
          <a:endParaRPr lang="en-US" sz="1000" b="1">
            <a:solidFill>
              <a:srgbClr val="000000"/>
            </a:solidFill>
            <a:latin typeface="Calibri"/>
          </a:endParaRPr>
        </a:p>
        <a:p>
          <a:pPr algn="l"/>
          <a:r>
            <a:rPr lang="en-US" sz="1000" b="1">
              <a:solidFill>
                <a:srgbClr val="000000"/>
              </a:solidFill>
              <a:latin typeface="Calibri"/>
            </a:rPr>
            <a:t>Changes since previous published model:</a:t>
          </a:r>
        </a:p>
        <a:p>
          <a:pPr algn="l"/>
          <a:endParaRPr lang="en-US" sz="1100" b="1">
            <a:solidFill>
              <a:srgbClr val="000000"/>
            </a:solidFill>
            <a:latin typeface="Calibri"/>
          </a:endParaRPr>
        </a:p>
        <a:p>
          <a:r>
            <a:rPr lang="en-GB" sz="1000">
              <a:latin typeface="Calibri"/>
              <a:ea typeface="+mn-ea"/>
              <a:cs typeface="+mn-cs"/>
            </a:rPr>
            <a:t>Calculations have been amended to use actual inflation to calculate differences on what the company should have received. </a:t>
          </a:r>
        </a:p>
      </xdr:txBody>
    </xdr:sp>
    <xdr:clientData/>
  </xdr:twoCellAnchor>
  <xdr:twoCellAnchor editAs="oneCell">
    <xdr:from>
      <xdr:col>6</xdr:col>
      <xdr:colOff>514351</xdr:colOff>
      <xdr:row>1</xdr:row>
      <xdr:rowOff>9524</xdr:rowOff>
    </xdr:from>
    <xdr:to>
      <xdr:col>9</xdr:col>
      <xdr:colOff>353733</xdr:colOff>
      <xdr:row>5</xdr:row>
      <xdr:rowOff>141860</xdr:rowOff>
    </xdr:to>
    <xdr:pic>
      <xdr:nvPicPr>
        <xdr:cNvPr id="3" name="Picture 2">
          <a:extLst>
            <a:ext uri="{FF2B5EF4-FFF2-40B4-BE49-F238E27FC236}">
              <a16:creationId xmlns:a16="http://schemas.microsoft.com/office/drawing/2014/main" id="{71071357-543E-46D8-9958-3123532C44FA}"/>
            </a:ext>
          </a:extLst>
        </xdr:cNvPr>
        <xdr:cNvPicPr>
          <a:picLocks noChangeAspect="1"/>
        </xdr:cNvPicPr>
      </xdr:nvPicPr>
      <xdr:blipFill>
        <a:blip xmlns:r="http://schemas.openxmlformats.org/officeDocument/2006/relationships" r:embed="rId1"/>
        <a:stretch>
          <a:fillRect/>
        </a:stretch>
      </xdr:blipFill>
      <xdr:spPr>
        <a:xfrm>
          <a:off x="8337551" y="403224"/>
          <a:ext cx="1665007" cy="90703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ECD6E-2260-49F8-81A2-DA37E7A4E5E8}">
  <sheetPr>
    <tabColor rgb="FFCCCCCE"/>
    <outlinePr summaryBelow="0" summaryRight="0"/>
    <pageSetUpPr fitToPage="1"/>
  </sheetPr>
  <dimension ref="A1:XFC91"/>
  <sheetViews>
    <sheetView showGridLines="0" tabSelected="1" zoomScale="80" zoomScaleNormal="80" workbookViewId="0"/>
  </sheetViews>
  <sheetFormatPr defaultColWidth="8.7265625" defaultRowHeight="12.75" customHeight="1" zeroHeight="1" x14ac:dyDescent="0.25"/>
  <cols>
    <col min="1" max="1" width="8.26953125" style="371" customWidth="1"/>
    <col min="2" max="2" width="62.81640625" style="371" bestFit="1" customWidth="1"/>
    <col min="3" max="3" width="14.7265625" style="371" customWidth="1"/>
    <col min="4" max="11" width="8.7265625" style="371" customWidth="1"/>
    <col min="12" max="16383" width="8.7265625" style="371" hidden="1" customWidth="1"/>
    <col min="16384" max="16384" width="9" style="371" hidden="1" customWidth="1"/>
  </cols>
  <sheetData>
    <row r="1" spans="1:11" ht="31" x14ac:dyDescent="0.25">
      <c r="A1" s="368" t="str">
        <f ca="1" xml:space="preserve"> RIGHT(CELL("filename", $A$1), LEN(CELL("filename", $A$1)) - SEARCH("]", CELL("filename", $A$1)))</f>
        <v>Cover</v>
      </c>
      <c r="B1" s="368"/>
      <c r="C1" s="369"/>
      <c r="D1" s="369"/>
      <c r="E1" s="369"/>
      <c r="F1" s="369"/>
      <c r="G1" s="369"/>
      <c r="H1" s="370"/>
      <c r="I1" s="370"/>
      <c r="J1" s="370"/>
      <c r="K1" s="370"/>
    </row>
    <row r="2" spans="1:11" ht="13" x14ac:dyDescent="0.25">
      <c r="A2" s="372"/>
      <c r="B2" s="372"/>
      <c r="C2" s="372"/>
      <c r="D2" s="372"/>
      <c r="E2" s="372"/>
      <c r="F2" s="372"/>
      <c r="G2" s="372"/>
    </row>
    <row r="3" spans="1:11" s="375" customFormat="1" ht="23.5" x14ac:dyDescent="0.25">
      <c r="A3" s="373"/>
      <c r="B3" s="374" t="s">
        <v>624</v>
      </c>
      <c r="C3" s="373"/>
      <c r="D3" s="373"/>
      <c r="E3" s="373"/>
      <c r="F3" s="373"/>
      <c r="G3" s="373"/>
    </row>
    <row r="4" spans="1:11" ht="13" x14ac:dyDescent="0.25">
      <c r="A4" s="372"/>
      <c r="B4" s="372"/>
      <c r="C4" s="372"/>
      <c r="D4" s="372"/>
      <c r="E4" s="372"/>
      <c r="F4" s="372"/>
      <c r="G4" s="372"/>
    </row>
    <row r="5" spans="1:11" ht="13" x14ac:dyDescent="0.25">
      <c r="A5" s="372"/>
      <c r="B5" s="372" t="s">
        <v>625</v>
      </c>
      <c r="C5" s="376" t="s">
        <v>0</v>
      </c>
      <c r="D5" s="372"/>
      <c r="E5" s="372"/>
      <c r="F5" s="372"/>
      <c r="G5" s="372"/>
    </row>
    <row r="6" spans="1:11" ht="13" x14ac:dyDescent="0.25">
      <c r="A6" s="372"/>
      <c r="B6" s="372" t="s">
        <v>626</v>
      </c>
      <c r="C6" s="376">
        <v>5.7</v>
      </c>
      <c r="D6" s="372"/>
      <c r="E6" s="372"/>
      <c r="F6" s="372"/>
      <c r="G6" s="372"/>
    </row>
    <row r="7" spans="1:11" ht="13" x14ac:dyDescent="0.25">
      <c r="A7" s="372"/>
      <c r="B7" s="372" t="s">
        <v>627</v>
      </c>
      <c r="C7" s="377" t="str">
        <f ca="1" xml:space="preserve"> MID(CELL("filename"), FIND("[", CELL("filename"), 1) + 1, FIND("]", CELL("filename"), 1) - FIND("[", CELL("filename"), 1) - 1)</f>
        <v>BYR2024-25DD_PR24 PD17 RPI-CPIH wedge model - South East Water.xlsx</v>
      </c>
      <c r="D7" s="372"/>
      <c r="E7" s="372"/>
      <c r="F7" s="372"/>
      <c r="G7" s="372"/>
    </row>
    <row r="8" spans="1:11" ht="13" x14ac:dyDescent="0.25">
      <c r="A8" s="372"/>
      <c r="B8" s="372" t="s">
        <v>1</v>
      </c>
      <c r="C8" s="378">
        <v>45931</v>
      </c>
      <c r="D8" s="372"/>
      <c r="E8" s="372"/>
      <c r="F8" s="372"/>
      <c r="G8" s="372"/>
    </row>
    <row r="9" spans="1:11" ht="13" x14ac:dyDescent="0.25">
      <c r="A9" s="372"/>
      <c r="B9" s="372"/>
      <c r="C9" s="372"/>
      <c r="D9" s="372"/>
      <c r="E9" s="372"/>
      <c r="F9" s="372"/>
      <c r="G9" s="372"/>
    </row>
    <row r="10" spans="1:11" ht="14.5" x14ac:dyDescent="0.25">
      <c r="A10" s="372"/>
      <c r="B10" s="372" t="s">
        <v>628</v>
      </c>
      <c r="C10" s="379" t="s">
        <v>2</v>
      </c>
      <c r="D10" s="372"/>
      <c r="E10" s="372"/>
      <c r="F10" s="372"/>
      <c r="G10" s="372"/>
    </row>
    <row r="11" spans="1:11" ht="13" x14ac:dyDescent="0.3">
      <c r="C11" s="380"/>
    </row>
    <row r="12" spans="1:11" ht="13" x14ac:dyDescent="0.25"/>
    <row r="13" spans="1:11" ht="13" x14ac:dyDescent="0.25"/>
    <row r="14" spans="1:11" ht="13" x14ac:dyDescent="0.25"/>
    <row r="15" spans="1:11" ht="13" x14ac:dyDescent="0.25"/>
    <row r="16" spans="1:11" ht="13" x14ac:dyDescent="0.25"/>
    <row r="17" spans="2:2" ht="13" x14ac:dyDescent="0.25"/>
    <row r="18" spans="2:2" ht="13" x14ac:dyDescent="0.25"/>
    <row r="19" spans="2:2" ht="13" x14ac:dyDescent="0.25"/>
    <row r="20" spans="2:2" ht="14.5" x14ac:dyDescent="0.35">
      <c r="B20" s="381"/>
    </row>
    <row r="21" spans="2:2" ht="13" x14ac:dyDescent="0.25"/>
    <row r="22" spans="2:2" ht="13" x14ac:dyDescent="0.25"/>
    <row r="23" spans="2:2" ht="13" x14ac:dyDescent="0.25"/>
    <row r="24" spans="2:2" ht="13" x14ac:dyDescent="0.25"/>
    <row r="25" spans="2:2" ht="13" x14ac:dyDescent="0.25"/>
    <row r="26" spans="2:2" ht="13" x14ac:dyDescent="0.25"/>
    <row r="27" spans="2:2" ht="13" x14ac:dyDescent="0.25"/>
    <row r="28" spans="2:2" ht="13" x14ac:dyDescent="0.25"/>
    <row r="29" spans="2:2" ht="13" x14ac:dyDescent="0.25"/>
    <row r="30" spans="2:2" ht="13" x14ac:dyDescent="0.25"/>
    <row r="31" spans="2:2" ht="13" x14ac:dyDescent="0.25"/>
    <row r="32" spans="2:2" ht="13" x14ac:dyDescent="0.25"/>
    <row r="33" ht="13" x14ac:dyDescent="0.25"/>
    <row r="34" ht="13" x14ac:dyDescent="0.25"/>
    <row r="35" ht="13" x14ac:dyDescent="0.25"/>
    <row r="36" ht="13" x14ac:dyDescent="0.25"/>
    <row r="37" ht="13" x14ac:dyDescent="0.25"/>
    <row r="38" ht="13"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hidden="1" customHeight="1" x14ac:dyDescent="0.25"/>
    <row r="47" ht="13.5" hidden="1" customHeight="1" x14ac:dyDescent="0.25"/>
    <row r="48" ht="13.5" hidden="1" customHeight="1" x14ac:dyDescent="0.25"/>
    <row r="49" ht="13.5" hidden="1" customHeight="1" x14ac:dyDescent="0.25"/>
    <row r="50" ht="13.5" hidden="1" customHeight="1" x14ac:dyDescent="0.25"/>
    <row r="51" ht="13.5" hidden="1" customHeight="1" x14ac:dyDescent="0.25"/>
    <row r="52" ht="13.5" hidden="1" customHeight="1" x14ac:dyDescent="0.25"/>
    <row r="53" ht="13.5" hidden="1" customHeight="1" x14ac:dyDescent="0.25"/>
    <row r="54" ht="13.5" hidden="1" customHeight="1" x14ac:dyDescent="0.25"/>
    <row r="55" ht="13.5" hidden="1" customHeight="1" x14ac:dyDescent="0.25"/>
    <row r="56" ht="13.5" hidden="1" customHeight="1" x14ac:dyDescent="0.25"/>
    <row r="57" ht="13.5" hidden="1" customHeight="1" x14ac:dyDescent="0.25"/>
    <row r="58" ht="13.5" hidden="1" customHeight="1" x14ac:dyDescent="0.25"/>
    <row r="59" ht="13.5" hidden="1" customHeight="1" x14ac:dyDescent="0.25"/>
    <row r="60" ht="13.5" hidden="1" customHeight="1" x14ac:dyDescent="0.25"/>
    <row r="61" ht="13.5" hidden="1" customHeight="1" x14ac:dyDescent="0.25"/>
    <row r="62" ht="13.5" hidden="1" customHeight="1" x14ac:dyDescent="0.25"/>
    <row r="63" ht="13.5" hidden="1" customHeight="1" x14ac:dyDescent="0.25"/>
    <row r="64" ht="13.5" hidden="1" customHeight="1" x14ac:dyDescent="0.25"/>
    <row r="65" ht="13.5" hidden="1" customHeight="1" x14ac:dyDescent="0.25"/>
    <row r="66" ht="13.5" hidden="1" customHeight="1" x14ac:dyDescent="0.25"/>
    <row r="67" ht="13.5" hidden="1" customHeight="1" x14ac:dyDescent="0.25"/>
    <row r="68" ht="13.5" hidden="1" customHeight="1" x14ac:dyDescent="0.25"/>
    <row r="69" ht="13.5" hidden="1" customHeight="1" x14ac:dyDescent="0.25"/>
    <row r="70" ht="13.5" hidden="1" customHeight="1" x14ac:dyDescent="0.25"/>
    <row r="71" ht="13.5" hidden="1" customHeight="1" x14ac:dyDescent="0.25"/>
    <row r="72" ht="13.5" hidden="1" customHeight="1" x14ac:dyDescent="0.25"/>
    <row r="73" ht="13.5" hidden="1" customHeight="1" x14ac:dyDescent="0.25"/>
    <row r="74" ht="13.5" hidden="1" customHeight="1" x14ac:dyDescent="0.25"/>
    <row r="75" ht="13.5" hidden="1" customHeight="1" x14ac:dyDescent="0.25"/>
    <row r="76" ht="13.5" hidden="1" customHeight="1" x14ac:dyDescent="0.25"/>
    <row r="77" ht="13.5" hidden="1" customHeight="1" x14ac:dyDescent="0.25"/>
    <row r="78" ht="13.5" hidden="1" customHeight="1" x14ac:dyDescent="0.25"/>
    <row r="79" ht="13.5" hidden="1" customHeight="1" x14ac:dyDescent="0.25"/>
    <row r="80" ht="13.5" hidden="1" customHeight="1" x14ac:dyDescent="0.25"/>
    <row r="81" ht="13.5" hidden="1" customHeight="1" x14ac:dyDescent="0.25"/>
    <row r="82" ht="13.5" hidden="1" customHeight="1" x14ac:dyDescent="0.25"/>
    <row r="83" ht="13.5" hidden="1" customHeight="1" x14ac:dyDescent="0.25"/>
    <row r="84" ht="13.5" hidden="1" customHeight="1" x14ac:dyDescent="0.25"/>
    <row r="85" ht="13.5" hidden="1" customHeight="1" x14ac:dyDescent="0.25"/>
    <row r="86" ht="13.5" hidden="1" customHeight="1" x14ac:dyDescent="0.25"/>
    <row r="87" ht="13.5" hidden="1" customHeight="1" x14ac:dyDescent="0.25"/>
    <row r="88" ht="13.5" hidden="1" customHeight="1" x14ac:dyDescent="0.25"/>
    <row r="89" ht="13.5" hidden="1" customHeight="1" x14ac:dyDescent="0.25"/>
    <row r="90" ht="13.5" hidden="1" customHeight="1" x14ac:dyDescent="0.25"/>
    <row r="91" ht="13.5" hidden="1" customHeight="1" x14ac:dyDescent="0.25"/>
  </sheetData>
  <hyperlinks>
    <hyperlink ref="C10" r:id="rId1" xr:uid="{410D39EB-5EB1-4036-AAAD-F680CE41C707}"/>
  </hyperlinks>
  <pageMargins left="0.70866141732283472" right="0.70866141732283472" top="0.74803149606299213" bottom="0.74803149606299213" header="0.31496062992125984" footer="0.31496062992125984"/>
  <pageSetup paperSize="8"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C132-DC02-48C5-B313-062169FAD973}">
  <sheetPr>
    <pageSetUpPr fitToPage="1"/>
  </sheetPr>
  <dimension ref="A1:I110"/>
  <sheetViews>
    <sheetView showGridLines="0" zoomScale="80" zoomScaleNormal="80" workbookViewId="0"/>
  </sheetViews>
  <sheetFormatPr defaultColWidth="0" defaultRowHeight="14" zeroHeight="1" x14ac:dyDescent="0.3"/>
  <cols>
    <col min="1" max="1" width="9.1796875" style="285" customWidth="1"/>
    <col min="2" max="2" width="74.81640625" style="285" bestFit="1" customWidth="1"/>
    <col min="3" max="3" width="49" style="285" bestFit="1" customWidth="1"/>
    <col min="4" max="9" width="9.1796875" style="285" customWidth="1"/>
    <col min="10"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9" t="s">
        <v>197</v>
      </c>
      <c r="C3" s="285" t="s">
        <v>198</v>
      </c>
      <c r="D3" s="288"/>
      <c r="E3" s="290">
        <v>4.9599999999999998E-2</v>
      </c>
      <c r="F3" s="290">
        <v>4.9599999999999998E-2</v>
      </c>
      <c r="G3" s="290">
        <v>4.9599999999999998E-2</v>
      </c>
      <c r="H3" s="290">
        <v>4.9599999999999998E-2</v>
      </c>
      <c r="I3" s="290">
        <v>4.9599999999999998E-2</v>
      </c>
    </row>
    <row r="4" spans="1:9" x14ac:dyDescent="0.3">
      <c r="A4" s="286" t="s">
        <v>85</v>
      </c>
      <c r="B4" s="289" t="s">
        <v>199</v>
      </c>
      <c r="C4" s="285" t="s">
        <v>200</v>
      </c>
      <c r="D4" s="288"/>
      <c r="E4" s="290">
        <v>3.9100000000000003E-2</v>
      </c>
      <c r="F4" s="290">
        <v>3.9100000000000003E-2</v>
      </c>
      <c r="G4" s="290">
        <v>3.9100000000000003E-2</v>
      </c>
      <c r="H4" s="290">
        <v>3.9100000000000003E-2</v>
      </c>
      <c r="I4" s="290">
        <v>3.9100000000000003E-2</v>
      </c>
    </row>
    <row r="5" spans="1:9" x14ac:dyDescent="0.3">
      <c r="A5" s="286" t="s">
        <v>85</v>
      </c>
      <c r="B5" s="289" t="s">
        <v>201</v>
      </c>
      <c r="C5" s="285" t="s">
        <v>202</v>
      </c>
      <c r="D5" s="288"/>
      <c r="E5" s="290">
        <v>5.0575500000000002E-2</v>
      </c>
      <c r="F5" s="290">
        <v>5.0575500000000002E-2</v>
      </c>
      <c r="G5" s="290">
        <v>5.0575500000000002E-2</v>
      </c>
      <c r="H5" s="290">
        <v>5.0575500000000002E-2</v>
      </c>
      <c r="I5" s="290">
        <v>5.0575500000000002E-2</v>
      </c>
    </row>
    <row r="6" spans="1:9" x14ac:dyDescent="0.3">
      <c r="A6" s="286" t="s">
        <v>85</v>
      </c>
      <c r="B6" s="289" t="s">
        <v>203</v>
      </c>
      <c r="C6" s="285" t="s">
        <v>204</v>
      </c>
      <c r="D6" s="288"/>
      <c r="E6" s="290">
        <v>0.06</v>
      </c>
      <c r="F6" s="290">
        <v>0.06</v>
      </c>
      <c r="G6" s="290">
        <v>0.06</v>
      </c>
      <c r="H6" s="290">
        <v>0.06</v>
      </c>
      <c r="I6" s="290">
        <v>0.06</v>
      </c>
    </row>
    <row r="7" spans="1:9" x14ac:dyDescent="0.3">
      <c r="A7" s="286" t="s">
        <v>85</v>
      </c>
      <c r="B7" s="289" t="s">
        <v>205</v>
      </c>
      <c r="C7" s="285" t="s">
        <v>206</v>
      </c>
      <c r="D7" s="288"/>
      <c r="E7" s="290">
        <v>0</v>
      </c>
      <c r="F7" s="290">
        <v>0</v>
      </c>
      <c r="G7" s="290">
        <v>0</v>
      </c>
      <c r="H7" s="290">
        <v>0</v>
      </c>
      <c r="I7" s="290">
        <v>0</v>
      </c>
    </row>
    <row r="8" spans="1:9" x14ac:dyDescent="0.3"/>
    <row r="9" spans="1:9" x14ac:dyDescent="0.3">
      <c r="A9" s="286" t="s">
        <v>87</v>
      </c>
      <c r="B9" s="289" t="s">
        <v>197</v>
      </c>
      <c r="C9" s="285" t="s">
        <v>198</v>
      </c>
      <c r="D9" s="288"/>
      <c r="E9" s="290">
        <v>4.0680214846322976E-2</v>
      </c>
      <c r="F9" s="290">
        <v>4.0680214846322976E-2</v>
      </c>
      <c r="G9" s="290">
        <v>4.0680214846322976E-2</v>
      </c>
      <c r="H9" s="290">
        <v>4.0680214846322976E-2</v>
      </c>
      <c r="I9" s="290">
        <v>4.0680214846322976E-2</v>
      </c>
    </row>
    <row r="10" spans="1:9" x14ac:dyDescent="0.3">
      <c r="A10" s="286" t="s">
        <v>87</v>
      </c>
      <c r="B10" s="289" t="s">
        <v>199</v>
      </c>
      <c r="C10" s="285" t="s">
        <v>200</v>
      </c>
      <c r="D10" s="288"/>
      <c r="E10" s="290">
        <v>4.7380214846322981E-2</v>
      </c>
      <c r="F10" s="290">
        <v>4.7380214846322981E-2</v>
      </c>
      <c r="G10" s="290">
        <v>4.7380214846322981E-2</v>
      </c>
      <c r="H10" s="290">
        <v>4.7380214846322981E-2</v>
      </c>
      <c r="I10" s="290">
        <v>4.7380214846322981E-2</v>
      </c>
    </row>
    <row r="11" spans="1:9" x14ac:dyDescent="0.3">
      <c r="A11" s="286" t="s">
        <v>87</v>
      </c>
      <c r="B11" s="289" t="s">
        <v>201</v>
      </c>
      <c r="C11" s="285" t="s">
        <v>202</v>
      </c>
      <c r="D11" s="288"/>
      <c r="E11" s="290">
        <v>3.6780214846322976E-2</v>
      </c>
      <c r="F11" s="290">
        <v>3.6780214846322976E-2</v>
      </c>
      <c r="G11" s="290">
        <v>3.6780214846322976E-2</v>
      </c>
      <c r="H11" s="290">
        <v>3.6780214846322976E-2</v>
      </c>
      <c r="I11" s="290">
        <v>3.6780214846322976E-2</v>
      </c>
    </row>
    <row r="12" spans="1:9" x14ac:dyDescent="0.3">
      <c r="A12" s="286" t="s">
        <v>87</v>
      </c>
      <c r="B12" s="289" t="s">
        <v>203</v>
      </c>
      <c r="C12" s="285" t="s">
        <v>204</v>
      </c>
      <c r="D12" s="288"/>
      <c r="E12" s="290">
        <v>6.5880214846322976E-2</v>
      </c>
      <c r="F12" s="290">
        <v>6.5880214846322976E-2</v>
      </c>
      <c r="G12" s="290">
        <v>6.5880214846322976E-2</v>
      </c>
      <c r="H12" s="290">
        <v>6.5880214846322976E-2</v>
      </c>
      <c r="I12" s="290">
        <v>6.5880214846322976E-2</v>
      </c>
    </row>
    <row r="13" spans="1:9" x14ac:dyDescent="0.3">
      <c r="A13" s="286" t="s">
        <v>87</v>
      </c>
      <c r="B13" s="289" t="s">
        <v>205</v>
      </c>
      <c r="C13" s="285" t="s">
        <v>206</v>
      </c>
      <c r="D13" s="288"/>
      <c r="E13" s="290">
        <v>0</v>
      </c>
      <c r="F13" s="290">
        <v>0</v>
      </c>
      <c r="G13" s="290">
        <v>0</v>
      </c>
      <c r="H13" s="290">
        <v>0</v>
      </c>
      <c r="I13" s="290">
        <v>0</v>
      </c>
    </row>
    <row r="14" spans="1:9" x14ac:dyDescent="0.3"/>
    <row r="15" spans="1:9" x14ac:dyDescent="0.3">
      <c r="A15" s="286" t="s">
        <v>89</v>
      </c>
      <c r="B15" s="289" t="s">
        <v>197</v>
      </c>
      <c r="C15" s="285" t="s">
        <v>198</v>
      </c>
      <c r="D15" s="288"/>
      <c r="E15" s="290">
        <v>6.3E-2</v>
      </c>
      <c r="F15" s="290">
        <v>6.3E-2</v>
      </c>
      <c r="G15" s="290">
        <v>6.3E-2</v>
      </c>
      <c r="H15" s="290">
        <v>6.3E-2</v>
      </c>
      <c r="I15" s="290">
        <v>6.3E-2</v>
      </c>
    </row>
    <row r="16" spans="1:9" x14ac:dyDescent="0.3">
      <c r="A16" s="286" t="s">
        <v>89</v>
      </c>
      <c r="B16" s="289" t="s">
        <v>199</v>
      </c>
      <c r="C16" s="285" t="s">
        <v>200</v>
      </c>
      <c r="D16" s="288"/>
      <c r="E16" s="290">
        <v>6.3E-2</v>
      </c>
      <c r="F16" s="290">
        <v>6.3E-2</v>
      </c>
      <c r="G16" s="290">
        <v>6.3E-2</v>
      </c>
      <c r="H16" s="290">
        <v>6.3E-2</v>
      </c>
      <c r="I16" s="290">
        <v>6.3E-2</v>
      </c>
    </row>
    <row r="17" spans="1:9" x14ac:dyDescent="0.3">
      <c r="A17" s="286" t="s">
        <v>89</v>
      </c>
      <c r="B17" s="289" t="s">
        <v>201</v>
      </c>
      <c r="C17" s="285" t="s">
        <v>202</v>
      </c>
      <c r="D17" s="288"/>
      <c r="E17" s="290">
        <v>4.2999999999999997E-2</v>
      </c>
      <c r="F17" s="290">
        <v>4.2999999999999997E-2</v>
      </c>
      <c r="G17" s="290">
        <v>4.2999999999999997E-2</v>
      </c>
      <c r="H17" s="290">
        <v>4.2999999999999997E-2</v>
      </c>
      <c r="I17" s="290">
        <v>4.2999999999999997E-2</v>
      </c>
    </row>
    <row r="18" spans="1:9" x14ac:dyDescent="0.3">
      <c r="A18" s="286" t="s">
        <v>89</v>
      </c>
      <c r="B18" s="289" t="s">
        <v>203</v>
      </c>
      <c r="C18" s="285" t="s">
        <v>204</v>
      </c>
      <c r="D18" s="288"/>
      <c r="E18" s="290">
        <v>0</v>
      </c>
      <c r="F18" s="290">
        <v>0</v>
      </c>
      <c r="G18" s="290">
        <v>0</v>
      </c>
      <c r="H18" s="290">
        <v>0</v>
      </c>
      <c r="I18" s="290">
        <v>0</v>
      </c>
    </row>
    <row r="19" spans="1:9" x14ac:dyDescent="0.3">
      <c r="A19" s="286" t="s">
        <v>89</v>
      </c>
      <c r="B19" s="289" t="s">
        <v>205</v>
      </c>
      <c r="C19" s="285" t="s">
        <v>206</v>
      </c>
      <c r="D19" s="288"/>
      <c r="E19" s="290">
        <v>0</v>
      </c>
      <c r="F19" s="290">
        <v>0</v>
      </c>
      <c r="G19" s="290">
        <v>0</v>
      </c>
      <c r="H19" s="290">
        <v>0</v>
      </c>
      <c r="I19" s="290">
        <v>0</v>
      </c>
    </row>
    <row r="20" spans="1:9" x14ac:dyDescent="0.3"/>
    <row r="21" spans="1:9" x14ac:dyDescent="0.3">
      <c r="A21" s="286" t="s">
        <v>91</v>
      </c>
      <c r="B21" s="289" t="s">
        <v>197</v>
      </c>
      <c r="C21" s="285" t="s">
        <v>198</v>
      </c>
      <c r="D21" s="288"/>
      <c r="E21" s="290">
        <v>5.57E-2</v>
      </c>
      <c r="F21" s="290">
        <v>5.57E-2</v>
      </c>
      <c r="G21" s="290">
        <v>5.57E-2</v>
      </c>
      <c r="H21" s="290">
        <v>5.57E-2</v>
      </c>
      <c r="I21" s="290">
        <v>5.57E-2</v>
      </c>
    </row>
    <row r="22" spans="1:9" x14ac:dyDescent="0.3">
      <c r="A22" s="286" t="s">
        <v>91</v>
      </c>
      <c r="B22" s="289" t="s">
        <v>199</v>
      </c>
      <c r="C22" s="285" t="s">
        <v>200</v>
      </c>
      <c r="D22" s="288"/>
      <c r="E22" s="290">
        <v>4.7899999999999998E-2</v>
      </c>
      <c r="F22" s="290">
        <v>4.7899999999999998E-2</v>
      </c>
      <c r="G22" s="290">
        <v>4.7899999999999998E-2</v>
      </c>
      <c r="H22" s="290">
        <v>4.7899999999999998E-2</v>
      </c>
      <c r="I22" s="290">
        <v>4.7899999999999998E-2</v>
      </c>
    </row>
    <row r="23" spans="1:9" x14ac:dyDescent="0.3">
      <c r="A23" s="286" t="s">
        <v>91</v>
      </c>
      <c r="B23" s="289" t="s">
        <v>201</v>
      </c>
      <c r="C23" s="285" t="s">
        <v>202</v>
      </c>
      <c r="D23" s="288"/>
      <c r="E23" s="290">
        <v>4.6300000000000001E-2</v>
      </c>
      <c r="F23" s="290">
        <v>4.6300000000000001E-2</v>
      </c>
      <c r="G23" s="290">
        <v>4.6300000000000001E-2</v>
      </c>
      <c r="H23" s="290">
        <v>4.6300000000000001E-2</v>
      </c>
      <c r="I23" s="290">
        <v>4.6300000000000001E-2</v>
      </c>
    </row>
    <row r="24" spans="1:9" x14ac:dyDescent="0.3">
      <c r="A24" s="286" t="s">
        <v>91</v>
      </c>
      <c r="B24" s="289" t="s">
        <v>203</v>
      </c>
      <c r="C24" s="285" t="s">
        <v>204</v>
      </c>
      <c r="D24" s="288"/>
      <c r="E24" s="290">
        <v>7.9899999999999999E-2</v>
      </c>
      <c r="F24" s="290">
        <v>7.9899999999999999E-2</v>
      </c>
      <c r="G24" s="290">
        <v>7.9899999999999999E-2</v>
      </c>
      <c r="H24" s="290">
        <v>7.9899999999999999E-2</v>
      </c>
      <c r="I24" s="290">
        <v>7.9899999999999999E-2</v>
      </c>
    </row>
    <row r="25" spans="1:9" x14ac:dyDescent="0.3">
      <c r="A25" s="286" t="s">
        <v>91</v>
      </c>
      <c r="B25" s="289" t="s">
        <v>205</v>
      </c>
      <c r="C25" s="285" t="s">
        <v>206</v>
      </c>
      <c r="D25" s="288"/>
      <c r="E25" s="290">
        <v>0</v>
      </c>
      <c r="F25" s="290">
        <v>0</v>
      </c>
      <c r="G25" s="290">
        <v>0</v>
      </c>
      <c r="H25" s="290">
        <v>0</v>
      </c>
      <c r="I25" s="290">
        <v>0</v>
      </c>
    </row>
    <row r="26" spans="1:9" x14ac:dyDescent="0.3"/>
    <row r="27" spans="1:9" x14ac:dyDescent="0.3">
      <c r="A27" s="286" t="s">
        <v>93</v>
      </c>
      <c r="B27" s="289" t="s">
        <v>197</v>
      </c>
      <c r="C27" s="285" t="s">
        <v>198</v>
      </c>
      <c r="D27" s="288"/>
      <c r="E27" s="290">
        <v>5.0439999999999999E-2</v>
      </c>
      <c r="F27" s="290">
        <v>5.0439999999999999E-2</v>
      </c>
      <c r="G27" s="290">
        <v>5.0439999999999999E-2</v>
      </c>
      <c r="H27" s="290">
        <v>5.0439999999999999E-2</v>
      </c>
      <c r="I27" s="290">
        <v>5.0439999999999999E-2</v>
      </c>
    </row>
    <row r="28" spans="1:9" x14ac:dyDescent="0.3">
      <c r="A28" s="286" t="s">
        <v>93</v>
      </c>
      <c r="B28" s="289" t="s">
        <v>199</v>
      </c>
      <c r="C28" s="285" t="s">
        <v>200</v>
      </c>
      <c r="D28" s="288"/>
      <c r="E28" s="290">
        <v>4.9439999999999998E-2</v>
      </c>
      <c r="F28" s="290">
        <v>4.9439999999999998E-2</v>
      </c>
      <c r="G28" s="290">
        <v>4.9439999999999998E-2</v>
      </c>
      <c r="H28" s="290">
        <v>4.9439999999999998E-2</v>
      </c>
      <c r="I28" s="290">
        <v>4.9439999999999998E-2</v>
      </c>
    </row>
    <row r="29" spans="1:9" x14ac:dyDescent="0.3">
      <c r="A29" s="286" t="s">
        <v>93</v>
      </c>
      <c r="B29" s="289" t="s">
        <v>201</v>
      </c>
      <c r="C29" s="285" t="s">
        <v>202</v>
      </c>
      <c r="D29" s="288"/>
      <c r="E29" s="290">
        <v>5.6439999999999997E-2</v>
      </c>
      <c r="F29" s="290">
        <v>5.6439999999999997E-2</v>
      </c>
      <c r="G29" s="290">
        <v>5.6439999999999997E-2</v>
      </c>
      <c r="H29" s="290">
        <v>5.6439999999999997E-2</v>
      </c>
      <c r="I29" s="290">
        <v>5.6440000000000004E-2</v>
      </c>
    </row>
    <row r="30" spans="1:9" x14ac:dyDescent="0.3">
      <c r="A30" s="286" t="s">
        <v>93</v>
      </c>
      <c r="B30" s="289" t="s">
        <v>203</v>
      </c>
      <c r="C30" s="285" t="s">
        <v>204</v>
      </c>
      <c r="D30" s="288"/>
      <c r="E30" s="290">
        <v>7.3439999999999991E-2</v>
      </c>
      <c r="F30" s="290">
        <v>7.3439999999999991E-2</v>
      </c>
      <c r="G30" s="290">
        <v>7.3439999999999991E-2</v>
      </c>
      <c r="H30" s="290">
        <v>7.3440000000000005E-2</v>
      </c>
      <c r="I30" s="290">
        <v>7.3439999999999991E-2</v>
      </c>
    </row>
    <row r="31" spans="1:9" x14ac:dyDescent="0.3">
      <c r="A31" s="286" t="s">
        <v>93</v>
      </c>
      <c r="B31" s="289" t="s">
        <v>205</v>
      </c>
      <c r="C31" s="285" t="s">
        <v>206</v>
      </c>
      <c r="D31" s="288"/>
      <c r="E31" s="290">
        <v>0</v>
      </c>
      <c r="F31" s="290">
        <v>0</v>
      </c>
      <c r="G31" s="290">
        <v>0</v>
      </c>
      <c r="H31" s="290">
        <v>0</v>
      </c>
      <c r="I31" s="290">
        <v>0</v>
      </c>
    </row>
    <row r="32" spans="1:9" x14ac:dyDescent="0.3"/>
    <row r="33" spans="1:9" x14ac:dyDescent="0.3">
      <c r="A33" s="286" t="s">
        <v>97</v>
      </c>
      <c r="B33" s="289" t="s">
        <v>197</v>
      </c>
      <c r="C33" s="285" t="s">
        <v>198</v>
      </c>
      <c r="D33" s="288"/>
      <c r="E33" s="290">
        <v>2.52E-2</v>
      </c>
      <c r="F33" s="290">
        <v>2.52E-2</v>
      </c>
      <c r="G33" s="290">
        <v>2.52E-2</v>
      </c>
      <c r="H33" s="290">
        <v>2.52E-2</v>
      </c>
      <c r="I33" s="290">
        <v>2.52E-2</v>
      </c>
    </row>
    <row r="34" spans="1:9" x14ac:dyDescent="0.3">
      <c r="A34" s="286" t="s">
        <v>97</v>
      </c>
      <c r="B34" s="289" t="s">
        <v>199</v>
      </c>
      <c r="C34" s="285" t="s">
        <v>200</v>
      </c>
      <c r="D34" s="288"/>
      <c r="E34" s="290">
        <v>4.7E-2</v>
      </c>
      <c r="F34" s="290">
        <v>4.7E-2</v>
      </c>
      <c r="G34" s="290">
        <v>4.7E-2</v>
      </c>
      <c r="H34" s="290">
        <v>4.7E-2</v>
      </c>
      <c r="I34" s="290">
        <v>4.7E-2</v>
      </c>
    </row>
    <row r="35" spans="1:9" x14ac:dyDescent="0.3">
      <c r="A35" s="286" t="s">
        <v>97</v>
      </c>
      <c r="B35" s="289" t="s">
        <v>201</v>
      </c>
      <c r="C35" s="285" t="s">
        <v>202</v>
      </c>
      <c r="D35" s="288"/>
      <c r="E35" s="290">
        <v>5.2000000000000005E-2</v>
      </c>
      <c r="F35" s="290">
        <v>5.2000000000000005E-2</v>
      </c>
      <c r="G35" s="290">
        <v>5.2000000000000005E-2</v>
      </c>
      <c r="H35" s="290">
        <v>5.2000000000000005E-2</v>
      </c>
      <c r="I35" s="290">
        <v>5.2000000000000005E-2</v>
      </c>
    </row>
    <row r="36" spans="1:9" x14ac:dyDescent="0.3">
      <c r="A36" s="286" t="s">
        <v>97</v>
      </c>
      <c r="B36" s="289" t="s">
        <v>203</v>
      </c>
      <c r="C36" s="285" t="s">
        <v>204</v>
      </c>
      <c r="D36" s="288"/>
      <c r="E36" s="290">
        <v>9.180000000000002E-2</v>
      </c>
      <c r="F36" s="290">
        <v>9.180000000000002E-2</v>
      </c>
      <c r="G36" s="290">
        <v>9.180000000000002E-2</v>
      </c>
      <c r="H36" s="290">
        <v>9.180000000000002E-2</v>
      </c>
      <c r="I36" s="290">
        <v>9.180000000000002E-2</v>
      </c>
    </row>
    <row r="37" spans="1:9" x14ac:dyDescent="0.3">
      <c r="A37" s="286" t="s">
        <v>97</v>
      </c>
      <c r="B37" s="289" t="s">
        <v>205</v>
      </c>
      <c r="C37" s="285" t="s">
        <v>206</v>
      </c>
      <c r="D37" s="288"/>
      <c r="E37" s="290">
        <v>0</v>
      </c>
      <c r="F37" s="290">
        <v>0</v>
      </c>
      <c r="G37" s="290">
        <v>0</v>
      </c>
      <c r="H37" s="290">
        <v>0</v>
      </c>
      <c r="I37" s="290">
        <v>0</v>
      </c>
    </row>
    <row r="38" spans="1:9" x14ac:dyDescent="0.3"/>
    <row r="39" spans="1:9" x14ac:dyDescent="0.3">
      <c r="A39" s="286" t="s">
        <v>95</v>
      </c>
      <c r="B39" s="289" t="s">
        <v>197</v>
      </c>
      <c r="C39" s="285" t="s">
        <v>198</v>
      </c>
      <c r="D39" s="288"/>
      <c r="E39" s="290">
        <v>6.7500000000000004E-2</v>
      </c>
      <c r="F39" s="290">
        <v>6.7500000000000004E-2</v>
      </c>
      <c r="G39" s="290">
        <v>6.7500000000000004E-2</v>
      </c>
      <c r="H39" s="290">
        <v>6.7500000000000004E-2</v>
      </c>
      <c r="I39" s="290">
        <v>6.7500000000000004E-2</v>
      </c>
    </row>
    <row r="40" spans="1:9" x14ac:dyDescent="0.3">
      <c r="A40" s="286" t="s">
        <v>95</v>
      </c>
      <c r="B40" s="289" t="s">
        <v>199</v>
      </c>
      <c r="C40" s="285" t="s">
        <v>200</v>
      </c>
      <c r="D40" s="288"/>
      <c r="E40" s="290">
        <v>3.8399999999999997E-2</v>
      </c>
      <c r="F40" s="290">
        <v>3.8399999999999997E-2</v>
      </c>
      <c r="G40" s="290">
        <v>3.8399999999999997E-2</v>
      </c>
      <c r="H40" s="290">
        <v>3.8399999999999997E-2</v>
      </c>
      <c r="I40" s="290">
        <v>3.8399999999999997E-2</v>
      </c>
    </row>
    <row r="41" spans="1:9" x14ac:dyDescent="0.3">
      <c r="A41" s="286" t="s">
        <v>95</v>
      </c>
      <c r="B41" s="289" t="s">
        <v>201</v>
      </c>
      <c r="C41" s="285" t="s">
        <v>202</v>
      </c>
      <c r="D41" s="288"/>
      <c r="E41" s="290">
        <v>5.2499999999999998E-2</v>
      </c>
      <c r="F41" s="290">
        <v>5.2499999999999998E-2</v>
      </c>
      <c r="G41" s="290">
        <v>5.2499999999999998E-2</v>
      </c>
      <c r="H41" s="290">
        <v>5.2499999999999998E-2</v>
      </c>
      <c r="I41" s="290">
        <v>5.2499999999999998E-2</v>
      </c>
    </row>
    <row r="42" spans="1:9" x14ac:dyDescent="0.3">
      <c r="A42" s="286" t="s">
        <v>95</v>
      </c>
      <c r="B42" s="289" t="s">
        <v>203</v>
      </c>
      <c r="C42" s="285" t="s">
        <v>204</v>
      </c>
      <c r="D42" s="288"/>
      <c r="E42" s="290">
        <v>9.9299999999999999E-2</v>
      </c>
      <c r="F42" s="290">
        <v>9.9299999999999999E-2</v>
      </c>
      <c r="G42" s="290">
        <v>9.9299999999999999E-2</v>
      </c>
      <c r="H42" s="290">
        <v>9.9299999999999999E-2</v>
      </c>
      <c r="I42" s="290">
        <v>9.9299999999999999E-2</v>
      </c>
    </row>
    <row r="43" spans="1:9" x14ac:dyDescent="0.3">
      <c r="A43" s="286" t="s">
        <v>95</v>
      </c>
      <c r="B43" s="289" t="s">
        <v>205</v>
      </c>
      <c r="C43" s="285" t="s">
        <v>206</v>
      </c>
      <c r="D43" s="288"/>
      <c r="E43" s="290">
        <v>0</v>
      </c>
      <c r="F43" s="290">
        <v>0</v>
      </c>
      <c r="G43" s="290">
        <v>0</v>
      </c>
      <c r="H43" s="290">
        <v>0</v>
      </c>
      <c r="I43" s="290">
        <v>0</v>
      </c>
    </row>
    <row r="44" spans="1:9" x14ac:dyDescent="0.3"/>
    <row r="45" spans="1:9" x14ac:dyDescent="0.3">
      <c r="A45" s="286" t="s">
        <v>99</v>
      </c>
      <c r="B45" s="289" t="s">
        <v>197</v>
      </c>
      <c r="C45" s="285" t="s">
        <v>198</v>
      </c>
      <c r="D45" s="288"/>
      <c r="E45" s="290">
        <v>4.2932058605787707E-2</v>
      </c>
      <c r="F45" s="290">
        <v>4.22038708162433E-2</v>
      </c>
      <c r="G45" s="290">
        <v>4.0525241611227197E-2</v>
      </c>
      <c r="H45" s="290">
        <v>3.96366126792825E-2</v>
      </c>
      <c r="I45" s="290">
        <v>3.8908454928127702E-2</v>
      </c>
    </row>
    <row r="46" spans="1:9" x14ac:dyDescent="0.3">
      <c r="A46" s="286" t="s">
        <v>99</v>
      </c>
      <c r="B46" s="289" t="s">
        <v>199</v>
      </c>
      <c r="C46" s="285" t="s">
        <v>200</v>
      </c>
      <c r="D46" s="288"/>
      <c r="E46" s="290">
        <v>3.63122760763782E-2</v>
      </c>
      <c r="F46" s="290">
        <v>3.48736368017609E-2</v>
      </c>
      <c r="G46" s="290">
        <v>3.75356889776872E-2</v>
      </c>
      <c r="H46" s="290">
        <v>4.5037551291320706E-2</v>
      </c>
      <c r="I46" s="290">
        <v>4.51122655078528E-2</v>
      </c>
    </row>
    <row r="47" spans="1:9" x14ac:dyDescent="0.3">
      <c r="A47" s="286" t="s">
        <v>99</v>
      </c>
      <c r="B47" s="289" t="s">
        <v>201</v>
      </c>
      <c r="C47" s="285" t="s">
        <v>202</v>
      </c>
      <c r="D47" s="288"/>
      <c r="E47" s="290">
        <v>5.47173422377214E-2</v>
      </c>
      <c r="F47" s="290">
        <v>5.5366508753347699E-2</v>
      </c>
      <c r="G47" s="290">
        <v>5.1235792038852201E-2</v>
      </c>
      <c r="H47" s="290">
        <v>5.2218042727556299E-2</v>
      </c>
      <c r="I47" s="290">
        <v>5.1735881622974593E-2</v>
      </c>
    </row>
    <row r="48" spans="1:9" x14ac:dyDescent="0.3">
      <c r="A48" s="286" t="s">
        <v>99</v>
      </c>
      <c r="B48" s="289" t="s">
        <v>203</v>
      </c>
      <c r="C48" s="285" t="s">
        <v>204</v>
      </c>
      <c r="D48" s="288"/>
      <c r="E48" s="290">
        <v>4.3016223288310701E-2</v>
      </c>
      <c r="F48" s="290">
        <v>4.4943699034008994E-2</v>
      </c>
      <c r="G48" s="290">
        <v>4.7034518072930097E-2</v>
      </c>
      <c r="H48" s="290">
        <v>4.91689427684594E-2</v>
      </c>
      <c r="I48" s="290">
        <v>5.1632027572433896E-2</v>
      </c>
    </row>
    <row r="49" spans="1:9" x14ac:dyDescent="0.3">
      <c r="A49" s="286" t="s">
        <v>99</v>
      </c>
      <c r="B49" s="289" t="s">
        <v>205</v>
      </c>
      <c r="C49" s="285" t="s">
        <v>206</v>
      </c>
      <c r="D49" s="288"/>
      <c r="E49" s="290">
        <v>1.2893284995231399E-4</v>
      </c>
      <c r="F49" s="290">
        <v>7.3668378168334294E-5</v>
      </c>
      <c r="G49" s="290">
        <v>2.7992655805066602E-5</v>
      </c>
      <c r="H49" s="290">
        <v>6.4455507792185896E-6</v>
      </c>
      <c r="I49" s="290">
        <v>1.3840090707875201E-6</v>
      </c>
    </row>
    <row r="50" spans="1:9" x14ac:dyDescent="0.3"/>
    <row r="51" spans="1:9" x14ac:dyDescent="0.3">
      <c r="A51" s="286" t="s">
        <v>101</v>
      </c>
      <c r="B51" s="289" t="s">
        <v>197</v>
      </c>
      <c r="C51" s="285" t="s">
        <v>198</v>
      </c>
      <c r="D51" s="288"/>
      <c r="E51" s="290">
        <v>4.1344946225885998E-2</v>
      </c>
      <c r="F51" s="290">
        <v>4.1883005399591729E-2</v>
      </c>
      <c r="G51" s="290">
        <v>4.223459476624325E-2</v>
      </c>
      <c r="H51" s="290">
        <v>4.305089430237128E-2</v>
      </c>
      <c r="I51" s="290">
        <v>4.313585630470209E-2</v>
      </c>
    </row>
    <row r="52" spans="1:9" x14ac:dyDescent="0.3">
      <c r="A52" s="286" t="s">
        <v>101</v>
      </c>
      <c r="B52" s="289" t="s">
        <v>199</v>
      </c>
      <c r="C52" s="285" t="s">
        <v>200</v>
      </c>
      <c r="D52" s="288"/>
      <c r="E52" s="290">
        <v>5.8565375054682095E-2</v>
      </c>
      <c r="F52" s="290">
        <v>5.909712316305249E-2</v>
      </c>
      <c r="G52" s="290">
        <v>5.9538375038752277E-2</v>
      </c>
      <c r="H52" s="290">
        <v>6.138174217935561E-2</v>
      </c>
      <c r="I52" s="290">
        <v>6.2809382673339312E-2</v>
      </c>
    </row>
    <row r="53" spans="1:9" x14ac:dyDescent="0.3">
      <c r="A53" s="286" t="s">
        <v>101</v>
      </c>
      <c r="B53" s="289" t="s">
        <v>201</v>
      </c>
      <c r="C53" s="285" t="s">
        <v>202</v>
      </c>
      <c r="D53" s="288"/>
      <c r="E53" s="290">
        <v>5.4279256124742374E-2</v>
      </c>
      <c r="F53" s="290">
        <v>5.301407394657548E-2</v>
      </c>
      <c r="G53" s="290">
        <v>5.3081398010918948E-2</v>
      </c>
      <c r="H53" s="290">
        <v>5.2958441258248605E-2</v>
      </c>
      <c r="I53" s="290">
        <v>5.2185413869164303E-2</v>
      </c>
    </row>
    <row r="54" spans="1:9" x14ac:dyDescent="0.3">
      <c r="A54" s="286" t="s">
        <v>101</v>
      </c>
      <c r="B54" s="289" t="s">
        <v>203</v>
      </c>
      <c r="C54" s="285" t="s">
        <v>204</v>
      </c>
      <c r="D54" s="288"/>
      <c r="E54" s="290">
        <v>9.0749934941345756E-2</v>
      </c>
      <c r="F54" s="290">
        <v>9.3636850448844164E-2</v>
      </c>
      <c r="G54" s="290">
        <v>9.8058595748849606E-2</v>
      </c>
      <c r="H54" s="290">
        <v>0.10350955723135224</v>
      </c>
      <c r="I54" s="290">
        <v>0.10950797283107613</v>
      </c>
    </row>
    <row r="55" spans="1:9" x14ac:dyDescent="0.3">
      <c r="A55" s="286" t="s">
        <v>101</v>
      </c>
      <c r="B55" s="289" t="s">
        <v>205</v>
      </c>
      <c r="C55" s="285" t="s">
        <v>206</v>
      </c>
      <c r="D55" s="288"/>
      <c r="E55" s="290">
        <v>0</v>
      </c>
      <c r="F55" s="290">
        <v>0</v>
      </c>
      <c r="G55" s="290">
        <v>0</v>
      </c>
      <c r="H55" s="290">
        <v>0</v>
      </c>
      <c r="I55" s="290">
        <v>0</v>
      </c>
    </row>
    <row r="56" spans="1:9" x14ac:dyDescent="0.3"/>
    <row r="57" spans="1:9" x14ac:dyDescent="0.3">
      <c r="A57" s="286" t="s">
        <v>103</v>
      </c>
      <c r="B57" s="289" t="s">
        <v>197</v>
      </c>
      <c r="C57" s="285" t="s">
        <v>198</v>
      </c>
      <c r="D57" s="288"/>
      <c r="E57" s="290">
        <v>6.1899999999999997E-2</v>
      </c>
      <c r="F57" s="290">
        <v>6.0600000000000008E-2</v>
      </c>
      <c r="G57" s="290">
        <v>6.2100000000000002E-2</v>
      </c>
      <c r="H57" s="290">
        <v>6.1600000000000002E-2</v>
      </c>
      <c r="I57" s="290">
        <v>6.3E-2</v>
      </c>
    </row>
    <row r="58" spans="1:9" x14ac:dyDescent="0.3">
      <c r="A58" s="286" t="s">
        <v>103</v>
      </c>
      <c r="B58" s="289" t="s">
        <v>199</v>
      </c>
      <c r="C58" s="285" t="s">
        <v>200</v>
      </c>
      <c r="D58" s="288"/>
      <c r="E58" s="290">
        <v>4.0399999999999998E-2</v>
      </c>
      <c r="F58" s="290">
        <v>3.8399999999999997E-2</v>
      </c>
      <c r="G58" s="290">
        <v>3.7499999999999999E-2</v>
      </c>
      <c r="H58" s="290">
        <v>3.6499999999999998E-2</v>
      </c>
      <c r="I58" s="290">
        <v>3.56E-2</v>
      </c>
    </row>
    <row r="59" spans="1:9" x14ac:dyDescent="0.3">
      <c r="A59" s="286" t="s">
        <v>103</v>
      </c>
      <c r="B59" s="289" t="s">
        <v>201</v>
      </c>
      <c r="C59" s="285" t="s">
        <v>202</v>
      </c>
      <c r="D59" s="288"/>
      <c r="E59" s="290">
        <v>3.8600000000000002E-2</v>
      </c>
      <c r="F59" s="290">
        <v>3.6900000000000002E-2</v>
      </c>
      <c r="G59" s="290">
        <v>3.6200000000000003E-2</v>
      </c>
      <c r="H59" s="290">
        <v>3.5000000000000003E-2</v>
      </c>
      <c r="I59" s="290">
        <v>3.39E-2</v>
      </c>
    </row>
    <row r="60" spans="1:9" x14ac:dyDescent="0.3">
      <c r="A60" s="286" t="s">
        <v>103</v>
      </c>
      <c r="B60" s="289" t="s">
        <v>203</v>
      </c>
      <c r="C60" s="285" t="s">
        <v>204</v>
      </c>
      <c r="D60" s="288"/>
      <c r="E60" s="290">
        <v>9.7799999999999998E-2</v>
      </c>
      <c r="F60" s="290">
        <v>0.10009999999999999</v>
      </c>
      <c r="G60" s="290">
        <v>0.10249999999999999</v>
      </c>
      <c r="H60" s="290">
        <v>0.1069</v>
      </c>
      <c r="I60" s="290">
        <v>0.1116</v>
      </c>
    </row>
    <row r="61" spans="1:9" x14ac:dyDescent="0.3">
      <c r="A61" s="286" t="s">
        <v>103</v>
      </c>
      <c r="B61" s="289" t="s">
        <v>205</v>
      </c>
      <c r="C61" s="285" t="s">
        <v>206</v>
      </c>
      <c r="D61" s="288"/>
      <c r="E61" s="290">
        <v>0</v>
      </c>
      <c r="F61" s="290">
        <v>0</v>
      </c>
      <c r="G61" s="290">
        <v>0</v>
      </c>
      <c r="H61" s="290">
        <v>0</v>
      </c>
      <c r="I61" s="290">
        <v>0</v>
      </c>
    </row>
    <row r="62" spans="1:9" x14ac:dyDescent="0.3"/>
    <row r="63" spans="1:9" x14ac:dyDescent="0.3">
      <c r="A63" s="286" t="s">
        <v>105</v>
      </c>
      <c r="B63" s="289" t="s">
        <v>197</v>
      </c>
      <c r="C63" s="285" t="s">
        <v>198</v>
      </c>
      <c r="D63" s="288"/>
      <c r="E63" s="290">
        <v>2.4799999999999999E-2</v>
      </c>
      <c r="F63" s="290">
        <v>2.4799999999999999E-2</v>
      </c>
      <c r="G63" s="290">
        <v>2.4799999999999999E-2</v>
      </c>
      <c r="H63" s="290">
        <v>2.4799999999999999E-2</v>
      </c>
      <c r="I63" s="290">
        <v>2.4799999999999999E-2</v>
      </c>
    </row>
    <row r="64" spans="1:9" x14ac:dyDescent="0.3">
      <c r="A64" s="286" t="s">
        <v>105</v>
      </c>
      <c r="B64" s="289" t="s">
        <v>199</v>
      </c>
      <c r="C64" s="285" t="s">
        <v>200</v>
      </c>
      <c r="D64" s="288"/>
      <c r="E64" s="290">
        <v>3.4599999999999999E-2</v>
      </c>
      <c r="F64" s="290">
        <v>3.4599999999999999E-2</v>
      </c>
      <c r="G64" s="290">
        <v>3.4599999999999999E-2</v>
      </c>
      <c r="H64" s="290">
        <v>3.4599999999999999E-2</v>
      </c>
      <c r="I64" s="290">
        <v>3.4599999999999999E-2</v>
      </c>
    </row>
    <row r="65" spans="1:9" x14ac:dyDescent="0.3">
      <c r="A65" s="286" t="s">
        <v>105</v>
      </c>
      <c r="B65" s="289" t="s">
        <v>201</v>
      </c>
      <c r="C65" s="285" t="s">
        <v>202</v>
      </c>
      <c r="D65" s="288"/>
      <c r="E65" s="290">
        <v>3.6799999999999999E-2</v>
      </c>
      <c r="F65" s="290">
        <v>3.6799999999999999E-2</v>
      </c>
      <c r="G65" s="290">
        <v>3.6799999999999999E-2</v>
      </c>
      <c r="H65" s="290">
        <v>3.6799999999999999E-2</v>
      </c>
      <c r="I65" s="290">
        <v>3.6799999999999999E-2</v>
      </c>
    </row>
    <row r="66" spans="1:9" x14ac:dyDescent="0.3">
      <c r="A66" s="286" t="s">
        <v>105</v>
      </c>
      <c r="B66" s="289" t="s">
        <v>203</v>
      </c>
      <c r="C66" s="285" t="s">
        <v>204</v>
      </c>
      <c r="D66" s="288"/>
      <c r="E66" s="290">
        <v>9.3900000000000011E-2</v>
      </c>
      <c r="F66" s="290">
        <v>9.3900000000000011E-2</v>
      </c>
      <c r="G66" s="290">
        <v>9.3900000000000011E-2</v>
      </c>
      <c r="H66" s="290">
        <v>9.3900000000000011E-2</v>
      </c>
      <c r="I66" s="290">
        <v>9.3900000000000011E-2</v>
      </c>
    </row>
    <row r="67" spans="1:9" x14ac:dyDescent="0.3">
      <c r="A67" s="286" t="s">
        <v>105</v>
      </c>
      <c r="B67" s="289" t="s">
        <v>205</v>
      </c>
      <c r="C67" s="285" t="s">
        <v>206</v>
      </c>
      <c r="D67" s="288"/>
      <c r="E67" s="290">
        <v>0</v>
      </c>
      <c r="F67" s="290">
        <v>0</v>
      </c>
      <c r="G67" s="290">
        <v>0</v>
      </c>
      <c r="H67" s="290">
        <v>0</v>
      </c>
      <c r="I67" s="290">
        <v>0</v>
      </c>
    </row>
    <row r="68" spans="1:9" x14ac:dyDescent="0.3"/>
    <row r="69" spans="1:9" x14ac:dyDescent="0.3">
      <c r="A69" s="286" t="s">
        <v>107</v>
      </c>
      <c r="B69" s="289" t="s">
        <v>197</v>
      </c>
      <c r="C69" s="285" t="s">
        <v>198</v>
      </c>
      <c r="D69" s="288"/>
      <c r="E69" s="290">
        <v>7.4751147145812491E-2</v>
      </c>
      <c r="F69" s="290">
        <v>7.4751147145812491E-2</v>
      </c>
      <c r="G69" s="290">
        <v>7.4751147145812491E-2</v>
      </c>
      <c r="H69" s="290">
        <v>7.4751147145812491E-2</v>
      </c>
      <c r="I69" s="290">
        <v>7.4751147145812491E-2</v>
      </c>
    </row>
    <row r="70" spans="1:9" x14ac:dyDescent="0.3">
      <c r="A70" s="286" t="s">
        <v>107</v>
      </c>
      <c r="B70" s="289" t="s">
        <v>199</v>
      </c>
      <c r="C70" s="285" t="s">
        <v>200</v>
      </c>
      <c r="D70" s="288"/>
      <c r="E70" s="290">
        <v>3.8923105486887502E-2</v>
      </c>
      <c r="F70" s="290">
        <v>3.8923105486887502E-2</v>
      </c>
      <c r="G70" s="290">
        <v>3.8923105486887502E-2</v>
      </c>
      <c r="H70" s="290">
        <v>3.8923105486887502E-2</v>
      </c>
      <c r="I70" s="290">
        <v>3.8923105486887502E-2</v>
      </c>
    </row>
    <row r="71" spans="1:9" x14ac:dyDescent="0.3">
      <c r="A71" s="286" t="s">
        <v>107</v>
      </c>
      <c r="B71" s="289" t="s">
        <v>201</v>
      </c>
      <c r="C71" s="285" t="s">
        <v>202</v>
      </c>
      <c r="D71" s="288"/>
      <c r="E71" s="290">
        <v>0</v>
      </c>
      <c r="F71" s="290">
        <v>0</v>
      </c>
      <c r="G71" s="290">
        <v>0</v>
      </c>
      <c r="H71" s="290">
        <v>0</v>
      </c>
      <c r="I71" s="290">
        <v>0</v>
      </c>
    </row>
    <row r="72" spans="1:9" x14ac:dyDescent="0.3">
      <c r="A72" s="286" t="s">
        <v>107</v>
      </c>
      <c r="B72" s="289" t="s">
        <v>203</v>
      </c>
      <c r="C72" s="285" t="s">
        <v>204</v>
      </c>
      <c r="D72" s="288"/>
      <c r="E72" s="290">
        <v>0</v>
      </c>
      <c r="F72" s="290">
        <v>0</v>
      </c>
      <c r="G72" s="290">
        <v>0</v>
      </c>
      <c r="H72" s="290">
        <v>0</v>
      </c>
      <c r="I72" s="290">
        <v>0</v>
      </c>
    </row>
    <row r="73" spans="1:9" x14ac:dyDescent="0.3">
      <c r="A73" s="286" t="s">
        <v>107</v>
      </c>
      <c r="B73" s="289" t="s">
        <v>205</v>
      </c>
      <c r="C73" s="285" t="s">
        <v>206</v>
      </c>
      <c r="D73" s="288"/>
      <c r="E73" s="290">
        <v>0</v>
      </c>
      <c r="F73" s="290">
        <v>0</v>
      </c>
      <c r="G73" s="290">
        <v>0</v>
      </c>
      <c r="H73" s="290">
        <v>0</v>
      </c>
      <c r="I73" s="290">
        <v>0</v>
      </c>
    </row>
    <row r="74" spans="1:9" x14ac:dyDescent="0.3"/>
    <row r="75" spans="1:9" x14ac:dyDescent="0.3">
      <c r="A75" s="286" t="s">
        <v>109</v>
      </c>
      <c r="B75" s="289" t="s">
        <v>197</v>
      </c>
      <c r="C75" s="285" t="s">
        <v>198</v>
      </c>
      <c r="D75" s="288"/>
      <c r="E75" s="290">
        <v>2.1000000000000001E-2</v>
      </c>
      <c r="F75" s="290">
        <v>2.1000000000000001E-2</v>
      </c>
      <c r="G75" s="290">
        <v>2.1000000000000001E-2</v>
      </c>
      <c r="H75" s="290">
        <v>2.1000000000000001E-2</v>
      </c>
      <c r="I75" s="290">
        <v>2.1000000000000001E-2</v>
      </c>
    </row>
    <row r="76" spans="1:9" x14ac:dyDescent="0.3">
      <c r="A76" s="286" t="s">
        <v>109</v>
      </c>
      <c r="B76" s="289" t="s">
        <v>199</v>
      </c>
      <c r="C76" s="285" t="s">
        <v>200</v>
      </c>
      <c r="D76" s="288"/>
      <c r="E76" s="290">
        <v>5.6500000000000002E-2</v>
      </c>
      <c r="F76" s="290">
        <v>5.6500000000000002E-2</v>
      </c>
      <c r="G76" s="290">
        <v>5.6500000000000002E-2</v>
      </c>
      <c r="H76" s="290">
        <v>5.6500000000000002E-2</v>
      </c>
      <c r="I76" s="290">
        <v>5.6500000000000002E-2</v>
      </c>
    </row>
    <row r="77" spans="1:9" x14ac:dyDescent="0.3">
      <c r="A77" s="286" t="s">
        <v>109</v>
      </c>
      <c r="B77" s="289" t="s">
        <v>201</v>
      </c>
      <c r="C77" s="285" t="s">
        <v>202</v>
      </c>
      <c r="D77" s="288"/>
      <c r="E77" s="290">
        <v>0</v>
      </c>
      <c r="F77" s="290">
        <v>0</v>
      </c>
      <c r="G77" s="290">
        <v>0</v>
      </c>
      <c r="H77" s="290">
        <v>0</v>
      </c>
      <c r="I77" s="290">
        <v>0</v>
      </c>
    </row>
    <row r="78" spans="1:9" x14ac:dyDescent="0.3">
      <c r="A78" s="286" t="s">
        <v>109</v>
      </c>
      <c r="B78" s="289" t="s">
        <v>203</v>
      </c>
      <c r="C78" s="285" t="s">
        <v>204</v>
      </c>
      <c r="D78" s="288"/>
      <c r="E78" s="290">
        <v>0</v>
      </c>
      <c r="F78" s="290">
        <v>0</v>
      </c>
      <c r="G78" s="290">
        <v>0</v>
      </c>
      <c r="H78" s="290">
        <v>0</v>
      </c>
      <c r="I78" s="290">
        <v>0</v>
      </c>
    </row>
    <row r="79" spans="1:9" x14ac:dyDescent="0.3">
      <c r="A79" s="286" t="s">
        <v>109</v>
      </c>
      <c r="B79" s="289" t="s">
        <v>205</v>
      </c>
      <c r="C79" s="285" t="s">
        <v>206</v>
      </c>
      <c r="D79" s="288"/>
      <c r="E79" s="290">
        <v>0</v>
      </c>
      <c r="F79" s="290">
        <v>0</v>
      </c>
      <c r="G79" s="290">
        <v>0</v>
      </c>
      <c r="H79" s="290">
        <v>0</v>
      </c>
      <c r="I79" s="290">
        <v>0</v>
      </c>
    </row>
    <row r="80" spans="1:9" x14ac:dyDescent="0.3"/>
    <row r="81" spans="1:9" x14ac:dyDescent="0.3">
      <c r="A81" s="286" t="s">
        <v>111</v>
      </c>
      <c r="B81" s="289" t="s">
        <v>197</v>
      </c>
      <c r="C81" s="285" t="s">
        <v>198</v>
      </c>
      <c r="D81" s="288"/>
      <c r="E81" s="290">
        <v>6.6000000000000003E-2</v>
      </c>
      <c r="F81" s="290">
        <v>6.6000000000000003E-2</v>
      </c>
      <c r="G81" s="290">
        <v>6.6000000000000003E-2</v>
      </c>
      <c r="H81" s="290">
        <v>6.6000000000000003E-2</v>
      </c>
      <c r="I81" s="290">
        <v>6.6000000000000003E-2</v>
      </c>
    </row>
    <row r="82" spans="1:9" x14ac:dyDescent="0.3">
      <c r="A82" s="286" t="s">
        <v>111</v>
      </c>
      <c r="B82" s="289" t="s">
        <v>199</v>
      </c>
      <c r="C82" s="285" t="s">
        <v>200</v>
      </c>
      <c r="D82" s="288"/>
      <c r="E82" s="290">
        <v>4.4999999999999998E-2</v>
      </c>
      <c r="F82" s="290">
        <v>4.4999999999999998E-2</v>
      </c>
      <c r="G82" s="290">
        <v>4.4999999999999998E-2</v>
      </c>
      <c r="H82" s="290">
        <v>4.4999999999999998E-2</v>
      </c>
      <c r="I82" s="290">
        <v>4.4999999999999998E-2</v>
      </c>
    </row>
    <row r="83" spans="1:9" x14ac:dyDescent="0.3">
      <c r="A83" s="286" t="s">
        <v>111</v>
      </c>
      <c r="B83" s="289" t="s">
        <v>201</v>
      </c>
      <c r="C83" s="285" t="s">
        <v>202</v>
      </c>
      <c r="D83" s="288"/>
      <c r="E83" s="290">
        <v>0</v>
      </c>
      <c r="F83" s="290">
        <v>0</v>
      </c>
      <c r="G83" s="290">
        <v>0</v>
      </c>
      <c r="H83" s="290">
        <v>0</v>
      </c>
      <c r="I83" s="290">
        <v>0</v>
      </c>
    </row>
    <row r="84" spans="1:9" x14ac:dyDescent="0.3">
      <c r="A84" s="286" t="s">
        <v>111</v>
      </c>
      <c r="B84" s="289" t="s">
        <v>203</v>
      </c>
      <c r="C84" s="285" t="s">
        <v>204</v>
      </c>
      <c r="D84" s="288"/>
      <c r="E84" s="290">
        <v>0</v>
      </c>
      <c r="F84" s="290">
        <v>0</v>
      </c>
      <c r="G84" s="290">
        <v>0</v>
      </c>
      <c r="H84" s="290">
        <v>0</v>
      </c>
      <c r="I84" s="290">
        <v>0</v>
      </c>
    </row>
    <row r="85" spans="1:9" x14ac:dyDescent="0.3">
      <c r="A85" s="286" t="s">
        <v>111</v>
      </c>
      <c r="B85" s="289" t="s">
        <v>205</v>
      </c>
      <c r="C85" s="285" t="s">
        <v>206</v>
      </c>
      <c r="D85" s="288"/>
      <c r="E85" s="290">
        <v>0</v>
      </c>
      <c r="F85" s="290">
        <v>0</v>
      </c>
      <c r="G85" s="290">
        <v>0</v>
      </c>
      <c r="H85" s="290">
        <v>0</v>
      </c>
      <c r="I85" s="290">
        <v>0</v>
      </c>
    </row>
    <row r="86" spans="1:9" x14ac:dyDescent="0.3"/>
    <row r="87" spans="1:9" x14ac:dyDescent="0.3">
      <c r="A87" s="286" t="s">
        <v>115</v>
      </c>
      <c r="B87" s="289" t="s">
        <v>197</v>
      </c>
      <c r="C87" s="285" t="s">
        <v>198</v>
      </c>
      <c r="D87" s="288"/>
      <c r="E87" s="290">
        <v>3.94773964521715E-2</v>
      </c>
      <c r="F87" s="290">
        <v>3.94773964521715E-2</v>
      </c>
      <c r="G87" s="290">
        <v>3.94773964521715E-2</v>
      </c>
      <c r="H87" s="290">
        <v>3.94773964521715E-2</v>
      </c>
      <c r="I87" s="290">
        <v>3.94773964521715E-2</v>
      </c>
    </row>
    <row r="88" spans="1:9" x14ac:dyDescent="0.3">
      <c r="A88" s="286" t="s">
        <v>115</v>
      </c>
      <c r="B88" s="289" t="s">
        <v>199</v>
      </c>
      <c r="C88" s="285" t="s">
        <v>200</v>
      </c>
      <c r="D88" s="288"/>
      <c r="E88" s="290">
        <v>4.04773964521715E-2</v>
      </c>
      <c r="F88" s="290">
        <v>4.04773964521715E-2</v>
      </c>
      <c r="G88" s="290">
        <v>4.04773964521715E-2</v>
      </c>
      <c r="H88" s="290">
        <v>4.04773964521715E-2</v>
      </c>
      <c r="I88" s="290">
        <v>4.04773964521715E-2</v>
      </c>
    </row>
    <row r="89" spans="1:9" x14ac:dyDescent="0.3">
      <c r="A89" s="286" t="s">
        <v>115</v>
      </c>
      <c r="B89" s="289" t="s">
        <v>201</v>
      </c>
      <c r="C89" s="285" t="s">
        <v>202</v>
      </c>
      <c r="D89" s="288"/>
      <c r="E89" s="290">
        <v>0</v>
      </c>
      <c r="F89" s="290">
        <v>0</v>
      </c>
      <c r="G89" s="290">
        <v>0</v>
      </c>
      <c r="H89" s="290">
        <v>0</v>
      </c>
      <c r="I89" s="290">
        <v>0</v>
      </c>
    </row>
    <row r="90" spans="1:9" x14ac:dyDescent="0.3">
      <c r="A90" s="286" t="s">
        <v>115</v>
      </c>
      <c r="B90" s="289" t="s">
        <v>203</v>
      </c>
      <c r="C90" s="285" t="s">
        <v>204</v>
      </c>
      <c r="D90" s="288"/>
      <c r="E90" s="290">
        <v>0</v>
      </c>
      <c r="F90" s="290">
        <v>0</v>
      </c>
      <c r="G90" s="290">
        <v>0</v>
      </c>
      <c r="H90" s="290">
        <v>0</v>
      </c>
      <c r="I90" s="290">
        <v>0</v>
      </c>
    </row>
    <row r="91" spans="1:9" x14ac:dyDescent="0.3">
      <c r="A91" s="286" t="s">
        <v>115</v>
      </c>
      <c r="B91" s="289" t="s">
        <v>205</v>
      </c>
      <c r="C91" s="285" t="s">
        <v>206</v>
      </c>
      <c r="D91" s="288"/>
      <c r="E91" s="290">
        <v>0</v>
      </c>
      <c r="F91" s="290">
        <v>0</v>
      </c>
      <c r="G91" s="290">
        <v>0</v>
      </c>
      <c r="H91" s="290">
        <v>0</v>
      </c>
      <c r="I91" s="290">
        <v>0</v>
      </c>
    </row>
    <row r="92" spans="1:9" x14ac:dyDescent="0.3"/>
    <row r="93" spans="1:9" x14ac:dyDescent="0.3">
      <c r="A93" s="286" t="s">
        <v>117</v>
      </c>
      <c r="B93" s="289" t="s">
        <v>197</v>
      </c>
      <c r="C93" s="285" t="s">
        <v>198</v>
      </c>
      <c r="D93" s="288"/>
      <c r="E93" s="290">
        <v>0.130272074726663</v>
      </c>
      <c r="F93" s="290">
        <v>0.13347523989729801</v>
      </c>
      <c r="G93" s="290">
        <v>0.14693534130306099</v>
      </c>
      <c r="H93" s="290">
        <v>0.16527951521456397</v>
      </c>
      <c r="I93" s="290">
        <v>0.17398859178014198</v>
      </c>
    </row>
    <row r="94" spans="1:9" x14ac:dyDescent="0.3">
      <c r="A94" s="286" t="s">
        <v>117</v>
      </c>
      <c r="B94" s="289" t="s">
        <v>199</v>
      </c>
      <c r="C94" s="285" t="s">
        <v>200</v>
      </c>
      <c r="D94" s="288"/>
      <c r="E94" s="290">
        <v>7.8E-2</v>
      </c>
      <c r="F94" s="290">
        <v>7.8299999999999995E-2</v>
      </c>
      <c r="G94" s="290">
        <v>8.1000000000000003E-2</v>
      </c>
      <c r="H94" s="290">
        <v>0.08</v>
      </c>
      <c r="I94" s="290">
        <v>7.8E-2</v>
      </c>
    </row>
    <row r="95" spans="1:9" x14ac:dyDescent="0.3">
      <c r="A95" s="286" t="s">
        <v>117</v>
      </c>
      <c r="B95" s="289" t="s">
        <v>201</v>
      </c>
      <c r="C95" s="285" t="s">
        <v>202</v>
      </c>
      <c r="D95" s="288"/>
      <c r="E95" s="290">
        <v>0</v>
      </c>
      <c r="F95" s="290">
        <v>0</v>
      </c>
      <c r="G95" s="290">
        <v>0</v>
      </c>
      <c r="H95" s="290">
        <v>0</v>
      </c>
      <c r="I95" s="290">
        <v>0</v>
      </c>
    </row>
    <row r="96" spans="1:9" x14ac:dyDescent="0.3">
      <c r="A96" s="286" t="s">
        <v>117</v>
      </c>
      <c r="B96" s="289" t="s">
        <v>203</v>
      </c>
      <c r="C96" s="285" t="s">
        <v>204</v>
      </c>
      <c r="D96" s="288"/>
      <c r="E96" s="290">
        <v>0</v>
      </c>
      <c r="F96" s="290">
        <v>0</v>
      </c>
      <c r="G96" s="290">
        <v>0</v>
      </c>
      <c r="H96" s="290">
        <v>0</v>
      </c>
      <c r="I96" s="290">
        <v>0</v>
      </c>
    </row>
    <row r="97" spans="1:9" x14ac:dyDescent="0.3">
      <c r="A97" s="286" t="s">
        <v>117</v>
      </c>
      <c r="B97" s="289" t="s">
        <v>205</v>
      </c>
      <c r="C97" s="285" t="s">
        <v>206</v>
      </c>
      <c r="D97" s="288"/>
      <c r="E97" s="290">
        <v>0</v>
      </c>
      <c r="F97" s="290">
        <v>0</v>
      </c>
      <c r="G97" s="290">
        <v>0</v>
      </c>
      <c r="H97" s="290">
        <v>0</v>
      </c>
      <c r="I97" s="290">
        <v>0</v>
      </c>
    </row>
    <row r="98" spans="1:9" x14ac:dyDescent="0.3"/>
    <row r="99" spans="1:9" x14ac:dyDescent="0.3">
      <c r="A99" s="286" t="s">
        <v>113</v>
      </c>
      <c r="B99" s="289" t="s">
        <v>197</v>
      </c>
      <c r="C99" s="285" t="s">
        <v>198</v>
      </c>
      <c r="D99" s="288"/>
      <c r="E99" s="290">
        <v>6.9500000000000006E-2</v>
      </c>
      <c r="F99" s="290">
        <v>6.9500000000000006E-2</v>
      </c>
      <c r="G99" s="290">
        <v>6.9500000000000006E-2</v>
      </c>
      <c r="H99" s="290">
        <v>6.9500000000000006E-2</v>
      </c>
      <c r="I99" s="290">
        <v>6.9500000000000006E-2</v>
      </c>
    </row>
    <row r="100" spans="1:9" x14ac:dyDescent="0.3">
      <c r="A100" s="286" t="s">
        <v>113</v>
      </c>
      <c r="B100" s="289" t="s">
        <v>199</v>
      </c>
      <c r="C100" s="285" t="s">
        <v>200</v>
      </c>
      <c r="D100" s="288"/>
      <c r="E100" s="290">
        <v>6.9500000000000006E-2</v>
      </c>
      <c r="F100" s="290">
        <v>6.9500000000000006E-2</v>
      </c>
      <c r="G100" s="290">
        <v>6.9500000000000006E-2</v>
      </c>
      <c r="H100" s="290">
        <v>6.9500000000000006E-2</v>
      </c>
      <c r="I100" s="290">
        <v>6.9500000000000006E-2</v>
      </c>
    </row>
    <row r="101" spans="1:9" x14ac:dyDescent="0.3">
      <c r="A101" s="286" t="s">
        <v>113</v>
      </c>
      <c r="B101" s="289" t="s">
        <v>201</v>
      </c>
      <c r="C101" s="285" t="s">
        <v>202</v>
      </c>
      <c r="D101" s="288"/>
      <c r="E101" s="290">
        <v>0</v>
      </c>
      <c r="F101" s="290">
        <v>0</v>
      </c>
      <c r="G101" s="290">
        <v>0</v>
      </c>
      <c r="H101" s="290">
        <v>0</v>
      </c>
      <c r="I101" s="290">
        <v>0</v>
      </c>
    </row>
    <row r="102" spans="1:9" x14ac:dyDescent="0.3">
      <c r="A102" s="286" t="s">
        <v>113</v>
      </c>
      <c r="B102" s="289" t="s">
        <v>203</v>
      </c>
      <c r="C102" s="285" t="s">
        <v>204</v>
      </c>
      <c r="D102" s="288"/>
      <c r="E102" s="290">
        <v>0</v>
      </c>
      <c r="F102" s="290">
        <v>0</v>
      </c>
      <c r="G102" s="290">
        <v>0</v>
      </c>
      <c r="H102" s="290">
        <v>0</v>
      </c>
      <c r="I102" s="290">
        <v>0</v>
      </c>
    </row>
    <row r="103" spans="1:9" x14ac:dyDescent="0.3">
      <c r="A103" s="286" t="s">
        <v>113</v>
      </c>
      <c r="B103" s="289" t="s">
        <v>205</v>
      </c>
      <c r="C103" s="285" t="s">
        <v>206</v>
      </c>
      <c r="D103" s="288"/>
      <c r="E103" s="290">
        <v>0</v>
      </c>
      <c r="F103" s="290">
        <v>0</v>
      </c>
      <c r="G103" s="290">
        <v>0</v>
      </c>
      <c r="H103" s="290">
        <v>0</v>
      </c>
      <c r="I103" s="290">
        <v>0</v>
      </c>
    </row>
    <row r="104" spans="1:9" x14ac:dyDescent="0.3"/>
    <row r="105" spans="1:9" x14ac:dyDescent="0.3"/>
    <row r="106" spans="1:9" x14ac:dyDescent="0.3"/>
    <row r="107" spans="1:9" x14ac:dyDescent="0.3"/>
    <row r="108" spans="1:9" x14ac:dyDescent="0.3"/>
    <row r="109" spans="1:9" x14ac:dyDescent="0.3"/>
    <row r="110" spans="1:9"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35CE-09AD-4213-BB83-D3B0F35439B0}">
  <sheetPr>
    <pageSetUpPr fitToPage="1"/>
  </sheetPr>
  <dimension ref="A1:I110"/>
  <sheetViews>
    <sheetView showGridLines="0" zoomScale="80" zoomScaleNormal="80" workbookViewId="0"/>
  </sheetViews>
  <sheetFormatPr defaultColWidth="0" defaultRowHeight="14" zeroHeight="1" x14ac:dyDescent="0.3"/>
  <cols>
    <col min="1" max="1" width="9.1796875" style="285" customWidth="1"/>
    <col min="2" max="2" width="55.81640625" style="285" bestFit="1" customWidth="1"/>
    <col min="3" max="3" width="60.54296875" style="285" bestFit="1" customWidth="1"/>
    <col min="4" max="9" width="9.1796875" style="285" customWidth="1"/>
    <col min="10"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9" t="s">
        <v>207</v>
      </c>
      <c r="C3" s="285" t="s">
        <v>208</v>
      </c>
      <c r="D3" s="288"/>
      <c r="E3" s="290">
        <v>2.2181345335277269E-2</v>
      </c>
      <c r="F3" s="290">
        <v>2.2181345335277269E-2</v>
      </c>
      <c r="G3" s="290">
        <v>2.2181345335277269E-2</v>
      </c>
      <c r="H3" s="290">
        <v>2.2181345335277269E-2</v>
      </c>
      <c r="I3" s="290">
        <v>2.2181345335277269E-2</v>
      </c>
    </row>
    <row r="4" spans="1:9" x14ac:dyDescent="0.3">
      <c r="A4" s="286" t="s">
        <v>85</v>
      </c>
      <c r="B4" s="289" t="s">
        <v>209</v>
      </c>
      <c r="C4" s="285" t="s">
        <v>210</v>
      </c>
      <c r="D4" s="288"/>
      <c r="E4" s="290">
        <v>2.2181345335277269E-2</v>
      </c>
      <c r="F4" s="290">
        <v>2.2181345335277269E-2</v>
      </c>
      <c r="G4" s="290">
        <v>2.2181345335277269E-2</v>
      </c>
      <c r="H4" s="290">
        <v>2.2181345335277269E-2</v>
      </c>
      <c r="I4" s="290">
        <v>2.2181345335277269E-2</v>
      </c>
    </row>
    <row r="5" spans="1:9" x14ac:dyDescent="0.3">
      <c r="A5" s="286" t="s">
        <v>85</v>
      </c>
      <c r="B5" s="289" t="s">
        <v>211</v>
      </c>
      <c r="C5" s="285" t="s">
        <v>212</v>
      </c>
      <c r="D5" s="288"/>
      <c r="E5" s="290">
        <v>2.2181345335277269E-2</v>
      </c>
      <c r="F5" s="290">
        <v>2.2181345335277269E-2</v>
      </c>
      <c r="G5" s="290">
        <v>2.2181345335277269E-2</v>
      </c>
      <c r="H5" s="290">
        <v>2.2181345335277269E-2</v>
      </c>
      <c r="I5" s="290">
        <v>2.2181345335277269E-2</v>
      </c>
    </row>
    <row r="6" spans="1:9" x14ac:dyDescent="0.3">
      <c r="A6" s="286" t="s">
        <v>85</v>
      </c>
      <c r="B6" s="289" t="s">
        <v>213</v>
      </c>
      <c r="C6" s="285" t="s">
        <v>214</v>
      </c>
      <c r="D6" s="288"/>
      <c r="E6" s="290">
        <v>2.2181345335277269E-2</v>
      </c>
      <c r="F6" s="290">
        <v>2.2181345335277269E-2</v>
      </c>
      <c r="G6" s="290">
        <v>2.2181345335277269E-2</v>
      </c>
      <c r="H6" s="290">
        <v>2.2181345335277269E-2</v>
      </c>
      <c r="I6" s="290">
        <v>2.2181345335277269E-2</v>
      </c>
    </row>
    <row r="7" spans="1:9" x14ac:dyDescent="0.3">
      <c r="A7" s="286" t="s">
        <v>85</v>
      </c>
      <c r="B7" s="289" t="s">
        <v>215</v>
      </c>
      <c r="C7" s="285" t="s">
        <v>216</v>
      </c>
      <c r="D7" s="288"/>
      <c r="E7" s="290">
        <v>2.2181345335277269E-2</v>
      </c>
      <c r="F7" s="290">
        <v>2.2181345335277269E-2</v>
      </c>
      <c r="G7" s="290">
        <v>2.2181345335277269E-2</v>
      </c>
      <c r="H7" s="290">
        <v>2.2181345335277269E-2</v>
      </c>
      <c r="I7" s="290">
        <v>2.2181345335277269E-2</v>
      </c>
    </row>
    <row r="8" spans="1:9" x14ac:dyDescent="0.3"/>
    <row r="9" spans="1:9" x14ac:dyDescent="0.3">
      <c r="A9" s="286" t="s">
        <v>87</v>
      </c>
      <c r="B9" s="289" t="s">
        <v>207</v>
      </c>
      <c r="C9" s="285" t="s">
        <v>208</v>
      </c>
      <c r="D9" s="288"/>
      <c r="E9" s="290">
        <v>1.920357193840716E-2</v>
      </c>
      <c r="F9" s="290">
        <v>1.920357193840716E-2</v>
      </c>
      <c r="G9" s="290">
        <v>1.920357193840716E-2</v>
      </c>
      <c r="H9" s="290">
        <v>1.920357193840716E-2</v>
      </c>
      <c r="I9" s="290">
        <v>1.920357193840716E-2</v>
      </c>
    </row>
    <row r="10" spans="1:9" x14ac:dyDescent="0.3">
      <c r="A10" s="286" t="s">
        <v>87</v>
      </c>
      <c r="B10" s="289" t="s">
        <v>209</v>
      </c>
      <c r="C10" s="285" t="s">
        <v>210</v>
      </c>
      <c r="D10" s="288"/>
      <c r="E10" s="290">
        <v>1.920357193840716E-2</v>
      </c>
      <c r="F10" s="290">
        <v>1.920357193840716E-2</v>
      </c>
      <c r="G10" s="290">
        <v>1.920357193840716E-2</v>
      </c>
      <c r="H10" s="290">
        <v>1.920357193840716E-2</v>
      </c>
      <c r="I10" s="290">
        <v>1.920357193840716E-2</v>
      </c>
    </row>
    <row r="11" spans="1:9" x14ac:dyDescent="0.3">
      <c r="A11" s="286" t="s">
        <v>87</v>
      </c>
      <c r="B11" s="289" t="s">
        <v>211</v>
      </c>
      <c r="C11" s="285" t="s">
        <v>212</v>
      </c>
      <c r="D11" s="288"/>
      <c r="E11" s="290">
        <v>1.920357193840716E-2</v>
      </c>
      <c r="F11" s="290">
        <v>1.920357193840716E-2</v>
      </c>
      <c r="G11" s="290">
        <v>1.920357193840716E-2</v>
      </c>
      <c r="H11" s="290">
        <v>1.920357193840716E-2</v>
      </c>
      <c r="I11" s="290">
        <v>1.920357193840716E-2</v>
      </c>
    </row>
    <row r="12" spans="1:9" x14ac:dyDescent="0.3">
      <c r="A12" s="286" t="s">
        <v>87</v>
      </c>
      <c r="B12" s="289" t="s">
        <v>213</v>
      </c>
      <c r="C12" s="285" t="s">
        <v>214</v>
      </c>
      <c r="D12" s="288"/>
      <c r="E12" s="290">
        <v>1.920357193840716E-2</v>
      </c>
      <c r="F12" s="290">
        <v>1.920357193840716E-2</v>
      </c>
      <c r="G12" s="290">
        <v>1.920357193840716E-2</v>
      </c>
      <c r="H12" s="290">
        <v>1.920357193840716E-2</v>
      </c>
      <c r="I12" s="290">
        <v>1.920357193840716E-2</v>
      </c>
    </row>
    <row r="13" spans="1:9" x14ac:dyDescent="0.3">
      <c r="A13" s="286" t="s">
        <v>87</v>
      </c>
      <c r="B13" s="289" t="s">
        <v>215</v>
      </c>
      <c r="C13" s="285" t="s">
        <v>216</v>
      </c>
      <c r="D13" s="288"/>
      <c r="E13" s="290">
        <v>1.920357193840716E-2</v>
      </c>
      <c r="F13" s="290">
        <v>1.920357193840716E-2</v>
      </c>
      <c r="G13" s="290">
        <v>1.920357193840716E-2</v>
      </c>
      <c r="H13" s="290">
        <v>1.920357193840716E-2</v>
      </c>
      <c r="I13" s="290">
        <v>1.920357193840716E-2</v>
      </c>
    </row>
    <row r="14" spans="1:9" x14ac:dyDescent="0.3"/>
    <row r="15" spans="1:9" x14ac:dyDescent="0.3">
      <c r="A15" s="286" t="s">
        <v>89</v>
      </c>
      <c r="B15" s="289" t="s">
        <v>207</v>
      </c>
      <c r="C15" s="285" t="s">
        <v>208</v>
      </c>
      <c r="D15" s="288"/>
      <c r="E15" s="290">
        <v>1.920357193840716E-2</v>
      </c>
      <c r="F15" s="290">
        <v>1.920357193840716E-2</v>
      </c>
      <c r="G15" s="290">
        <v>1.920357193840716E-2</v>
      </c>
      <c r="H15" s="290">
        <v>1.920357193840716E-2</v>
      </c>
      <c r="I15" s="290">
        <v>1.920357193840716E-2</v>
      </c>
    </row>
    <row r="16" spans="1:9" x14ac:dyDescent="0.3">
      <c r="A16" s="286" t="s">
        <v>89</v>
      </c>
      <c r="B16" s="289" t="s">
        <v>209</v>
      </c>
      <c r="C16" s="285" t="s">
        <v>210</v>
      </c>
      <c r="D16" s="288"/>
      <c r="E16" s="290">
        <v>1.920357193840716E-2</v>
      </c>
      <c r="F16" s="290">
        <v>1.920357193840716E-2</v>
      </c>
      <c r="G16" s="290">
        <v>1.920357193840716E-2</v>
      </c>
      <c r="H16" s="290">
        <v>1.920357193840716E-2</v>
      </c>
      <c r="I16" s="290">
        <v>1.920357193840716E-2</v>
      </c>
    </row>
    <row r="17" spans="1:9" x14ac:dyDescent="0.3">
      <c r="A17" s="286" t="s">
        <v>89</v>
      </c>
      <c r="B17" s="289" t="s">
        <v>211</v>
      </c>
      <c r="C17" s="285" t="s">
        <v>212</v>
      </c>
      <c r="D17" s="288"/>
      <c r="E17" s="290">
        <v>1.920357193840716E-2</v>
      </c>
      <c r="F17" s="290">
        <v>1.920357193840716E-2</v>
      </c>
      <c r="G17" s="290">
        <v>1.920357193840716E-2</v>
      </c>
      <c r="H17" s="290">
        <v>1.920357193840716E-2</v>
      </c>
      <c r="I17" s="290">
        <v>1.920357193840716E-2</v>
      </c>
    </row>
    <row r="18" spans="1:9" x14ac:dyDescent="0.3">
      <c r="A18" s="286" t="s">
        <v>89</v>
      </c>
      <c r="B18" s="289" t="s">
        <v>213</v>
      </c>
      <c r="C18" s="285" t="s">
        <v>214</v>
      </c>
      <c r="D18" s="288"/>
      <c r="E18" s="290">
        <v>1.920357193840716E-2</v>
      </c>
      <c r="F18" s="290">
        <v>1.920357193840716E-2</v>
      </c>
      <c r="G18" s="290">
        <v>1.920357193840716E-2</v>
      </c>
      <c r="H18" s="290">
        <v>1.920357193840716E-2</v>
      </c>
      <c r="I18" s="290">
        <v>1.920357193840716E-2</v>
      </c>
    </row>
    <row r="19" spans="1:9" x14ac:dyDescent="0.3">
      <c r="A19" s="286" t="s">
        <v>89</v>
      </c>
      <c r="B19" s="289" t="s">
        <v>215</v>
      </c>
      <c r="C19" s="285" t="s">
        <v>216</v>
      </c>
      <c r="D19" s="288"/>
      <c r="E19" s="290">
        <v>1.920357193840716E-2</v>
      </c>
      <c r="F19" s="290">
        <v>1.920357193840716E-2</v>
      </c>
      <c r="G19" s="290">
        <v>1.920357193840716E-2</v>
      </c>
      <c r="H19" s="290">
        <v>1.920357193840716E-2</v>
      </c>
      <c r="I19" s="290">
        <v>1.920357193840716E-2</v>
      </c>
    </row>
    <row r="20" spans="1:9" x14ac:dyDescent="0.3"/>
    <row r="21" spans="1:9" x14ac:dyDescent="0.3">
      <c r="A21" s="286" t="s">
        <v>91</v>
      </c>
      <c r="B21" s="289" t="s">
        <v>207</v>
      </c>
      <c r="C21" s="285" t="s">
        <v>208</v>
      </c>
      <c r="D21" s="288"/>
      <c r="E21" s="290">
        <v>2.2181345335277269E-2</v>
      </c>
      <c r="F21" s="290">
        <v>2.2181345335277269E-2</v>
      </c>
      <c r="G21" s="290">
        <v>2.2181345335277269E-2</v>
      </c>
      <c r="H21" s="290">
        <v>2.2181345335277269E-2</v>
      </c>
      <c r="I21" s="290">
        <v>2.2181345335277269E-2</v>
      </c>
    </row>
    <row r="22" spans="1:9" x14ac:dyDescent="0.3">
      <c r="A22" s="286" t="s">
        <v>91</v>
      </c>
      <c r="B22" s="289" t="s">
        <v>209</v>
      </c>
      <c r="C22" s="285" t="s">
        <v>210</v>
      </c>
      <c r="D22" s="288"/>
      <c r="E22" s="290">
        <v>2.2181345335277269E-2</v>
      </c>
      <c r="F22" s="290">
        <v>2.2181345335277269E-2</v>
      </c>
      <c r="G22" s="290">
        <v>2.2181345335277269E-2</v>
      </c>
      <c r="H22" s="290">
        <v>2.2181345335277269E-2</v>
      </c>
      <c r="I22" s="290">
        <v>2.2181345335277269E-2</v>
      </c>
    </row>
    <row r="23" spans="1:9" x14ac:dyDescent="0.3">
      <c r="A23" s="286" t="s">
        <v>91</v>
      </c>
      <c r="B23" s="289" t="s">
        <v>211</v>
      </c>
      <c r="C23" s="285" t="s">
        <v>212</v>
      </c>
      <c r="D23" s="288"/>
      <c r="E23" s="290">
        <v>2.2181345335277269E-2</v>
      </c>
      <c r="F23" s="290">
        <v>2.2181345335277269E-2</v>
      </c>
      <c r="G23" s="290">
        <v>2.2181345335277269E-2</v>
      </c>
      <c r="H23" s="290">
        <v>2.2181345335277269E-2</v>
      </c>
      <c r="I23" s="290">
        <v>2.2181345335277269E-2</v>
      </c>
    </row>
    <row r="24" spans="1:9" x14ac:dyDescent="0.3">
      <c r="A24" s="286" t="s">
        <v>91</v>
      </c>
      <c r="B24" s="289" t="s">
        <v>213</v>
      </c>
      <c r="C24" s="285" t="s">
        <v>214</v>
      </c>
      <c r="D24" s="288"/>
      <c r="E24" s="290">
        <v>2.2181345335277269E-2</v>
      </c>
      <c r="F24" s="290">
        <v>2.2181345335277269E-2</v>
      </c>
      <c r="G24" s="290">
        <v>2.2181345335277269E-2</v>
      </c>
      <c r="H24" s="290">
        <v>2.2181345335277269E-2</v>
      </c>
      <c r="I24" s="290">
        <v>2.2181345335277269E-2</v>
      </c>
    </row>
    <row r="25" spans="1:9" x14ac:dyDescent="0.3">
      <c r="A25" s="286" t="s">
        <v>91</v>
      </c>
      <c r="B25" s="289" t="s">
        <v>215</v>
      </c>
      <c r="C25" s="285" t="s">
        <v>216</v>
      </c>
      <c r="D25" s="288"/>
      <c r="E25" s="290">
        <v>2.2181345335277269E-2</v>
      </c>
      <c r="F25" s="290">
        <v>2.2181345335277269E-2</v>
      </c>
      <c r="G25" s="290">
        <v>2.2181345335277269E-2</v>
      </c>
      <c r="H25" s="290">
        <v>2.2181345335277269E-2</v>
      </c>
      <c r="I25" s="290">
        <v>2.2181345335277269E-2</v>
      </c>
    </row>
    <row r="26" spans="1:9" x14ac:dyDescent="0.3"/>
    <row r="27" spans="1:9" x14ac:dyDescent="0.3">
      <c r="A27" s="286" t="s">
        <v>93</v>
      </c>
      <c r="B27" s="289" t="s">
        <v>207</v>
      </c>
      <c r="C27" s="285" t="s">
        <v>208</v>
      </c>
      <c r="D27" s="288"/>
      <c r="E27" s="290">
        <v>1.920357193840716E-2</v>
      </c>
      <c r="F27" s="290">
        <v>1.920357193840716E-2</v>
      </c>
      <c r="G27" s="290">
        <v>1.920357193840716E-2</v>
      </c>
      <c r="H27" s="290">
        <v>1.920357193840716E-2</v>
      </c>
      <c r="I27" s="290">
        <v>1.920357193840716E-2</v>
      </c>
    </row>
    <row r="28" spans="1:9" x14ac:dyDescent="0.3">
      <c r="A28" s="286" t="s">
        <v>93</v>
      </c>
      <c r="B28" s="289" t="s">
        <v>209</v>
      </c>
      <c r="C28" s="285" t="s">
        <v>210</v>
      </c>
      <c r="D28" s="288"/>
      <c r="E28" s="290">
        <v>1.920357193840716E-2</v>
      </c>
      <c r="F28" s="290">
        <v>1.920357193840716E-2</v>
      </c>
      <c r="G28" s="290">
        <v>1.920357193840716E-2</v>
      </c>
      <c r="H28" s="290">
        <v>1.920357193840716E-2</v>
      </c>
      <c r="I28" s="290">
        <v>1.920357193840716E-2</v>
      </c>
    </row>
    <row r="29" spans="1:9" x14ac:dyDescent="0.3">
      <c r="A29" s="286" t="s">
        <v>93</v>
      </c>
      <c r="B29" s="289" t="s">
        <v>211</v>
      </c>
      <c r="C29" s="285" t="s">
        <v>212</v>
      </c>
      <c r="D29" s="288"/>
      <c r="E29" s="290">
        <v>1.920357193840716E-2</v>
      </c>
      <c r="F29" s="290">
        <v>1.920357193840716E-2</v>
      </c>
      <c r="G29" s="290">
        <v>1.920357193840716E-2</v>
      </c>
      <c r="H29" s="290">
        <v>1.920357193840716E-2</v>
      </c>
      <c r="I29" s="290">
        <v>1.920357193840716E-2</v>
      </c>
    </row>
    <row r="30" spans="1:9" x14ac:dyDescent="0.3">
      <c r="A30" s="286" t="s">
        <v>93</v>
      </c>
      <c r="B30" s="289" t="s">
        <v>213</v>
      </c>
      <c r="C30" s="285" t="s">
        <v>214</v>
      </c>
      <c r="D30" s="288"/>
      <c r="E30" s="290">
        <v>1.920357193840716E-2</v>
      </c>
      <c r="F30" s="290">
        <v>1.920357193840716E-2</v>
      </c>
      <c r="G30" s="290">
        <v>1.920357193840716E-2</v>
      </c>
      <c r="H30" s="290">
        <v>1.920357193840716E-2</v>
      </c>
      <c r="I30" s="290">
        <v>1.920357193840716E-2</v>
      </c>
    </row>
    <row r="31" spans="1:9" x14ac:dyDescent="0.3">
      <c r="A31" s="286" t="s">
        <v>93</v>
      </c>
      <c r="B31" s="289" t="s">
        <v>215</v>
      </c>
      <c r="C31" s="285" t="s">
        <v>216</v>
      </c>
      <c r="D31" s="288"/>
      <c r="E31" s="290">
        <v>1.920357193840716E-2</v>
      </c>
      <c r="F31" s="290">
        <v>1.920357193840716E-2</v>
      </c>
      <c r="G31" s="290">
        <v>1.920357193840716E-2</v>
      </c>
      <c r="H31" s="290">
        <v>1.920357193840716E-2</v>
      </c>
      <c r="I31" s="290">
        <v>1.920357193840716E-2</v>
      </c>
    </row>
    <row r="32" spans="1:9" x14ac:dyDescent="0.3"/>
    <row r="33" spans="1:9" x14ac:dyDescent="0.3">
      <c r="A33" s="286" t="s">
        <v>97</v>
      </c>
      <c r="B33" s="289" t="s">
        <v>207</v>
      </c>
      <c r="C33" s="285" t="s">
        <v>208</v>
      </c>
      <c r="D33" s="288"/>
      <c r="E33" s="290">
        <v>1.920357193840716E-2</v>
      </c>
      <c r="F33" s="290">
        <v>1.920357193840716E-2</v>
      </c>
      <c r="G33" s="290">
        <v>1.920357193840716E-2</v>
      </c>
      <c r="H33" s="290">
        <v>1.920357193840716E-2</v>
      </c>
      <c r="I33" s="290">
        <v>1.920357193840716E-2</v>
      </c>
    </row>
    <row r="34" spans="1:9" x14ac:dyDescent="0.3">
      <c r="A34" s="286" t="s">
        <v>97</v>
      </c>
      <c r="B34" s="289" t="s">
        <v>209</v>
      </c>
      <c r="C34" s="285" t="s">
        <v>210</v>
      </c>
      <c r="D34" s="288"/>
      <c r="E34" s="290">
        <v>1.920357193840716E-2</v>
      </c>
      <c r="F34" s="290">
        <v>1.920357193840716E-2</v>
      </c>
      <c r="G34" s="290">
        <v>1.920357193840716E-2</v>
      </c>
      <c r="H34" s="290">
        <v>1.920357193840716E-2</v>
      </c>
      <c r="I34" s="290">
        <v>1.920357193840716E-2</v>
      </c>
    </row>
    <row r="35" spans="1:9" x14ac:dyDescent="0.3">
      <c r="A35" s="286" t="s">
        <v>97</v>
      </c>
      <c r="B35" s="289" t="s">
        <v>211</v>
      </c>
      <c r="C35" s="285" t="s">
        <v>212</v>
      </c>
      <c r="D35" s="288"/>
      <c r="E35" s="290">
        <v>1.920357193840716E-2</v>
      </c>
      <c r="F35" s="290">
        <v>1.920357193840716E-2</v>
      </c>
      <c r="G35" s="290">
        <v>1.920357193840716E-2</v>
      </c>
      <c r="H35" s="290">
        <v>1.920357193840716E-2</v>
      </c>
      <c r="I35" s="290">
        <v>1.920357193840716E-2</v>
      </c>
    </row>
    <row r="36" spans="1:9" x14ac:dyDescent="0.3">
      <c r="A36" s="286" t="s">
        <v>97</v>
      </c>
      <c r="B36" s="289" t="s">
        <v>213</v>
      </c>
      <c r="C36" s="285" t="s">
        <v>214</v>
      </c>
      <c r="D36" s="288"/>
      <c r="E36" s="290">
        <v>1.920357193840716E-2</v>
      </c>
      <c r="F36" s="290">
        <v>1.920357193840716E-2</v>
      </c>
      <c r="G36" s="290">
        <v>1.920357193840716E-2</v>
      </c>
      <c r="H36" s="290">
        <v>1.920357193840716E-2</v>
      </c>
      <c r="I36" s="290">
        <v>1.920357193840716E-2</v>
      </c>
    </row>
    <row r="37" spans="1:9" x14ac:dyDescent="0.3">
      <c r="A37" s="286" t="s">
        <v>97</v>
      </c>
      <c r="B37" s="289" t="s">
        <v>215</v>
      </c>
      <c r="C37" s="285" t="s">
        <v>216</v>
      </c>
      <c r="D37" s="288"/>
      <c r="E37" s="290">
        <v>1.920357193840716E-2</v>
      </c>
      <c r="F37" s="290">
        <v>1.920357193840716E-2</v>
      </c>
      <c r="G37" s="290">
        <v>1.920357193840716E-2</v>
      </c>
      <c r="H37" s="290">
        <v>1.920357193840716E-2</v>
      </c>
      <c r="I37" s="290">
        <v>1.920357193840716E-2</v>
      </c>
    </row>
    <row r="38" spans="1:9" x14ac:dyDescent="0.3"/>
    <row r="39" spans="1:9" x14ac:dyDescent="0.3">
      <c r="A39" s="286" t="s">
        <v>95</v>
      </c>
      <c r="B39" s="289" t="s">
        <v>207</v>
      </c>
      <c r="C39" s="285" t="s">
        <v>208</v>
      </c>
      <c r="D39" s="288"/>
      <c r="E39" s="290">
        <v>1.920357193840716E-2</v>
      </c>
      <c r="F39" s="290">
        <v>1.920357193840716E-2</v>
      </c>
      <c r="G39" s="290">
        <v>1.920357193840716E-2</v>
      </c>
      <c r="H39" s="290">
        <v>1.920357193840716E-2</v>
      </c>
      <c r="I39" s="290">
        <v>1.920357193840716E-2</v>
      </c>
    </row>
    <row r="40" spans="1:9" x14ac:dyDescent="0.3">
      <c r="A40" s="286" t="s">
        <v>95</v>
      </c>
      <c r="B40" s="289" t="s">
        <v>209</v>
      </c>
      <c r="C40" s="285" t="s">
        <v>210</v>
      </c>
      <c r="D40" s="288"/>
      <c r="E40" s="290">
        <v>1.920357193840716E-2</v>
      </c>
      <c r="F40" s="290">
        <v>1.920357193840716E-2</v>
      </c>
      <c r="G40" s="290">
        <v>1.920357193840716E-2</v>
      </c>
      <c r="H40" s="290">
        <v>1.920357193840716E-2</v>
      </c>
      <c r="I40" s="290">
        <v>1.920357193840716E-2</v>
      </c>
    </row>
    <row r="41" spans="1:9" x14ac:dyDescent="0.3">
      <c r="A41" s="286" t="s">
        <v>95</v>
      </c>
      <c r="B41" s="289" t="s">
        <v>211</v>
      </c>
      <c r="C41" s="285" t="s">
        <v>212</v>
      </c>
      <c r="D41" s="288"/>
      <c r="E41" s="290">
        <v>1.920357193840716E-2</v>
      </c>
      <c r="F41" s="290">
        <v>1.920357193840716E-2</v>
      </c>
      <c r="G41" s="290">
        <v>1.920357193840716E-2</v>
      </c>
      <c r="H41" s="290">
        <v>1.920357193840716E-2</v>
      </c>
      <c r="I41" s="290">
        <v>1.920357193840716E-2</v>
      </c>
    </row>
    <row r="42" spans="1:9" x14ac:dyDescent="0.3">
      <c r="A42" s="286" t="s">
        <v>95</v>
      </c>
      <c r="B42" s="289" t="s">
        <v>213</v>
      </c>
      <c r="C42" s="285" t="s">
        <v>214</v>
      </c>
      <c r="D42" s="288"/>
      <c r="E42" s="290">
        <v>1.920357193840716E-2</v>
      </c>
      <c r="F42" s="290">
        <v>1.920357193840716E-2</v>
      </c>
      <c r="G42" s="290">
        <v>1.920357193840716E-2</v>
      </c>
      <c r="H42" s="290">
        <v>1.920357193840716E-2</v>
      </c>
      <c r="I42" s="290">
        <v>1.920357193840716E-2</v>
      </c>
    </row>
    <row r="43" spans="1:9" x14ac:dyDescent="0.3">
      <c r="A43" s="286" t="s">
        <v>95</v>
      </c>
      <c r="B43" s="289" t="s">
        <v>215</v>
      </c>
      <c r="C43" s="285" t="s">
        <v>216</v>
      </c>
      <c r="D43" s="288"/>
      <c r="E43" s="290">
        <v>1.920357193840716E-2</v>
      </c>
      <c r="F43" s="290">
        <v>1.920357193840716E-2</v>
      </c>
      <c r="G43" s="290">
        <v>1.920357193840716E-2</v>
      </c>
      <c r="H43" s="290">
        <v>1.920357193840716E-2</v>
      </c>
      <c r="I43" s="290">
        <v>1.920357193840716E-2</v>
      </c>
    </row>
    <row r="44" spans="1:9" x14ac:dyDescent="0.3"/>
    <row r="45" spans="1:9" x14ac:dyDescent="0.3">
      <c r="A45" s="286" t="s">
        <v>99</v>
      </c>
      <c r="B45" s="289" t="s">
        <v>207</v>
      </c>
      <c r="C45" s="285" t="s">
        <v>208</v>
      </c>
      <c r="D45" s="288"/>
      <c r="E45" s="290">
        <v>1.920357193840716E-2</v>
      </c>
      <c r="F45" s="290">
        <v>1.920357193840716E-2</v>
      </c>
      <c r="G45" s="290">
        <v>1.920357193840716E-2</v>
      </c>
      <c r="H45" s="290">
        <v>1.920357193840716E-2</v>
      </c>
      <c r="I45" s="290">
        <v>1.920357193840716E-2</v>
      </c>
    </row>
    <row r="46" spans="1:9" x14ac:dyDescent="0.3">
      <c r="A46" s="286" t="s">
        <v>99</v>
      </c>
      <c r="B46" s="289" t="s">
        <v>209</v>
      </c>
      <c r="C46" s="285" t="s">
        <v>210</v>
      </c>
      <c r="D46" s="288"/>
      <c r="E46" s="290">
        <v>1.920357193840716E-2</v>
      </c>
      <c r="F46" s="290">
        <v>1.920357193840716E-2</v>
      </c>
      <c r="G46" s="290">
        <v>1.920357193840716E-2</v>
      </c>
      <c r="H46" s="290">
        <v>1.920357193840716E-2</v>
      </c>
      <c r="I46" s="290">
        <v>1.920357193840716E-2</v>
      </c>
    </row>
    <row r="47" spans="1:9" x14ac:dyDescent="0.3">
      <c r="A47" s="286" t="s">
        <v>99</v>
      </c>
      <c r="B47" s="289" t="s">
        <v>211</v>
      </c>
      <c r="C47" s="285" t="s">
        <v>212</v>
      </c>
      <c r="D47" s="288"/>
      <c r="E47" s="290">
        <v>1.920357193840716E-2</v>
      </c>
      <c r="F47" s="290">
        <v>1.920357193840716E-2</v>
      </c>
      <c r="G47" s="290">
        <v>1.920357193840716E-2</v>
      </c>
      <c r="H47" s="290">
        <v>1.920357193840716E-2</v>
      </c>
      <c r="I47" s="290">
        <v>1.920357193840716E-2</v>
      </c>
    </row>
    <row r="48" spans="1:9" x14ac:dyDescent="0.3">
      <c r="A48" s="286" t="s">
        <v>99</v>
      </c>
      <c r="B48" s="289" t="s">
        <v>213</v>
      </c>
      <c r="C48" s="285" t="s">
        <v>214</v>
      </c>
      <c r="D48" s="288"/>
      <c r="E48" s="290">
        <v>1.920357193840716E-2</v>
      </c>
      <c r="F48" s="290">
        <v>1.920357193840716E-2</v>
      </c>
      <c r="G48" s="290">
        <v>1.920357193840716E-2</v>
      </c>
      <c r="H48" s="290">
        <v>1.920357193840716E-2</v>
      </c>
      <c r="I48" s="290">
        <v>1.920357193840716E-2</v>
      </c>
    </row>
    <row r="49" spans="1:9" x14ac:dyDescent="0.3">
      <c r="A49" s="286" t="s">
        <v>99</v>
      </c>
      <c r="B49" s="289" t="s">
        <v>215</v>
      </c>
      <c r="C49" s="285" t="s">
        <v>216</v>
      </c>
      <c r="D49" s="288"/>
      <c r="E49" s="290">
        <v>1.920357193840716E-2</v>
      </c>
      <c r="F49" s="290">
        <v>1.920357193840716E-2</v>
      </c>
      <c r="G49" s="290">
        <v>1.920357193840716E-2</v>
      </c>
      <c r="H49" s="290">
        <v>1.920357193840716E-2</v>
      </c>
      <c r="I49" s="290">
        <v>1.920357193840716E-2</v>
      </c>
    </row>
    <row r="50" spans="1:9" x14ac:dyDescent="0.3"/>
    <row r="51" spans="1:9" x14ac:dyDescent="0.3">
      <c r="A51" s="286" t="s">
        <v>101</v>
      </c>
      <c r="B51" s="289" t="s">
        <v>207</v>
      </c>
      <c r="C51" s="285" t="s">
        <v>208</v>
      </c>
      <c r="D51" s="288"/>
      <c r="E51" s="290">
        <v>1.920357193840716E-2</v>
      </c>
      <c r="F51" s="290">
        <v>1.920357193840716E-2</v>
      </c>
      <c r="G51" s="290">
        <v>1.920357193840716E-2</v>
      </c>
      <c r="H51" s="290">
        <v>1.920357193840716E-2</v>
      </c>
      <c r="I51" s="290">
        <v>1.920357193840716E-2</v>
      </c>
    </row>
    <row r="52" spans="1:9" x14ac:dyDescent="0.3">
      <c r="A52" s="286" t="s">
        <v>101</v>
      </c>
      <c r="B52" s="289" t="s">
        <v>209</v>
      </c>
      <c r="C52" s="285" t="s">
        <v>210</v>
      </c>
      <c r="D52" s="288"/>
      <c r="E52" s="290">
        <v>1.920357193840716E-2</v>
      </c>
      <c r="F52" s="290">
        <v>1.920357193840716E-2</v>
      </c>
      <c r="G52" s="290">
        <v>1.920357193840716E-2</v>
      </c>
      <c r="H52" s="290">
        <v>1.920357193840716E-2</v>
      </c>
      <c r="I52" s="290">
        <v>1.920357193840716E-2</v>
      </c>
    </row>
    <row r="53" spans="1:9" x14ac:dyDescent="0.3">
      <c r="A53" s="286" t="s">
        <v>101</v>
      </c>
      <c r="B53" s="289" t="s">
        <v>211</v>
      </c>
      <c r="C53" s="285" t="s">
        <v>212</v>
      </c>
      <c r="D53" s="288"/>
      <c r="E53" s="290">
        <v>1.920357193840716E-2</v>
      </c>
      <c r="F53" s="290">
        <v>1.920357193840716E-2</v>
      </c>
      <c r="G53" s="290">
        <v>1.920357193840716E-2</v>
      </c>
      <c r="H53" s="290">
        <v>1.920357193840716E-2</v>
      </c>
      <c r="I53" s="290">
        <v>1.920357193840716E-2</v>
      </c>
    </row>
    <row r="54" spans="1:9" x14ac:dyDescent="0.3">
      <c r="A54" s="286" t="s">
        <v>101</v>
      </c>
      <c r="B54" s="289" t="s">
        <v>213</v>
      </c>
      <c r="C54" s="285" t="s">
        <v>214</v>
      </c>
      <c r="D54" s="288"/>
      <c r="E54" s="290">
        <v>1.920357193840716E-2</v>
      </c>
      <c r="F54" s="290">
        <v>1.920357193840716E-2</v>
      </c>
      <c r="G54" s="290">
        <v>1.920357193840716E-2</v>
      </c>
      <c r="H54" s="290">
        <v>1.920357193840716E-2</v>
      </c>
      <c r="I54" s="290">
        <v>1.920357193840716E-2</v>
      </c>
    </row>
    <row r="55" spans="1:9" x14ac:dyDescent="0.3">
      <c r="A55" s="286" t="s">
        <v>101</v>
      </c>
      <c r="B55" s="289" t="s">
        <v>215</v>
      </c>
      <c r="C55" s="285" t="s">
        <v>216</v>
      </c>
      <c r="D55" s="288"/>
      <c r="E55" s="290">
        <v>1.920357193840716E-2</v>
      </c>
      <c r="F55" s="290">
        <v>1.920357193840716E-2</v>
      </c>
      <c r="G55" s="290">
        <v>1.920357193840716E-2</v>
      </c>
      <c r="H55" s="290">
        <v>1.920357193840716E-2</v>
      </c>
      <c r="I55" s="290">
        <v>1.920357193840716E-2</v>
      </c>
    </row>
    <row r="56" spans="1:9" x14ac:dyDescent="0.3"/>
    <row r="57" spans="1:9" x14ac:dyDescent="0.3">
      <c r="A57" s="286" t="s">
        <v>103</v>
      </c>
      <c r="B57" s="289" t="s">
        <v>207</v>
      </c>
      <c r="C57" s="285" t="s">
        <v>208</v>
      </c>
      <c r="D57" s="288"/>
      <c r="E57" s="290">
        <v>1.920357193840716E-2</v>
      </c>
      <c r="F57" s="290">
        <v>1.920357193840716E-2</v>
      </c>
      <c r="G57" s="290">
        <v>1.920357193840716E-2</v>
      </c>
      <c r="H57" s="290">
        <v>1.920357193840716E-2</v>
      </c>
      <c r="I57" s="290">
        <v>1.920357193840716E-2</v>
      </c>
    </row>
    <row r="58" spans="1:9" x14ac:dyDescent="0.3">
      <c r="A58" s="286" t="s">
        <v>103</v>
      </c>
      <c r="B58" s="289" t="s">
        <v>209</v>
      </c>
      <c r="C58" s="285" t="s">
        <v>210</v>
      </c>
      <c r="D58" s="288"/>
      <c r="E58" s="290">
        <v>1.920357193840716E-2</v>
      </c>
      <c r="F58" s="290">
        <v>1.920357193840716E-2</v>
      </c>
      <c r="G58" s="290">
        <v>1.920357193840716E-2</v>
      </c>
      <c r="H58" s="290">
        <v>1.920357193840716E-2</v>
      </c>
      <c r="I58" s="290">
        <v>1.920357193840716E-2</v>
      </c>
    </row>
    <row r="59" spans="1:9" x14ac:dyDescent="0.3">
      <c r="A59" s="286" t="s">
        <v>103</v>
      </c>
      <c r="B59" s="289" t="s">
        <v>211</v>
      </c>
      <c r="C59" s="285" t="s">
        <v>212</v>
      </c>
      <c r="D59" s="288"/>
      <c r="E59" s="290">
        <v>1.920357193840716E-2</v>
      </c>
      <c r="F59" s="290">
        <v>1.920357193840716E-2</v>
      </c>
      <c r="G59" s="290">
        <v>1.920357193840716E-2</v>
      </c>
      <c r="H59" s="290">
        <v>1.920357193840716E-2</v>
      </c>
      <c r="I59" s="290">
        <v>1.920357193840716E-2</v>
      </c>
    </row>
    <row r="60" spans="1:9" x14ac:dyDescent="0.3">
      <c r="A60" s="286" t="s">
        <v>103</v>
      </c>
      <c r="B60" s="289" t="s">
        <v>213</v>
      </c>
      <c r="C60" s="285" t="s">
        <v>214</v>
      </c>
      <c r="D60" s="288"/>
      <c r="E60" s="290">
        <v>1.920357193840716E-2</v>
      </c>
      <c r="F60" s="290">
        <v>1.920357193840716E-2</v>
      </c>
      <c r="G60" s="290">
        <v>1.920357193840716E-2</v>
      </c>
      <c r="H60" s="290">
        <v>1.920357193840716E-2</v>
      </c>
      <c r="I60" s="290">
        <v>1.920357193840716E-2</v>
      </c>
    </row>
    <row r="61" spans="1:9" x14ac:dyDescent="0.3">
      <c r="A61" s="286" t="s">
        <v>103</v>
      </c>
      <c r="B61" s="289" t="s">
        <v>215</v>
      </c>
      <c r="C61" s="285" t="s">
        <v>216</v>
      </c>
      <c r="D61" s="288"/>
      <c r="E61" s="290">
        <v>1.920357193840716E-2</v>
      </c>
      <c r="F61" s="290">
        <v>1.920357193840716E-2</v>
      </c>
      <c r="G61" s="290">
        <v>1.920357193840716E-2</v>
      </c>
      <c r="H61" s="290">
        <v>1.920357193840716E-2</v>
      </c>
      <c r="I61" s="290">
        <v>1.920357193840716E-2</v>
      </c>
    </row>
    <row r="62" spans="1:9" x14ac:dyDescent="0.3"/>
    <row r="63" spans="1:9" x14ac:dyDescent="0.3">
      <c r="A63" s="286" t="s">
        <v>105</v>
      </c>
      <c r="B63" s="289" t="s">
        <v>207</v>
      </c>
      <c r="C63" s="285" t="s">
        <v>208</v>
      </c>
      <c r="D63" s="288"/>
      <c r="E63" s="290">
        <v>2.2181345335277269E-2</v>
      </c>
      <c r="F63" s="290">
        <v>2.2181345335277269E-2</v>
      </c>
      <c r="G63" s="290">
        <v>2.2181345335277269E-2</v>
      </c>
      <c r="H63" s="290">
        <v>2.2181345335277269E-2</v>
      </c>
      <c r="I63" s="290">
        <v>2.2181345335277269E-2</v>
      </c>
    </row>
    <row r="64" spans="1:9" x14ac:dyDescent="0.3">
      <c r="A64" s="286" t="s">
        <v>105</v>
      </c>
      <c r="B64" s="289" t="s">
        <v>209</v>
      </c>
      <c r="C64" s="285" t="s">
        <v>210</v>
      </c>
      <c r="D64" s="288"/>
      <c r="E64" s="290">
        <v>2.2181345335277269E-2</v>
      </c>
      <c r="F64" s="290">
        <v>2.2181345335277269E-2</v>
      </c>
      <c r="G64" s="290">
        <v>2.2181345335277269E-2</v>
      </c>
      <c r="H64" s="290">
        <v>2.2181345335277269E-2</v>
      </c>
      <c r="I64" s="290">
        <v>2.2181345335277269E-2</v>
      </c>
    </row>
    <row r="65" spans="1:9" x14ac:dyDescent="0.3">
      <c r="A65" s="286" t="s">
        <v>105</v>
      </c>
      <c r="B65" s="289" t="s">
        <v>211</v>
      </c>
      <c r="C65" s="285" t="s">
        <v>212</v>
      </c>
      <c r="D65" s="288"/>
      <c r="E65" s="290">
        <v>2.2181345335277269E-2</v>
      </c>
      <c r="F65" s="290">
        <v>2.2181345335277269E-2</v>
      </c>
      <c r="G65" s="290">
        <v>2.2181345335277269E-2</v>
      </c>
      <c r="H65" s="290">
        <v>2.2181345335277269E-2</v>
      </c>
      <c r="I65" s="290">
        <v>2.2181345335277269E-2</v>
      </c>
    </row>
    <row r="66" spans="1:9" x14ac:dyDescent="0.3">
      <c r="A66" s="286" t="s">
        <v>105</v>
      </c>
      <c r="B66" s="289" t="s">
        <v>213</v>
      </c>
      <c r="C66" s="285" t="s">
        <v>214</v>
      </c>
      <c r="D66" s="288"/>
      <c r="E66" s="290">
        <v>2.2181345335277269E-2</v>
      </c>
      <c r="F66" s="290">
        <v>2.2181345335277269E-2</v>
      </c>
      <c r="G66" s="290">
        <v>2.2181345335277269E-2</v>
      </c>
      <c r="H66" s="290">
        <v>2.2181345335277269E-2</v>
      </c>
      <c r="I66" s="290">
        <v>2.2181345335277269E-2</v>
      </c>
    </row>
    <row r="67" spans="1:9" x14ac:dyDescent="0.3">
      <c r="A67" s="286" t="s">
        <v>105</v>
      </c>
      <c r="B67" s="289" t="s">
        <v>215</v>
      </c>
      <c r="C67" s="285" t="s">
        <v>216</v>
      </c>
      <c r="D67" s="288"/>
      <c r="E67" s="290">
        <v>2.2181345335277269E-2</v>
      </c>
      <c r="F67" s="290">
        <v>2.2181345335277269E-2</v>
      </c>
      <c r="G67" s="290">
        <v>2.2181345335277269E-2</v>
      </c>
      <c r="H67" s="290">
        <v>2.2181345335277269E-2</v>
      </c>
      <c r="I67" s="290">
        <v>2.2181345335277269E-2</v>
      </c>
    </row>
    <row r="68" spans="1:9" x14ac:dyDescent="0.3"/>
    <row r="69" spans="1:9" x14ac:dyDescent="0.3">
      <c r="A69" s="286" t="s">
        <v>107</v>
      </c>
      <c r="B69" s="289" t="s">
        <v>207</v>
      </c>
      <c r="C69" s="285" t="s">
        <v>208</v>
      </c>
      <c r="D69" s="288"/>
      <c r="E69" s="290">
        <v>1.920357193840716E-2</v>
      </c>
      <c r="F69" s="290">
        <v>1.920357193840716E-2</v>
      </c>
      <c r="G69" s="290">
        <v>1.920357193840716E-2</v>
      </c>
      <c r="H69" s="290">
        <v>1.920357193840716E-2</v>
      </c>
      <c r="I69" s="290">
        <v>1.920357193840716E-2</v>
      </c>
    </row>
    <row r="70" spans="1:9" x14ac:dyDescent="0.3">
      <c r="A70" s="286" t="s">
        <v>107</v>
      </c>
      <c r="B70" s="289" t="s">
        <v>209</v>
      </c>
      <c r="C70" s="285" t="s">
        <v>210</v>
      </c>
      <c r="D70" s="288"/>
      <c r="E70" s="290">
        <v>1.920357193840716E-2</v>
      </c>
      <c r="F70" s="290">
        <v>1.920357193840716E-2</v>
      </c>
      <c r="G70" s="290">
        <v>1.920357193840716E-2</v>
      </c>
      <c r="H70" s="290">
        <v>1.920357193840716E-2</v>
      </c>
      <c r="I70" s="290">
        <v>1.920357193840716E-2</v>
      </c>
    </row>
    <row r="71" spans="1:9" x14ac:dyDescent="0.3">
      <c r="A71" s="286" t="s">
        <v>107</v>
      </c>
      <c r="B71" s="289" t="s">
        <v>211</v>
      </c>
      <c r="C71" s="285" t="s">
        <v>212</v>
      </c>
      <c r="D71" s="288"/>
      <c r="E71" s="290">
        <v>1.920357193840716E-2</v>
      </c>
      <c r="F71" s="290">
        <v>1.920357193840716E-2</v>
      </c>
      <c r="G71" s="290">
        <v>1.920357193840716E-2</v>
      </c>
      <c r="H71" s="290">
        <v>1.920357193840716E-2</v>
      </c>
      <c r="I71" s="290">
        <v>1.920357193840716E-2</v>
      </c>
    </row>
    <row r="72" spans="1:9" x14ac:dyDescent="0.3">
      <c r="A72" s="286" t="s">
        <v>107</v>
      </c>
      <c r="B72" s="289" t="s">
        <v>213</v>
      </c>
      <c r="C72" s="285" t="s">
        <v>214</v>
      </c>
      <c r="D72" s="288"/>
      <c r="E72" s="290">
        <v>1.920357193840716E-2</v>
      </c>
      <c r="F72" s="290">
        <v>1.920357193840716E-2</v>
      </c>
      <c r="G72" s="290">
        <v>1.920357193840716E-2</v>
      </c>
      <c r="H72" s="290">
        <v>1.920357193840716E-2</v>
      </c>
      <c r="I72" s="290">
        <v>1.920357193840716E-2</v>
      </c>
    </row>
    <row r="73" spans="1:9" x14ac:dyDescent="0.3">
      <c r="A73" s="286" t="s">
        <v>107</v>
      </c>
      <c r="B73" s="289" t="s">
        <v>215</v>
      </c>
      <c r="C73" s="285" t="s">
        <v>216</v>
      </c>
      <c r="D73" s="288"/>
      <c r="E73" s="290">
        <v>1.920357193840716E-2</v>
      </c>
      <c r="F73" s="290">
        <v>1.920357193840716E-2</v>
      </c>
      <c r="G73" s="290">
        <v>1.920357193840716E-2</v>
      </c>
      <c r="H73" s="290">
        <v>1.920357193840716E-2</v>
      </c>
      <c r="I73" s="290">
        <v>1.920357193840716E-2</v>
      </c>
    </row>
    <row r="74" spans="1:9" x14ac:dyDescent="0.3"/>
    <row r="75" spans="1:9" x14ac:dyDescent="0.3">
      <c r="A75" s="286" t="s">
        <v>109</v>
      </c>
      <c r="B75" s="289" t="s">
        <v>207</v>
      </c>
      <c r="C75" s="285" t="s">
        <v>208</v>
      </c>
      <c r="D75" s="288"/>
      <c r="E75" s="290">
        <v>2.3910289941690976E-2</v>
      </c>
      <c r="F75" s="290">
        <v>2.3910289941690976E-2</v>
      </c>
      <c r="G75" s="290">
        <v>2.3910289941690976E-2</v>
      </c>
      <c r="H75" s="290">
        <v>2.3910289941690976E-2</v>
      </c>
      <c r="I75" s="290">
        <v>2.3910289941690976E-2</v>
      </c>
    </row>
    <row r="76" spans="1:9" x14ac:dyDescent="0.3">
      <c r="A76" s="286" t="s">
        <v>109</v>
      </c>
      <c r="B76" s="289" t="s">
        <v>209</v>
      </c>
      <c r="C76" s="285" t="s">
        <v>210</v>
      </c>
      <c r="D76" s="288"/>
      <c r="E76" s="290">
        <v>2.3910289941690976E-2</v>
      </c>
      <c r="F76" s="290">
        <v>2.3910289941690976E-2</v>
      </c>
      <c r="G76" s="290">
        <v>2.3910289941690976E-2</v>
      </c>
      <c r="H76" s="290">
        <v>2.3910289941690976E-2</v>
      </c>
      <c r="I76" s="290">
        <v>2.3910289941690976E-2</v>
      </c>
    </row>
    <row r="77" spans="1:9" x14ac:dyDescent="0.3">
      <c r="A77" s="286" t="s">
        <v>109</v>
      </c>
      <c r="B77" s="289" t="s">
        <v>211</v>
      </c>
      <c r="C77" s="285" t="s">
        <v>212</v>
      </c>
      <c r="D77" s="288"/>
      <c r="E77" s="290">
        <v>2.3910289941690976E-2</v>
      </c>
      <c r="F77" s="290">
        <v>2.3910289941690976E-2</v>
      </c>
      <c r="G77" s="290">
        <v>2.3910289941690976E-2</v>
      </c>
      <c r="H77" s="290">
        <v>2.3910289941690976E-2</v>
      </c>
      <c r="I77" s="290">
        <v>2.3910289941690976E-2</v>
      </c>
    </row>
    <row r="78" spans="1:9" x14ac:dyDescent="0.3">
      <c r="A78" s="286" t="s">
        <v>109</v>
      </c>
      <c r="B78" s="289" t="s">
        <v>213</v>
      </c>
      <c r="C78" s="285" t="s">
        <v>214</v>
      </c>
      <c r="D78" s="288"/>
      <c r="E78" s="290">
        <v>2.3910289941690976E-2</v>
      </c>
      <c r="F78" s="290">
        <v>2.3910289941690976E-2</v>
      </c>
      <c r="G78" s="290">
        <v>2.3910289941690976E-2</v>
      </c>
      <c r="H78" s="290">
        <v>2.3910289941690976E-2</v>
      </c>
      <c r="I78" s="290">
        <v>2.3910289941690976E-2</v>
      </c>
    </row>
    <row r="79" spans="1:9" x14ac:dyDescent="0.3">
      <c r="A79" s="286" t="s">
        <v>109</v>
      </c>
      <c r="B79" s="289" t="s">
        <v>215</v>
      </c>
      <c r="C79" s="285" t="s">
        <v>216</v>
      </c>
      <c r="D79" s="288"/>
      <c r="E79" s="290">
        <v>2.3910289941690976E-2</v>
      </c>
      <c r="F79" s="290">
        <v>2.3910289941690976E-2</v>
      </c>
      <c r="G79" s="290">
        <v>2.3910289941690976E-2</v>
      </c>
      <c r="H79" s="290">
        <v>2.3910289941690976E-2</v>
      </c>
      <c r="I79" s="290">
        <v>2.3910289941690976E-2</v>
      </c>
    </row>
    <row r="80" spans="1:9" x14ac:dyDescent="0.3"/>
    <row r="81" spans="1:9" x14ac:dyDescent="0.3">
      <c r="A81" s="286" t="s">
        <v>111</v>
      </c>
      <c r="B81" s="289" t="s">
        <v>207</v>
      </c>
      <c r="C81" s="285" t="s">
        <v>208</v>
      </c>
      <c r="D81" s="288"/>
      <c r="E81" s="290">
        <v>2.1125902035494581E-2</v>
      </c>
      <c r="F81" s="290">
        <v>2.1125902035494581E-2</v>
      </c>
      <c r="G81" s="290">
        <v>2.1125902035494581E-2</v>
      </c>
      <c r="H81" s="290">
        <v>2.1125902035494581E-2</v>
      </c>
      <c r="I81" s="290">
        <v>2.1125902035494581E-2</v>
      </c>
    </row>
    <row r="82" spans="1:9" x14ac:dyDescent="0.3">
      <c r="A82" s="286" t="s">
        <v>111</v>
      </c>
      <c r="B82" s="289" t="s">
        <v>209</v>
      </c>
      <c r="C82" s="285" t="s">
        <v>210</v>
      </c>
      <c r="D82" s="288"/>
      <c r="E82" s="290">
        <v>2.1125902035494581E-2</v>
      </c>
      <c r="F82" s="290">
        <v>2.1125902035494581E-2</v>
      </c>
      <c r="G82" s="290">
        <v>2.1125902035494581E-2</v>
      </c>
      <c r="H82" s="290">
        <v>2.1125902035494581E-2</v>
      </c>
      <c r="I82" s="290">
        <v>2.1125902035494581E-2</v>
      </c>
    </row>
    <row r="83" spans="1:9" x14ac:dyDescent="0.3">
      <c r="A83" s="286" t="s">
        <v>111</v>
      </c>
      <c r="B83" s="289" t="s">
        <v>211</v>
      </c>
      <c r="C83" s="285" t="s">
        <v>212</v>
      </c>
      <c r="D83" s="288"/>
      <c r="E83" s="290">
        <v>1.920357193840716E-2</v>
      </c>
      <c r="F83" s="290">
        <v>1.920357193840716E-2</v>
      </c>
      <c r="G83" s="290">
        <v>1.920357193840716E-2</v>
      </c>
      <c r="H83" s="290">
        <v>1.920357193840716E-2</v>
      </c>
      <c r="I83" s="290">
        <v>1.920357193840716E-2</v>
      </c>
    </row>
    <row r="84" spans="1:9" x14ac:dyDescent="0.3">
      <c r="A84" s="286" t="s">
        <v>111</v>
      </c>
      <c r="B84" s="289" t="s">
        <v>213</v>
      </c>
      <c r="C84" s="285" t="s">
        <v>214</v>
      </c>
      <c r="D84" s="288"/>
      <c r="E84" s="290">
        <v>1.920357193840716E-2</v>
      </c>
      <c r="F84" s="290">
        <v>1.920357193840716E-2</v>
      </c>
      <c r="G84" s="290">
        <v>1.920357193840716E-2</v>
      </c>
      <c r="H84" s="290">
        <v>1.920357193840716E-2</v>
      </c>
      <c r="I84" s="290">
        <v>1.920357193840716E-2</v>
      </c>
    </row>
    <row r="85" spans="1:9" x14ac:dyDescent="0.3">
      <c r="A85" s="286" t="s">
        <v>111</v>
      </c>
      <c r="B85" s="289" t="s">
        <v>215</v>
      </c>
      <c r="C85" s="285" t="s">
        <v>216</v>
      </c>
      <c r="D85" s="288"/>
      <c r="E85" s="290">
        <v>1.920357193840716E-2</v>
      </c>
      <c r="F85" s="290">
        <v>1.920357193840716E-2</v>
      </c>
      <c r="G85" s="290">
        <v>1.920357193840716E-2</v>
      </c>
      <c r="H85" s="290">
        <v>1.920357193840716E-2</v>
      </c>
      <c r="I85" s="290">
        <v>1.920357193840716E-2</v>
      </c>
    </row>
    <row r="86" spans="1:9" x14ac:dyDescent="0.3"/>
    <row r="87" spans="1:9" x14ac:dyDescent="0.3">
      <c r="A87" s="286" t="s">
        <v>115</v>
      </c>
      <c r="B87" s="289" t="s">
        <v>207</v>
      </c>
      <c r="C87" s="285" t="s">
        <v>208</v>
      </c>
      <c r="D87" s="288"/>
      <c r="E87" s="290">
        <v>1.920357193840716E-2</v>
      </c>
      <c r="F87" s="290">
        <v>1.920357193840716E-2</v>
      </c>
      <c r="G87" s="290">
        <v>1.920357193840716E-2</v>
      </c>
      <c r="H87" s="290">
        <v>1.920357193840716E-2</v>
      </c>
      <c r="I87" s="290">
        <v>1.920357193840716E-2</v>
      </c>
    </row>
    <row r="88" spans="1:9" x14ac:dyDescent="0.3">
      <c r="A88" s="286" t="s">
        <v>115</v>
      </c>
      <c r="B88" s="289" t="s">
        <v>209</v>
      </c>
      <c r="C88" s="285" t="s">
        <v>210</v>
      </c>
      <c r="D88" s="288"/>
      <c r="E88" s="290">
        <v>1.920357193840716E-2</v>
      </c>
      <c r="F88" s="290">
        <v>1.920357193840716E-2</v>
      </c>
      <c r="G88" s="290">
        <v>1.920357193840716E-2</v>
      </c>
      <c r="H88" s="290">
        <v>1.920357193840716E-2</v>
      </c>
      <c r="I88" s="290">
        <v>1.920357193840716E-2</v>
      </c>
    </row>
    <row r="89" spans="1:9" x14ac:dyDescent="0.3">
      <c r="A89" s="286" t="s">
        <v>115</v>
      </c>
      <c r="B89" s="289" t="s">
        <v>211</v>
      </c>
      <c r="C89" s="285" t="s">
        <v>212</v>
      </c>
      <c r="D89" s="288"/>
      <c r="E89" s="290">
        <v>1.920357193840716E-2</v>
      </c>
      <c r="F89" s="290">
        <v>1.920357193840716E-2</v>
      </c>
      <c r="G89" s="290">
        <v>1.920357193840716E-2</v>
      </c>
      <c r="H89" s="290">
        <v>1.920357193840716E-2</v>
      </c>
      <c r="I89" s="290">
        <v>1.920357193840716E-2</v>
      </c>
    </row>
    <row r="90" spans="1:9" x14ac:dyDescent="0.3">
      <c r="A90" s="286" t="s">
        <v>115</v>
      </c>
      <c r="B90" s="289" t="s">
        <v>213</v>
      </c>
      <c r="C90" s="285" t="s">
        <v>214</v>
      </c>
      <c r="D90" s="288"/>
      <c r="E90" s="290">
        <v>1.920357193840716E-2</v>
      </c>
      <c r="F90" s="290">
        <v>1.920357193840716E-2</v>
      </c>
      <c r="G90" s="290">
        <v>1.920357193840716E-2</v>
      </c>
      <c r="H90" s="290">
        <v>1.920357193840716E-2</v>
      </c>
      <c r="I90" s="290">
        <v>1.920357193840716E-2</v>
      </c>
    </row>
    <row r="91" spans="1:9" x14ac:dyDescent="0.3">
      <c r="A91" s="286" t="s">
        <v>115</v>
      </c>
      <c r="B91" s="289" t="s">
        <v>215</v>
      </c>
      <c r="C91" s="285" t="s">
        <v>216</v>
      </c>
      <c r="D91" s="288"/>
      <c r="E91" s="290">
        <v>1.920357193840716E-2</v>
      </c>
      <c r="F91" s="290">
        <v>1.920357193840716E-2</v>
      </c>
      <c r="G91" s="290">
        <v>1.920357193840716E-2</v>
      </c>
      <c r="H91" s="290">
        <v>1.920357193840716E-2</v>
      </c>
      <c r="I91" s="290">
        <v>1.920357193840716E-2</v>
      </c>
    </row>
    <row r="92" spans="1:9" x14ac:dyDescent="0.3"/>
    <row r="93" spans="1:9" x14ac:dyDescent="0.3">
      <c r="A93" s="286" t="s">
        <v>117</v>
      </c>
      <c r="B93" s="289" t="s">
        <v>207</v>
      </c>
      <c r="C93" s="285" t="s">
        <v>208</v>
      </c>
      <c r="D93" s="288"/>
      <c r="E93" s="290">
        <v>2.1125902035494581E-2</v>
      </c>
      <c r="F93" s="290">
        <v>2.1125902035494581E-2</v>
      </c>
      <c r="G93" s="290">
        <v>2.1125902035494581E-2</v>
      </c>
      <c r="H93" s="290">
        <v>2.1125902035494581E-2</v>
      </c>
      <c r="I93" s="290">
        <v>2.1125902035494581E-2</v>
      </c>
    </row>
    <row r="94" spans="1:9" x14ac:dyDescent="0.3">
      <c r="A94" s="286" t="s">
        <v>117</v>
      </c>
      <c r="B94" s="289" t="s">
        <v>209</v>
      </c>
      <c r="C94" s="285" t="s">
        <v>210</v>
      </c>
      <c r="D94" s="288"/>
      <c r="E94" s="290">
        <v>2.1125902035494581E-2</v>
      </c>
      <c r="F94" s="290">
        <v>2.1125902035494581E-2</v>
      </c>
      <c r="G94" s="290">
        <v>2.1125902035494581E-2</v>
      </c>
      <c r="H94" s="290">
        <v>2.1125902035494581E-2</v>
      </c>
      <c r="I94" s="290">
        <v>2.1125902035494581E-2</v>
      </c>
    </row>
    <row r="95" spans="1:9" x14ac:dyDescent="0.3">
      <c r="A95" s="286" t="s">
        <v>117</v>
      </c>
      <c r="B95" s="289" t="s">
        <v>211</v>
      </c>
      <c r="C95" s="285" t="s">
        <v>212</v>
      </c>
      <c r="D95" s="288"/>
      <c r="E95" s="290">
        <v>1.920357193840716E-2</v>
      </c>
      <c r="F95" s="290">
        <v>1.920357193840716E-2</v>
      </c>
      <c r="G95" s="290">
        <v>1.920357193840716E-2</v>
      </c>
      <c r="H95" s="290">
        <v>1.920357193840716E-2</v>
      </c>
      <c r="I95" s="290">
        <v>1.920357193840716E-2</v>
      </c>
    </row>
    <row r="96" spans="1:9" x14ac:dyDescent="0.3">
      <c r="A96" s="286" t="s">
        <v>117</v>
      </c>
      <c r="B96" s="289" t="s">
        <v>213</v>
      </c>
      <c r="C96" s="285" t="s">
        <v>214</v>
      </c>
      <c r="D96" s="288"/>
      <c r="E96" s="290">
        <v>1.920357193840716E-2</v>
      </c>
      <c r="F96" s="290">
        <v>1.920357193840716E-2</v>
      </c>
      <c r="G96" s="290">
        <v>1.920357193840716E-2</v>
      </c>
      <c r="H96" s="290">
        <v>1.920357193840716E-2</v>
      </c>
      <c r="I96" s="290">
        <v>1.920357193840716E-2</v>
      </c>
    </row>
    <row r="97" spans="1:9" x14ac:dyDescent="0.3">
      <c r="A97" s="286" t="s">
        <v>117</v>
      </c>
      <c r="B97" s="289" t="s">
        <v>215</v>
      </c>
      <c r="C97" s="285" t="s">
        <v>216</v>
      </c>
      <c r="D97" s="288"/>
      <c r="E97" s="290">
        <v>1.920357193840716E-2</v>
      </c>
      <c r="F97" s="290">
        <v>1.920357193840716E-2</v>
      </c>
      <c r="G97" s="290">
        <v>1.920357193840716E-2</v>
      </c>
      <c r="H97" s="290">
        <v>1.920357193840716E-2</v>
      </c>
      <c r="I97" s="290">
        <v>1.920357193840716E-2</v>
      </c>
    </row>
    <row r="98" spans="1:9" x14ac:dyDescent="0.3"/>
    <row r="99" spans="1:9" x14ac:dyDescent="0.3">
      <c r="A99" s="286" t="s">
        <v>113</v>
      </c>
      <c r="B99" s="289" t="s">
        <v>207</v>
      </c>
      <c r="C99" s="285" t="s">
        <v>208</v>
      </c>
      <c r="D99" s="288"/>
      <c r="E99" s="290">
        <v>1.920357193840716E-2</v>
      </c>
      <c r="F99" s="290">
        <v>1.920357193840716E-2</v>
      </c>
      <c r="G99" s="290">
        <v>1.920357193840716E-2</v>
      </c>
      <c r="H99" s="290">
        <v>1.920357193840716E-2</v>
      </c>
      <c r="I99" s="290">
        <v>1.920357193840716E-2</v>
      </c>
    </row>
    <row r="100" spans="1:9" x14ac:dyDescent="0.3">
      <c r="A100" s="286" t="s">
        <v>113</v>
      </c>
      <c r="B100" s="289" t="s">
        <v>209</v>
      </c>
      <c r="C100" s="285" t="s">
        <v>210</v>
      </c>
      <c r="D100" s="288"/>
      <c r="E100" s="290">
        <v>1.920357193840716E-2</v>
      </c>
      <c r="F100" s="290">
        <v>1.920357193840716E-2</v>
      </c>
      <c r="G100" s="290">
        <v>1.920357193840716E-2</v>
      </c>
      <c r="H100" s="290">
        <v>1.920357193840716E-2</v>
      </c>
      <c r="I100" s="290">
        <v>1.920357193840716E-2</v>
      </c>
    </row>
    <row r="101" spans="1:9" x14ac:dyDescent="0.3">
      <c r="A101" s="286" t="s">
        <v>113</v>
      </c>
      <c r="B101" s="289" t="s">
        <v>211</v>
      </c>
      <c r="C101" s="285" t="s">
        <v>212</v>
      </c>
      <c r="D101" s="288"/>
      <c r="E101" s="290">
        <v>1.920357193840716E-2</v>
      </c>
      <c r="F101" s="290">
        <v>1.920357193840716E-2</v>
      </c>
      <c r="G101" s="290">
        <v>1.920357193840716E-2</v>
      </c>
      <c r="H101" s="290">
        <v>1.920357193840716E-2</v>
      </c>
      <c r="I101" s="290">
        <v>1.920357193840716E-2</v>
      </c>
    </row>
    <row r="102" spans="1:9" x14ac:dyDescent="0.3">
      <c r="A102" s="286" t="s">
        <v>113</v>
      </c>
      <c r="B102" s="289" t="s">
        <v>213</v>
      </c>
      <c r="C102" s="285" t="s">
        <v>214</v>
      </c>
      <c r="D102" s="288"/>
      <c r="E102" s="290">
        <v>1.920357193840716E-2</v>
      </c>
      <c r="F102" s="290">
        <v>1.920357193840716E-2</v>
      </c>
      <c r="G102" s="290">
        <v>1.920357193840716E-2</v>
      </c>
      <c r="H102" s="290">
        <v>1.920357193840716E-2</v>
      </c>
      <c r="I102" s="290">
        <v>1.920357193840716E-2</v>
      </c>
    </row>
    <row r="103" spans="1:9" x14ac:dyDescent="0.3">
      <c r="A103" s="286" t="s">
        <v>113</v>
      </c>
      <c r="B103" s="289" t="s">
        <v>215</v>
      </c>
      <c r="C103" s="285" t="s">
        <v>216</v>
      </c>
      <c r="D103" s="288"/>
      <c r="E103" s="290">
        <v>1.920357193840716E-2</v>
      </c>
      <c r="F103" s="290">
        <v>1.920357193840716E-2</v>
      </c>
      <c r="G103" s="290">
        <v>1.920357193840716E-2</v>
      </c>
      <c r="H103" s="290">
        <v>1.920357193840716E-2</v>
      </c>
      <c r="I103" s="290">
        <v>1.920357193840716E-2</v>
      </c>
    </row>
    <row r="104" spans="1:9" x14ac:dyDescent="0.3"/>
    <row r="105" spans="1:9" x14ac:dyDescent="0.3"/>
    <row r="106" spans="1:9" x14ac:dyDescent="0.3"/>
    <row r="107" spans="1:9" x14ac:dyDescent="0.3"/>
    <row r="108" spans="1:9" x14ac:dyDescent="0.3"/>
    <row r="109" spans="1:9" x14ac:dyDescent="0.3"/>
    <row r="110" spans="1:9"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D747-D134-4D00-8214-0C651A171AB2}">
  <sheetPr>
    <pageSetUpPr fitToPage="1"/>
  </sheetPr>
  <dimension ref="A1:I110"/>
  <sheetViews>
    <sheetView showGridLines="0" zoomScale="80" zoomScaleNormal="80" workbookViewId="0"/>
  </sheetViews>
  <sheetFormatPr defaultColWidth="0" defaultRowHeight="14" zeroHeight="1" x14ac:dyDescent="0.3"/>
  <cols>
    <col min="1" max="1" width="9.1796875" style="285" customWidth="1"/>
    <col min="2" max="2" width="55.81640625" style="285" bestFit="1" customWidth="1"/>
    <col min="3" max="3" width="53.1796875" style="285" bestFit="1" customWidth="1"/>
    <col min="4" max="9" width="9.1796875" style="285" customWidth="1"/>
    <col min="10"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9" t="s">
        <v>217</v>
      </c>
      <c r="C3" s="285" t="s">
        <v>218</v>
      </c>
      <c r="D3" s="288"/>
      <c r="E3" s="290">
        <v>3.1200592500000068E-2</v>
      </c>
      <c r="F3" s="290">
        <v>3.1200592500000068E-2</v>
      </c>
      <c r="G3" s="290">
        <v>3.1200592500000068E-2</v>
      </c>
      <c r="H3" s="290">
        <v>3.1200592500000068E-2</v>
      </c>
      <c r="I3" s="290">
        <v>3.1200592500000068E-2</v>
      </c>
    </row>
    <row r="4" spans="1:9" x14ac:dyDescent="0.3">
      <c r="A4" s="286" t="s">
        <v>85</v>
      </c>
      <c r="B4" s="289" t="s">
        <v>219</v>
      </c>
      <c r="C4" s="285" t="s">
        <v>220</v>
      </c>
      <c r="D4" s="288"/>
      <c r="E4" s="290">
        <v>3.1200592500000068E-2</v>
      </c>
      <c r="F4" s="290">
        <v>3.1200592500000068E-2</v>
      </c>
      <c r="G4" s="290">
        <v>3.1200592500000068E-2</v>
      </c>
      <c r="H4" s="290">
        <v>3.1200592500000068E-2</v>
      </c>
      <c r="I4" s="290">
        <v>3.1200592500000068E-2</v>
      </c>
    </row>
    <row r="5" spans="1:9" x14ac:dyDescent="0.3">
      <c r="A5" s="286" t="s">
        <v>85</v>
      </c>
      <c r="B5" s="289" t="s">
        <v>221</v>
      </c>
      <c r="C5" s="285" t="s">
        <v>222</v>
      </c>
      <c r="D5" s="288"/>
      <c r="E5" s="290">
        <v>3.1200592500000068E-2</v>
      </c>
      <c r="F5" s="290">
        <v>3.1200592500000068E-2</v>
      </c>
      <c r="G5" s="290">
        <v>3.1200592500000068E-2</v>
      </c>
      <c r="H5" s="290">
        <v>3.1200592500000068E-2</v>
      </c>
      <c r="I5" s="290">
        <v>3.1200592500000068E-2</v>
      </c>
    </row>
    <row r="6" spans="1:9" x14ac:dyDescent="0.3">
      <c r="A6" s="286" t="s">
        <v>85</v>
      </c>
      <c r="B6" s="289" t="s">
        <v>223</v>
      </c>
      <c r="C6" s="285" t="s">
        <v>224</v>
      </c>
      <c r="D6" s="288"/>
      <c r="E6" s="290">
        <v>3.1200592500000068E-2</v>
      </c>
      <c r="F6" s="290">
        <v>3.1200592500000068E-2</v>
      </c>
      <c r="G6" s="290">
        <v>3.1200592500000068E-2</v>
      </c>
      <c r="H6" s="290">
        <v>3.1200592500000068E-2</v>
      </c>
      <c r="I6" s="290">
        <v>3.1200592500000068E-2</v>
      </c>
    </row>
    <row r="7" spans="1:9" x14ac:dyDescent="0.3">
      <c r="A7" s="286" t="s">
        <v>85</v>
      </c>
      <c r="B7" s="289" t="s">
        <v>225</v>
      </c>
      <c r="C7" s="285" t="s">
        <v>226</v>
      </c>
      <c r="D7" s="288"/>
      <c r="E7" s="290">
        <v>3.1200592500000068E-2</v>
      </c>
      <c r="F7" s="290">
        <v>3.1200592500000068E-2</v>
      </c>
      <c r="G7" s="290">
        <v>3.1200592500000068E-2</v>
      </c>
      <c r="H7" s="290">
        <v>3.1200592500000068E-2</v>
      </c>
      <c r="I7" s="290">
        <v>3.1200592500000068E-2</v>
      </c>
    </row>
    <row r="8" spans="1:9" x14ac:dyDescent="0.3"/>
    <row r="9" spans="1:9" x14ac:dyDescent="0.3">
      <c r="A9" s="286" t="s">
        <v>87</v>
      </c>
      <c r="B9" s="289" t="s">
        <v>217</v>
      </c>
      <c r="C9" s="285" t="s">
        <v>218</v>
      </c>
      <c r="D9" s="288"/>
      <c r="E9" s="290">
        <v>2.9195763820156317E-2</v>
      </c>
      <c r="F9" s="290">
        <v>2.9195763820156317E-2</v>
      </c>
      <c r="G9" s="290">
        <v>2.9195763820156317E-2</v>
      </c>
      <c r="H9" s="290">
        <v>2.9195763820156317E-2</v>
      </c>
      <c r="I9" s="290">
        <v>2.9195763820156317E-2</v>
      </c>
    </row>
    <row r="10" spans="1:9" x14ac:dyDescent="0.3">
      <c r="A10" s="286" t="s">
        <v>87</v>
      </c>
      <c r="B10" s="289" t="s">
        <v>219</v>
      </c>
      <c r="C10" s="285" t="s">
        <v>220</v>
      </c>
      <c r="D10" s="288"/>
      <c r="E10" s="290">
        <v>2.9195763820156317E-2</v>
      </c>
      <c r="F10" s="290">
        <v>2.9195763820156317E-2</v>
      </c>
      <c r="G10" s="290">
        <v>2.9195763820156317E-2</v>
      </c>
      <c r="H10" s="290">
        <v>2.9195763820156317E-2</v>
      </c>
      <c r="I10" s="290">
        <v>2.9195763820156317E-2</v>
      </c>
    </row>
    <row r="11" spans="1:9" x14ac:dyDescent="0.3">
      <c r="A11" s="286" t="s">
        <v>87</v>
      </c>
      <c r="B11" s="289" t="s">
        <v>221</v>
      </c>
      <c r="C11" s="285" t="s">
        <v>222</v>
      </c>
      <c r="D11" s="288"/>
      <c r="E11" s="290">
        <v>2.9195763820156317E-2</v>
      </c>
      <c r="F11" s="290">
        <v>2.9195763820156317E-2</v>
      </c>
      <c r="G11" s="290">
        <v>2.9195763820156317E-2</v>
      </c>
      <c r="H11" s="290">
        <v>2.9195763820156317E-2</v>
      </c>
      <c r="I11" s="290">
        <v>2.9195763820156317E-2</v>
      </c>
    </row>
    <row r="12" spans="1:9" x14ac:dyDescent="0.3">
      <c r="A12" s="286" t="s">
        <v>87</v>
      </c>
      <c r="B12" s="289" t="s">
        <v>223</v>
      </c>
      <c r="C12" s="285" t="s">
        <v>224</v>
      </c>
      <c r="D12" s="288"/>
      <c r="E12" s="290">
        <v>2.9195763820156317E-2</v>
      </c>
      <c r="F12" s="290">
        <v>2.9195763820156317E-2</v>
      </c>
      <c r="G12" s="290">
        <v>2.9195763820156317E-2</v>
      </c>
      <c r="H12" s="290">
        <v>2.9195763820156317E-2</v>
      </c>
      <c r="I12" s="290">
        <v>2.9195763820156317E-2</v>
      </c>
    </row>
    <row r="13" spans="1:9" x14ac:dyDescent="0.3">
      <c r="A13" s="286" t="s">
        <v>87</v>
      </c>
      <c r="B13" s="289" t="s">
        <v>225</v>
      </c>
      <c r="C13" s="285" t="s">
        <v>226</v>
      </c>
      <c r="D13" s="288"/>
      <c r="E13" s="290">
        <v>2.9195763820156317E-2</v>
      </c>
      <c r="F13" s="290">
        <v>2.9195763820156317E-2</v>
      </c>
      <c r="G13" s="290">
        <v>2.9195763820156317E-2</v>
      </c>
      <c r="H13" s="290">
        <v>2.9195763820156317E-2</v>
      </c>
      <c r="I13" s="290">
        <v>2.9195763820156317E-2</v>
      </c>
    </row>
    <row r="14" spans="1:9" x14ac:dyDescent="0.3"/>
    <row r="15" spans="1:9" x14ac:dyDescent="0.3">
      <c r="A15" s="286" t="s">
        <v>89</v>
      </c>
      <c r="B15" s="289" t="s">
        <v>217</v>
      </c>
      <c r="C15" s="285" t="s">
        <v>218</v>
      </c>
      <c r="D15" s="288"/>
      <c r="E15" s="290">
        <v>2.9195763820156317E-2</v>
      </c>
      <c r="F15" s="290">
        <v>2.9195763820156317E-2</v>
      </c>
      <c r="G15" s="290">
        <v>2.9195763820156317E-2</v>
      </c>
      <c r="H15" s="290">
        <v>2.9195763820156317E-2</v>
      </c>
      <c r="I15" s="290">
        <v>2.9195763820156317E-2</v>
      </c>
    </row>
    <row r="16" spans="1:9" x14ac:dyDescent="0.3">
      <c r="A16" s="286" t="s">
        <v>89</v>
      </c>
      <c r="B16" s="289" t="s">
        <v>219</v>
      </c>
      <c r="C16" s="285" t="s">
        <v>220</v>
      </c>
      <c r="D16" s="288"/>
      <c r="E16" s="290">
        <v>2.9195763820156317E-2</v>
      </c>
      <c r="F16" s="290">
        <v>2.9195763820156317E-2</v>
      </c>
      <c r="G16" s="290">
        <v>2.9195763820156317E-2</v>
      </c>
      <c r="H16" s="290">
        <v>2.9195763820156317E-2</v>
      </c>
      <c r="I16" s="290">
        <v>2.9195763820156317E-2</v>
      </c>
    </row>
    <row r="17" spans="1:9" x14ac:dyDescent="0.3">
      <c r="A17" s="286" t="s">
        <v>89</v>
      </c>
      <c r="B17" s="289" t="s">
        <v>221</v>
      </c>
      <c r="C17" s="285" t="s">
        <v>222</v>
      </c>
      <c r="D17" s="288"/>
      <c r="E17" s="290">
        <v>2.9195763820156317E-2</v>
      </c>
      <c r="F17" s="290">
        <v>2.9195763820156317E-2</v>
      </c>
      <c r="G17" s="290">
        <v>2.9195763820156317E-2</v>
      </c>
      <c r="H17" s="290">
        <v>2.9195763820156317E-2</v>
      </c>
      <c r="I17" s="290">
        <v>2.9195763820156317E-2</v>
      </c>
    </row>
    <row r="18" spans="1:9" x14ac:dyDescent="0.3">
      <c r="A18" s="286" t="s">
        <v>89</v>
      </c>
      <c r="B18" s="289" t="s">
        <v>223</v>
      </c>
      <c r="C18" s="285" t="s">
        <v>224</v>
      </c>
      <c r="D18" s="288"/>
      <c r="E18" s="290">
        <v>2.9195763820156317E-2</v>
      </c>
      <c r="F18" s="290">
        <v>2.9195763820156317E-2</v>
      </c>
      <c r="G18" s="290">
        <v>2.9195763820156317E-2</v>
      </c>
      <c r="H18" s="290">
        <v>2.9195763820156317E-2</v>
      </c>
      <c r="I18" s="290">
        <v>2.9195763820156317E-2</v>
      </c>
    </row>
    <row r="19" spans="1:9" x14ac:dyDescent="0.3">
      <c r="A19" s="286" t="s">
        <v>89</v>
      </c>
      <c r="B19" s="289" t="s">
        <v>225</v>
      </c>
      <c r="C19" s="285" t="s">
        <v>226</v>
      </c>
      <c r="D19" s="288"/>
      <c r="E19" s="290">
        <v>2.9195763820156317E-2</v>
      </c>
      <c r="F19" s="290">
        <v>2.9195763820156317E-2</v>
      </c>
      <c r="G19" s="290">
        <v>2.9195763820156317E-2</v>
      </c>
      <c r="H19" s="290">
        <v>2.9195763820156317E-2</v>
      </c>
      <c r="I19" s="290">
        <v>2.9195763820156317E-2</v>
      </c>
    </row>
    <row r="20" spans="1:9" x14ac:dyDescent="0.3"/>
    <row r="21" spans="1:9" x14ac:dyDescent="0.3">
      <c r="A21" s="286" t="s">
        <v>91</v>
      </c>
      <c r="B21" s="289" t="s">
        <v>217</v>
      </c>
      <c r="C21" s="285" t="s">
        <v>218</v>
      </c>
      <c r="D21" s="288"/>
      <c r="E21" s="290">
        <v>3.1200592500000068E-2</v>
      </c>
      <c r="F21" s="290">
        <v>3.1200592500000068E-2</v>
      </c>
      <c r="G21" s="290">
        <v>3.1200592500000068E-2</v>
      </c>
      <c r="H21" s="290">
        <v>3.1200592500000068E-2</v>
      </c>
      <c r="I21" s="290">
        <v>3.1200592500000068E-2</v>
      </c>
    </row>
    <row r="22" spans="1:9" x14ac:dyDescent="0.3">
      <c r="A22" s="286" t="s">
        <v>91</v>
      </c>
      <c r="B22" s="289" t="s">
        <v>219</v>
      </c>
      <c r="C22" s="285" t="s">
        <v>220</v>
      </c>
      <c r="D22" s="288"/>
      <c r="E22" s="290">
        <v>3.1200592500000068E-2</v>
      </c>
      <c r="F22" s="290">
        <v>3.1200592500000068E-2</v>
      </c>
      <c r="G22" s="290">
        <v>3.1200592500000068E-2</v>
      </c>
      <c r="H22" s="290">
        <v>3.1200592500000068E-2</v>
      </c>
      <c r="I22" s="290">
        <v>3.1200592500000068E-2</v>
      </c>
    </row>
    <row r="23" spans="1:9" x14ac:dyDescent="0.3">
      <c r="A23" s="286" t="s">
        <v>91</v>
      </c>
      <c r="B23" s="289" t="s">
        <v>221</v>
      </c>
      <c r="C23" s="285" t="s">
        <v>222</v>
      </c>
      <c r="D23" s="288"/>
      <c r="E23" s="290">
        <v>3.1200592500000068E-2</v>
      </c>
      <c r="F23" s="290">
        <v>3.1200592500000068E-2</v>
      </c>
      <c r="G23" s="290">
        <v>3.1200592500000068E-2</v>
      </c>
      <c r="H23" s="290">
        <v>3.1200592500000068E-2</v>
      </c>
      <c r="I23" s="290">
        <v>3.1200592500000068E-2</v>
      </c>
    </row>
    <row r="24" spans="1:9" x14ac:dyDescent="0.3">
      <c r="A24" s="286" t="s">
        <v>91</v>
      </c>
      <c r="B24" s="289" t="s">
        <v>223</v>
      </c>
      <c r="C24" s="285" t="s">
        <v>224</v>
      </c>
      <c r="D24" s="288"/>
      <c r="E24" s="290">
        <v>3.1200592500000068E-2</v>
      </c>
      <c r="F24" s="290">
        <v>3.1200592500000068E-2</v>
      </c>
      <c r="G24" s="290">
        <v>3.1200592500000068E-2</v>
      </c>
      <c r="H24" s="290">
        <v>3.1200592500000068E-2</v>
      </c>
      <c r="I24" s="290">
        <v>3.1200592500000068E-2</v>
      </c>
    </row>
    <row r="25" spans="1:9" x14ac:dyDescent="0.3">
      <c r="A25" s="286" t="s">
        <v>91</v>
      </c>
      <c r="B25" s="289" t="s">
        <v>225</v>
      </c>
      <c r="C25" s="285" t="s">
        <v>226</v>
      </c>
      <c r="D25" s="288"/>
      <c r="E25" s="290">
        <v>3.1200592500000068E-2</v>
      </c>
      <c r="F25" s="290">
        <v>3.1200592500000068E-2</v>
      </c>
      <c r="G25" s="290">
        <v>3.1200592500000068E-2</v>
      </c>
      <c r="H25" s="290">
        <v>3.1200592500000068E-2</v>
      </c>
      <c r="I25" s="290">
        <v>3.1200592500000068E-2</v>
      </c>
    </row>
    <row r="26" spans="1:9" x14ac:dyDescent="0.3"/>
    <row r="27" spans="1:9" x14ac:dyDescent="0.3">
      <c r="A27" s="286" t="s">
        <v>93</v>
      </c>
      <c r="B27" s="289" t="s">
        <v>217</v>
      </c>
      <c r="C27" s="285" t="s">
        <v>218</v>
      </c>
      <c r="D27" s="288"/>
      <c r="E27" s="290">
        <v>2.9195763820156317E-2</v>
      </c>
      <c r="F27" s="290">
        <v>2.9195763820156317E-2</v>
      </c>
      <c r="G27" s="290">
        <v>2.9195763820156317E-2</v>
      </c>
      <c r="H27" s="290">
        <v>2.9195763820156317E-2</v>
      </c>
      <c r="I27" s="290">
        <v>2.9195763820156317E-2</v>
      </c>
    </row>
    <row r="28" spans="1:9" x14ac:dyDescent="0.3">
      <c r="A28" s="286" t="s">
        <v>93</v>
      </c>
      <c r="B28" s="289" t="s">
        <v>219</v>
      </c>
      <c r="C28" s="285" t="s">
        <v>220</v>
      </c>
      <c r="D28" s="288"/>
      <c r="E28" s="290">
        <v>2.9195763820156317E-2</v>
      </c>
      <c r="F28" s="290">
        <v>2.9195763820156317E-2</v>
      </c>
      <c r="G28" s="290">
        <v>2.9195763820156317E-2</v>
      </c>
      <c r="H28" s="290">
        <v>2.9195763820156317E-2</v>
      </c>
      <c r="I28" s="290">
        <v>2.9195763820156317E-2</v>
      </c>
    </row>
    <row r="29" spans="1:9" x14ac:dyDescent="0.3">
      <c r="A29" s="286" t="s">
        <v>93</v>
      </c>
      <c r="B29" s="289" t="s">
        <v>221</v>
      </c>
      <c r="C29" s="285" t="s">
        <v>222</v>
      </c>
      <c r="D29" s="288"/>
      <c r="E29" s="290">
        <v>2.9195763820156317E-2</v>
      </c>
      <c r="F29" s="290">
        <v>2.9195763820156317E-2</v>
      </c>
      <c r="G29" s="290">
        <v>2.9195763820156317E-2</v>
      </c>
      <c r="H29" s="290">
        <v>2.9195763820156317E-2</v>
      </c>
      <c r="I29" s="290">
        <v>2.9195763820156317E-2</v>
      </c>
    </row>
    <row r="30" spans="1:9" x14ac:dyDescent="0.3">
      <c r="A30" s="286" t="s">
        <v>93</v>
      </c>
      <c r="B30" s="289" t="s">
        <v>223</v>
      </c>
      <c r="C30" s="285" t="s">
        <v>224</v>
      </c>
      <c r="D30" s="288"/>
      <c r="E30" s="290">
        <v>2.9195763820156317E-2</v>
      </c>
      <c r="F30" s="290">
        <v>2.9195763820156317E-2</v>
      </c>
      <c r="G30" s="290">
        <v>2.9195763820156317E-2</v>
      </c>
      <c r="H30" s="290">
        <v>2.9195763820156317E-2</v>
      </c>
      <c r="I30" s="290">
        <v>2.9195763820156317E-2</v>
      </c>
    </row>
    <row r="31" spans="1:9" x14ac:dyDescent="0.3">
      <c r="A31" s="286" t="s">
        <v>93</v>
      </c>
      <c r="B31" s="289" t="s">
        <v>225</v>
      </c>
      <c r="C31" s="285" t="s">
        <v>226</v>
      </c>
      <c r="D31" s="288"/>
      <c r="E31" s="290">
        <v>2.9195763820156317E-2</v>
      </c>
      <c r="F31" s="290">
        <v>2.9195763820156317E-2</v>
      </c>
      <c r="G31" s="290">
        <v>2.9195763820156317E-2</v>
      </c>
      <c r="H31" s="290">
        <v>2.9195763820156317E-2</v>
      </c>
      <c r="I31" s="290">
        <v>2.9195763820156317E-2</v>
      </c>
    </row>
    <row r="32" spans="1:9" x14ac:dyDescent="0.3"/>
    <row r="33" spans="1:9" x14ac:dyDescent="0.3">
      <c r="A33" s="286" t="s">
        <v>97</v>
      </c>
      <c r="B33" s="289" t="s">
        <v>217</v>
      </c>
      <c r="C33" s="285" t="s">
        <v>218</v>
      </c>
      <c r="D33" s="288"/>
      <c r="E33" s="290">
        <v>2.9195763820156317E-2</v>
      </c>
      <c r="F33" s="290">
        <v>2.9195763820156317E-2</v>
      </c>
      <c r="G33" s="290">
        <v>2.9195763820156317E-2</v>
      </c>
      <c r="H33" s="290">
        <v>2.9195763820156317E-2</v>
      </c>
      <c r="I33" s="290">
        <v>2.9195763820156317E-2</v>
      </c>
    </row>
    <row r="34" spans="1:9" x14ac:dyDescent="0.3">
      <c r="A34" s="286" t="s">
        <v>97</v>
      </c>
      <c r="B34" s="289" t="s">
        <v>219</v>
      </c>
      <c r="C34" s="285" t="s">
        <v>220</v>
      </c>
      <c r="D34" s="288"/>
      <c r="E34" s="290">
        <v>2.9195763820156317E-2</v>
      </c>
      <c r="F34" s="290">
        <v>2.9195763820156317E-2</v>
      </c>
      <c r="G34" s="290">
        <v>2.9195763820156317E-2</v>
      </c>
      <c r="H34" s="290">
        <v>2.9195763820156317E-2</v>
      </c>
      <c r="I34" s="290">
        <v>2.9195763820156317E-2</v>
      </c>
    </row>
    <row r="35" spans="1:9" x14ac:dyDescent="0.3">
      <c r="A35" s="286" t="s">
        <v>97</v>
      </c>
      <c r="B35" s="289" t="s">
        <v>221</v>
      </c>
      <c r="C35" s="285" t="s">
        <v>222</v>
      </c>
      <c r="D35" s="288"/>
      <c r="E35" s="290">
        <v>2.9195763820156317E-2</v>
      </c>
      <c r="F35" s="290">
        <v>2.9195763820156317E-2</v>
      </c>
      <c r="G35" s="290">
        <v>2.9195763820156317E-2</v>
      </c>
      <c r="H35" s="290">
        <v>2.9195763820156317E-2</v>
      </c>
      <c r="I35" s="290">
        <v>2.9195763820156317E-2</v>
      </c>
    </row>
    <row r="36" spans="1:9" x14ac:dyDescent="0.3">
      <c r="A36" s="286" t="s">
        <v>97</v>
      </c>
      <c r="B36" s="289" t="s">
        <v>223</v>
      </c>
      <c r="C36" s="285" t="s">
        <v>224</v>
      </c>
      <c r="D36" s="288"/>
      <c r="E36" s="290">
        <v>2.9195763820156317E-2</v>
      </c>
      <c r="F36" s="290">
        <v>2.9195763820156317E-2</v>
      </c>
      <c r="G36" s="290">
        <v>2.9195763820156317E-2</v>
      </c>
      <c r="H36" s="290">
        <v>2.9195763820156317E-2</v>
      </c>
      <c r="I36" s="290">
        <v>2.9195763820156317E-2</v>
      </c>
    </row>
    <row r="37" spans="1:9" x14ac:dyDescent="0.3">
      <c r="A37" s="286" t="s">
        <v>97</v>
      </c>
      <c r="B37" s="289" t="s">
        <v>225</v>
      </c>
      <c r="C37" s="285" t="s">
        <v>226</v>
      </c>
      <c r="D37" s="288"/>
      <c r="E37" s="290">
        <v>2.9195763820156317E-2</v>
      </c>
      <c r="F37" s="290">
        <v>2.9195763820156317E-2</v>
      </c>
      <c r="G37" s="290">
        <v>2.9195763820156317E-2</v>
      </c>
      <c r="H37" s="290">
        <v>2.9195763820156317E-2</v>
      </c>
      <c r="I37" s="290">
        <v>2.9195763820156317E-2</v>
      </c>
    </row>
    <row r="38" spans="1:9" x14ac:dyDescent="0.3"/>
    <row r="39" spans="1:9" x14ac:dyDescent="0.3">
      <c r="A39" s="286" t="s">
        <v>95</v>
      </c>
      <c r="B39" s="289" t="s">
        <v>217</v>
      </c>
      <c r="C39" s="285" t="s">
        <v>218</v>
      </c>
      <c r="D39" s="288"/>
      <c r="E39" s="290">
        <v>2.9195763820156317E-2</v>
      </c>
      <c r="F39" s="290">
        <v>2.9195763820156317E-2</v>
      </c>
      <c r="G39" s="290">
        <v>2.9195763820156317E-2</v>
      </c>
      <c r="H39" s="290">
        <v>2.9195763820156317E-2</v>
      </c>
      <c r="I39" s="290">
        <v>2.9195763820156317E-2</v>
      </c>
    </row>
    <row r="40" spans="1:9" x14ac:dyDescent="0.3">
      <c r="A40" s="286" t="s">
        <v>95</v>
      </c>
      <c r="B40" s="289" t="s">
        <v>219</v>
      </c>
      <c r="C40" s="285" t="s">
        <v>220</v>
      </c>
      <c r="D40" s="288"/>
      <c r="E40" s="290">
        <v>2.9195763820156317E-2</v>
      </c>
      <c r="F40" s="290">
        <v>2.9195763820156317E-2</v>
      </c>
      <c r="G40" s="290">
        <v>2.9195763820156317E-2</v>
      </c>
      <c r="H40" s="290">
        <v>2.9195763820156317E-2</v>
      </c>
      <c r="I40" s="290">
        <v>2.9195763820156317E-2</v>
      </c>
    </row>
    <row r="41" spans="1:9" x14ac:dyDescent="0.3">
      <c r="A41" s="286" t="s">
        <v>95</v>
      </c>
      <c r="B41" s="289" t="s">
        <v>221</v>
      </c>
      <c r="C41" s="285" t="s">
        <v>222</v>
      </c>
      <c r="D41" s="288"/>
      <c r="E41" s="290">
        <v>2.9195763820156317E-2</v>
      </c>
      <c r="F41" s="290">
        <v>2.9195763820156317E-2</v>
      </c>
      <c r="G41" s="290">
        <v>2.9195763820156317E-2</v>
      </c>
      <c r="H41" s="290">
        <v>2.9195763820156317E-2</v>
      </c>
      <c r="I41" s="290">
        <v>2.9195763820156317E-2</v>
      </c>
    </row>
    <row r="42" spans="1:9" x14ac:dyDescent="0.3">
      <c r="A42" s="286" t="s">
        <v>95</v>
      </c>
      <c r="B42" s="289" t="s">
        <v>223</v>
      </c>
      <c r="C42" s="285" t="s">
        <v>224</v>
      </c>
      <c r="D42" s="288"/>
      <c r="E42" s="290">
        <v>2.9195763820156317E-2</v>
      </c>
      <c r="F42" s="290">
        <v>2.9195763820156317E-2</v>
      </c>
      <c r="G42" s="290">
        <v>2.9195763820156317E-2</v>
      </c>
      <c r="H42" s="290">
        <v>2.9195763820156317E-2</v>
      </c>
      <c r="I42" s="290">
        <v>2.9195763820156317E-2</v>
      </c>
    </row>
    <row r="43" spans="1:9" x14ac:dyDescent="0.3">
      <c r="A43" s="286" t="s">
        <v>95</v>
      </c>
      <c r="B43" s="289" t="s">
        <v>225</v>
      </c>
      <c r="C43" s="285" t="s">
        <v>226</v>
      </c>
      <c r="D43" s="288"/>
      <c r="E43" s="290">
        <v>2.9195763820156317E-2</v>
      </c>
      <c r="F43" s="290">
        <v>2.9195763820156317E-2</v>
      </c>
      <c r="G43" s="290">
        <v>2.9195763820156317E-2</v>
      </c>
      <c r="H43" s="290">
        <v>2.9195763820156317E-2</v>
      </c>
      <c r="I43" s="290">
        <v>2.9195763820156317E-2</v>
      </c>
    </row>
    <row r="44" spans="1:9" x14ac:dyDescent="0.3"/>
    <row r="45" spans="1:9" x14ac:dyDescent="0.3">
      <c r="A45" s="286" t="s">
        <v>99</v>
      </c>
      <c r="B45" s="289" t="s">
        <v>217</v>
      </c>
      <c r="C45" s="285" t="s">
        <v>218</v>
      </c>
      <c r="D45" s="288"/>
      <c r="E45" s="290">
        <v>2.9195763820156317E-2</v>
      </c>
      <c r="F45" s="290">
        <v>2.9195763820156317E-2</v>
      </c>
      <c r="G45" s="290">
        <v>2.9195763820156317E-2</v>
      </c>
      <c r="H45" s="290">
        <v>2.9195763820156317E-2</v>
      </c>
      <c r="I45" s="290">
        <v>2.9195763820156317E-2</v>
      </c>
    </row>
    <row r="46" spans="1:9" x14ac:dyDescent="0.3">
      <c r="A46" s="286" t="s">
        <v>99</v>
      </c>
      <c r="B46" s="289" t="s">
        <v>219</v>
      </c>
      <c r="C46" s="285" t="s">
        <v>220</v>
      </c>
      <c r="D46" s="288"/>
      <c r="E46" s="290">
        <v>2.9195763820156317E-2</v>
      </c>
      <c r="F46" s="290">
        <v>2.9195763820156317E-2</v>
      </c>
      <c r="G46" s="290">
        <v>2.9195763820156317E-2</v>
      </c>
      <c r="H46" s="290">
        <v>2.9195763820156317E-2</v>
      </c>
      <c r="I46" s="290">
        <v>2.9195763820156317E-2</v>
      </c>
    </row>
    <row r="47" spans="1:9" x14ac:dyDescent="0.3">
      <c r="A47" s="286" t="s">
        <v>99</v>
      </c>
      <c r="B47" s="289" t="s">
        <v>221</v>
      </c>
      <c r="C47" s="285" t="s">
        <v>222</v>
      </c>
      <c r="D47" s="288"/>
      <c r="E47" s="290">
        <v>2.9195763820156317E-2</v>
      </c>
      <c r="F47" s="290">
        <v>2.9195763820156317E-2</v>
      </c>
      <c r="G47" s="290">
        <v>2.9195763820156317E-2</v>
      </c>
      <c r="H47" s="290">
        <v>2.9195763820156317E-2</v>
      </c>
      <c r="I47" s="290">
        <v>2.9195763820156317E-2</v>
      </c>
    </row>
    <row r="48" spans="1:9" x14ac:dyDescent="0.3">
      <c r="A48" s="286" t="s">
        <v>99</v>
      </c>
      <c r="B48" s="289" t="s">
        <v>223</v>
      </c>
      <c r="C48" s="285" t="s">
        <v>224</v>
      </c>
      <c r="D48" s="288"/>
      <c r="E48" s="290">
        <v>2.9195763820156317E-2</v>
      </c>
      <c r="F48" s="290">
        <v>2.9195763820156317E-2</v>
      </c>
      <c r="G48" s="290">
        <v>2.9195763820156317E-2</v>
      </c>
      <c r="H48" s="290">
        <v>2.9195763820156317E-2</v>
      </c>
      <c r="I48" s="290">
        <v>2.9195763820156317E-2</v>
      </c>
    </row>
    <row r="49" spans="1:9" x14ac:dyDescent="0.3">
      <c r="A49" s="286" t="s">
        <v>99</v>
      </c>
      <c r="B49" s="289" t="s">
        <v>225</v>
      </c>
      <c r="C49" s="285" t="s">
        <v>226</v>
      </c>
      <c r="D49" s="288"/>
      <c r="E49" s="290">
        <v>2.9195763820156317E-2</v>
      </c>
      <c r="F49" s="290">
        <v>2.9195763820156317E-2</v>
      </c>
      <c r="G49" s="290">
        <v>2.9195763820156317E-2</v>
      </c>
      <c r="H49" s="290">
        <v>2.9195763820156317E-2</v>
      </c>
      <c r="I49" s="290">
        <v>2.9195763820156317E-2</v>
      </c>
    </row>
    <row r="50" spans="1:9" x14ac:dyDescent="0.3"/>
    <row r="51" spans="1:9" x14ac:dyDescent="0.3">
      <c r="A51" s="286" t="s">
        <v>101</v>
      </c>
      <c r="B51" s="289" t="s">
        <v>217</v>
      </c>
      <c r="C51" s="285" t="s">
        <v>218</v>
      </c>
      <c r="D51" s="288"/>
      <c r="E51" s="290">
        <v>2.9195763820156317E-2</v>
      </c>
      <c r="F51" s="290">
        <v>2.9195763820156317E-2</v>
      </c>
      <c r="G51" s="290">
        <v>2.9195763820156317E-2</v>
      </c>
      <c r="H51" s="290">
        <v>2.9195763820156317E-2</v>
      </c>
      <c r="I51" s="290">
        <v>2.9195763820156317E-2</v>
      </c>
    </row>
    <row r="52" spans="1:9" x14ac:dyDescent="0.3">
      <c r="A52" s="286" t="s">
        <v>101</v>
      </c>
      <c r="B52" s="289" t="s">
        <v>219</v>
      </c>
      <c r="C52" s="285" t="s">
        <v>220</v>
      </c>
      <c r="D52" s="288"/>
      <c r="E52" s="290">
        <v>2.9195763820156317E-2</v>
      </c>
      <c r="F52" s="290">
        <v>2.9195763820156317E-2</v>
      </c>
      <c r="G52" s="290">
        <v>2.9195763820156317E-2</v>
      </c>
      <c r="H52" s="290">
        <v>2.9195763820156317E-2</v>
      </c>
      <c r="I52" s="290">
        <v>2.9195763820156317E-2</v>
      </c>
    </row>
    <row r="53" spans="1:9" x14ac:dyDescent="0.3">
      <c r="A53" s="286" t="s">
        <v>101</v>
      </c>
      <c r="B53" s="289" t="s">
        <v>221</v>
      </c>
      <c r="C53" s="285" t="s">
        <v>222</v>
      </c>
      <c r="D53" s="288"/>
      <c r="E53" s="290">
        <v>2.9195763820156317E-2</v>
      </c>
      <c r="F53" s="290">
        <v>2.9195763820156317E-2</v>
      </c>
      <c r="G53" s="290">
        <v>2.9195763820156317E-2</v>
      </c>
      <c r="H53" s="290">
        <v>2.9195763820156317E-2</v>
      </c>
      <c r="I53" s="290">
        <v>2.9195763820156317E-2</v>
      </c>
    </row>
    <row r="54" spans="1:9" x14ac:dyDescent="0.3">
      <c r="A54" s="286" t="s">
        <v>101</v>
      </c>
      <c r="B54" s="289" t="s">
        <v>223</v>
      </c>
      <c r="C54" s="285" t="s">
        <v>224</v>
      </c>
      <c r="D54" s="288"/>
      <c r="E54" s="290">
        <v>2.9195763820156317E-2</v>
      </c>
      <c r="F54" s="290">
        <v>2.9195763820156317E-2</v>
      </c>
      <c r="G54" s="290">
        <v>2.9195763820156317E-2</v>
      </c>
      <c r="H54" s="290">
        <v>2.9195763820156317E-2</v>
      </c>
      <c r="I54" s="290">
        <v>2.9195763820156317E-2</v>
      </c>
    </row>
    <row r="55" spans="1:9" x14ac:dyDescent="0.3">
      <c r="A55" s="286" t="s">
        <v>101</v>
      </c>
      <c r="B55" s="289" t="s">
        <v>225</v>
      </c>
      <c r="C55" s="285" t="s">
        <v>226</v>
      </c>
      <c r="D55" s="288"/>
      <c r="E55" s="290">
        <v>2.9195763820156317E-2</v>
      </c>
      <c r="F55" s="290">
        <v>2.9195763820156317E-2</v>
      </c>
      <c r="G55" s="290">
        <v>2.9195763820156317E-2</v>
      </c>
      <c r="H55" s="290">
        <v>2.9195763820156317E-2</v>
      </c>
      <c r="I55" s="290">
        <v>2.9195763820156317E-2</v>
      </c>
    </row>
    <row r="56" spans="1:9" x14ac:dyDescent="0.3"/>
    <row r="57" spans="1:9" x14ac:dyDescent="0.3">
      <c r="A57" s="286" t="s">
        <v>103</v>
      </c>
      <c r="B57" s="289" t="s">
        <v>217</v>
      </c>
      <c r="C57" s="285" t="s">
        <v>218</v>
      </c>
      <c r="D57" s="288"/>
      <c r="E57" s="290">
        <v>2.9195763820156317E-2</v>
      </c>
      <c r="F57" s="290">
        <v>2.9195763820156317E-2</v>
      </c>
      <c r="G57" s="290">
        <v>2.9195763820156317E-2</v>
      </c>
      <c r="H57" s="290">
        <v>2.9195763820156317E-2</v>
      </c>
      <c r="I57" s="290">
        <v>2.9195763820156317E-2</v>
      </c>
    </row>
    <row r="58" spans="1:9" x14ac:dyDescent="0.3">
      <c r="A58" s="286" t="s">
        <v>103</v>
      </c>
      <c r="B58" s="289" t="s">
        <v>219</v>
      </c>
      <c r="C58" s="285" t="s">
        <v>220</v>
      </c>
      <c r="D58" s="288"/>
      <c r="E58" s="290">
        <v>2.9195763820156317E-2</v>
      </c>
      <c r="F58" s="290">
        <v>2.9195763820156317E-2</v>
      </c>
      <c r="G58" s="290">
        <v>2.9195763820156317E-2</v>
      </c>
      <c r="H58" s="290">
        <v>2.9195763820156317E-2</v>
      </c>
      <c r="I58" s="290">
        <v>2.9195763820156317E-2</v>
      </c>
    </row>
    <row r="59" spans="1:9" x14ac:dyDescent="0.3">
      <c r="A59" s="286" t="s">
        <v>103</v>
      </c>
      <c r="B59" s="289" t="s">
        <v>221</v>
      </c>
      <c r="C59" s="285" t="s">
        <v>222</v>
      </c>
      <c r="D59" s="288"/>
      <c r="E59" s="290">
        <v>2.9195763820156317E-2</v>
      </c>
      <c r="F59" s="290">
        <v>2.9195763820156317E-2</v>
      </c>
      <c r="G59" s="290">
        <v>2.9195763820156317E-2</v>
      </c>
      <c r="H59" s="290">
        <v>2.9195763820156317E-2</v>
      </c>
      <c r="I59" s="290">
        <v>2.9195763820156317E-2</v>
      </c>
    </row>
    <row r="60" spans="1:9" x14ac:dyDescent="0.3">
      <c r="A60" s="286" t="s">
        <v>103</v>
      </c>
      <c r="B60" s="289" t="s">
        <v>223</v>
      </c>
      <c r="C60" s="285" t="s">
        <v>224</v>
      </c>
      <c r="D60" s="288"/>
      <c r="E60" s="290">
        <v>2.9195763820156317E-2</v>
      </c>
      <c r="F60" s="290">
        <v>2.9195763820156317E-2</v>
      </c>
      <c r="G60" s="290">
        <v>2.9195763820156317E-2</v>
      </c>
      <c r="H60" s="290">
        <v>2.9195763820156317E-2</v>
      </c>
      <c r="I60" s="290">
        <v>2.9195763820156317E-2</v>
      </c>
    </row>
    <row r="61" spans="1:9" x14ac:dyDescent="0.3">
      <c r="A61" s="286" t="s">
        <v>103</v>
      </c>
      <c r="B61" s="289" t="s">
        <v>225</v>
      </c>
      <c r="C61" s="285" t="s">
        <v>226</v>
      </c>
      <c r="D61" s="288"/>
      <c r="E61" s="290">
        <v>2.9195763820156317E-2</v>
      </c>
      <c r="F61" s="290">
        <v>2.9195763820156317E-2</v>
      </c>
      <c r="G61" s="290">
        <v>2.9195763820156317E-2</v>
      </c>
      <c r="H61" s="290">
        <v>2.9195763820156317E-2</v>
      </c>
      <c r="I61" s="290">
        <v>2.9195763820156317E-2</v>
      </c>
    </row>
    <row r="62" spans="1:9" x14ac:dyDescent="0.3"/>
    <row r="63" spans="1:9" x14ac:dyDescent="0.3">
      <c r="A63" s="286" t="s">
        <v>105</v>
      </c>
      <c r="B63" s="289" t="s">
        <v>217</v>
      </c>
      <c r="C63" s="285" t="s">
        <v>218</v>
      </c>
      <c r="D63" s="288"/>
      <c r="E63" s="290">
        <v>3.1200592500000068E-2</v>
      </c>
      <c r="F63" s="290">
        <v>3.1200592500000068E-2</v>
      </c>
      <c r="G63" s="290">
        <v>3.1200592500000068E-2</v>
      </c>
      <c r="H63" s="290">
        <v>3.1200592500000068E-2</v>
      </c>
      <c r="I63" s="290">
        <v>3.1200592500000068E-2</v>
      </c>
    </row>
    <row r="64" spans="1:9" x14ac:dyDescent="0.3">
      <c r="A64" s="286" t="s">
        <v>105</v>
      </c>
      <c r="B64" s="289" t="s">
        <v>219</v>
      </c>
      <c r="C64" s="285" t="s">
        <v>220</v>
      </c>
      <c r="D64" s="288"/>
      <c r="E64" s="290">
        <v>3.1200592500000068E-2</v>
      </c>
      <c r="F64" s="290">
        <v>3.1200592500000068E-2</v>
      </c>
      <c r="G64" s="290">
        <v>3.1200592500000068E-2</v>
      </c>
      <c r="H64" s="290">
        <v>3.1200592500000068E-2</v>
      </c>
      <c r="I64" s="290">
        <v>3.1200592500000068E-2</v>
      </c>
    </row>
    <row r="65" spans="1:9" x14ac:dyDescent="0.3">
      <c r="A65" s="286" t="s">
        <v>105</v>
      </c>
      <c r="B65" s="289" t="s">
        <v>221</v>
      </c>
      <c r="C65" s="285" t="s">
        <v>222</v>
      </c>
      <c r="D65" s="288"/>
      <c r="E65" s="290">
        <v>3.1200592500000068E-2</v>
      </c>
      <c r="F65" s="290">
        <v>3.1200592500000068E-2</v>
      </c>
      <c r="G65" s="290">
        <v>3.1200592500000068E-2</v>
      </c>
      <c r="H65" s="290">
        <v>3.1200592500000068E-2</v>
      </c>
      <c r="I65" s="290">
        <v>3.1200592500000068E-2</v>
      </c>
    </row>
    <row r="66" spans="1:9" x14ac:dyDescent="0.3">
      <c r="A66" s="286" t="s">
        <v>105</v>
      </c>
      <c r="B66" s="289" t="s">
        <v>223</v>
      </c>
      <c r="C66" s="285" t="s">
        <v>224</v>
      </c>
      <c r="D66" s="288"/>
      <c r="E66" s="290">
        <v>3.1200592500000068E-2</v>
      </c>
      <c r="F66" s="290">
        <v>3.1200592500000068E-2</v>
      </c>
      <c r="G66" s="290">
        <v>3.1200592500000068E-2</v>
      </c>
      <c r="H66" s="290">
        <v>3.1200592500000068E-2</v>
      </c>
      <c r="I66" s="290">
        <v>3.1200592500000068E-2</v>
      </c>
    </row>
    <row r="67" spans="1:9" x14ac:dyDescent="0.3">
      <c r="A67" s="286" t="s">
        <v>105</v>
      </c>
      <c r="B67" s="289" t="s">
        <v>225</v>
      </c>
      <c r="C67" s="285" t="s">
        <v>226</v>
      </c>
      <c r="D67" s="288"/>
      <c r="E67" s="290">
        <v>3.1200592500000068E-2</v>
      </c>
      <c r="F67" s="290">
        <v>3.1200592500000068E-2</v>
      </c>
      <c r="G67" s="290">
        <v>3.1200592500000068E-2</v>
      </c>
      <c r="H67" s="290">
        <v>3.1200592500000068E-2</v>
      </c>
      <c r="I67" s="290">
        <v>3.1200592500000068E-2</v>
      </c>
    </row>
    <row r="68" spans="1:9" x14ac:dyDescent="0.3"/>
    <row r="69" spans="1:9" x14ac:dyDescent="0.3">
      <c r="A69" s="286" t="s">
        <v>107</v>
      </c>
      <c r="B69" s="289" t="s">
        <v>217</v>
      </c>
      <c r="C69" s="285" t="s">
        <v>218</v>
      </c>
      <c r="D69" s="288"/>
      <c r="E69" s="290">
        <v>2.9195763820156317E-2</v>
      </c>
      <c r="F69" s="290">
        <v>2.9195763820156317E-2</v>
      </c>
      <c r="G69" s="290">
        <v>2.9195763820156317E-2</v>
      </c>
      <c r="H69" s="290">
        <v>2.9195763820156317E-2</v>
      </c>
      <c r="I69" s="290">
        <v>2.9195763820156317E-2</v>
      </c>
    </row>
    <row r="70" spans="1:9" x14ac:dyDescent="0.3">
      <c r="A70" s="286" t="s">
        <v>107</v>
      </c>
      <c r="B70" s="289" t="s">
        <v>219</v>
      </c>
      <c r="C70" s="285" t="s">
        <v>220</v>
      </c>
      <c r="D70" s="288"/>
      <c r="E70" s="290">
        <v>2.9195763820156317E-2</v>
      </c>
      <c r="F70" s="290">
        <v>2.9195763820156317E-2</v>
      </c>
      <c r="G70" s="290">
        <v>2.9195763820156317E-2</v>
      </c>
      <c r="H70" s="290">
        <v>2.9195763820156317E-2</v>
      </c>
      <c r="I70" s="290">
        <v>2.9195763820156317E-2</v>
      </c>
    </row>
    <row r="71" spans="1:9" x14ac:dyDescent="0.3">
      <c r="A71" s="286" t="s">
        <v>107</v>
      </c>
      <c r="B71" s="289" t="s">
        <v>221</v>
      </c>
      <c r="C71" s="285" t="s">
        <v>222</v>
      </c>
      <c r="D71" s="288"/>
      <c r="E71" s="290">
        <v>2.9195763820156317E-2</v>
      </c>
      <c r="F71" s="290">
        <v>2.9195763820156317E-2</v>
      </c>
      <c r="G71" s="290">
        <v>2.9195763820156317E-2</v>
      </c>
      <c r="H71" s="290">
        <v>2.9195763820156317E-2</v>
      </c>
      <c r="I71" s="290">
        <v>2.9195763820156317E-2</v>
      </c>
    </row>
    <row r="72" spans="1:9" x14ac:dyDescent="0.3">
      <c r="A72" s="286" t="s">
        <v>107</v>
      </c>
      <c r="B72" s="289" t="s">
        <v>223</v>
      </c>
      <c r="C72" s="285" t="s">
        <v>224</v>
      </c>
      <c r="D72" s="288"/>
      <c r="E72" s="290">
        <v>2.9195763820156317E-2</v>
      </c>
      <c r="F72" s="290">
        <v>2.9195763820156317E-2</v>
      </c>
      <c r="G72" s="290">
        <v>2.9195763820156317E-2</v>
      </c>
      <c r="H72" s="290">
        <v>2.9195763820156317E-2</v>
      </c>
      <c r="I72" s="290">
        <v>2.9195763820156317E-2</v>
      </c>
    </row>
    <row r="73" spans="1:9" x14ac:dyDescent="0.3">
      <c r="A73" s="286" t="s">
        <v>107</v>
      </c>
      <c r="B73" s="289" t="s">
        <v>225</v>
      </c>
      <c r="C73" s="285" t="s">
        <v>226</v>
      </c>
      <c r="D73" s="288"/>
      <c r="E73" s="290">
        <v>2.9195763820156317E-2</v>
      </c>
      <c r="F73" s="290">
        <v>2.9195763820156317E-2</v>
      </c>
      <c r="G73" s="290">
        <v>2.9195763820156317E-2</v>
      </c>
      <c r="H73" s="290">
        <v>2.9195763820156317E-2</v>
      </c>
      <c r="I73" s="290">
        <v>2.9195763820156317E-2</v>
      </c>
    </row>
    <row r="74" spans="1:9" x14ac:dyDescent="0.3"/>
    <row r="75" spans="1:9" x14ac:dyDescent="0.3">
      <c r="A75" s="286" t="s">
        <v>109</v>
      </c>
      <c r="B75" s="289" t="s">
        <v>217</v>
      </c>
      <c r="C75" s="285" t="s">
        <v>218</v>
      </c>
      <c r="D75" s="288"/>
      <c r="E75" s="290">
        <v>3.2944792499999931E-2</v>
      </c>
      <c r="F75" s="290">
        <v>3.2944792499999931E-2</v>
      </c>
      <c r="G75" s="290">
        <v>3.2944792499999931E-2</v>
      </c>
      <c r="H75" s="290">
        <v>3.2944792499999931E-2</v>
      </c>
      <c r="I75" s="290">
        <v>3.2944792499999931E-2</v>
      </c>
    </row>
    <row r="76" spans="1:9" x14ac:dyDescent="0.3">
      <c r="A76" s="286" t="s">
        <v>109</v>
      </c>
      <c r="B76" s="289" t="s">
        <v>219</v>
      </c>
      <c r="C76" s="285" t="s">
        <v>220</v>
      </c>
      <c r="D76" s="288"/>
      <c r="E76" s="290">
        <v>3.2944792499999931E-2</v>
      </c>
      <c r="F76" s="290">
        <v>3.2944792499999931E-2</v>
      </c>
      <c r="G76" s="290">
        <v>3.2944792499999931E-2</v>
      </c>
      <c r="H76" s="290">
        <v>3.2944792499999931E-2</v>
      </c>
      <c r="I76" s="290">
        <v>3.2944792499999931E-2</v>
      </c>
    </row>
    <row r="77" spans="1:9" x14ac:dyDescent="0.3">
      <c r="A77" s="286" t="s">
        <v>109</v>
      </c>
      <c r="B77" s="289" t="s">
        <v>221</v>
      </c>
      <c r="C77" s="285" t="s">
        <v>222</v>
      </c>
      <c r="D77" s="288"/>
      <c r="E77" s="290">
        <v>3.2944792499999931E-2</v>
      </c>
      <c r="F77" s="290">
        <v>3.2944792499999931E-2</v>
      </c>
      <c r="G77" s="290">
        <v>3.2944792499999931E-2</v>
      </c>
      <c r="H77" s="290">
        <v>3.2944792499999931E-2</v>
      </c>
      <c r="I77" s="290">
        <v>3.2944792499999931E-2</v>
      </c>
    </row>
    <row r="78" spans="1:9" x14ac:dyDescent="0.3">
      <c r="A78" s="286" t="s">
        <v>109</v>
      </c>
      <c r="B78" s="289" t="s">
        <v>223</v>
      </c>
      <c r="C78" s="285" t="s">
        <v>224</v>
      </c>
      <c r="D78" s="288"/>
      <c r="E78" s="290">
        <v>3.2944792499999931E-2</v>
      </c>
      <c r="F78" s="290">
        <v>3.2944792499999931E-2</v>
      </c>
      <c r="G78" s="290">
        <v>3.2944792499999931E-2</v>
      </c>
      <c r="H78" s="290">
        <v>3.2944792499999931E-2</v>
      </c>
      <c r="I78" s="290">
        <v>3.2944792499999931E-2</v>
      </c>
    </row>
    <row r="79" spans="1:9" x14ac:dyDescent="0.3">
      <c r="A79" s="286" t="s">
        <v>109</v>
      </c>
      <c r="B79" s="289" t="s">
        <v>225</v>
      </c>
      <c r="C79" s="285" t="s">
        <v>226</v>
      </c>
      <c r="D79" s="288"/>
      <c r="E79" s="290">
        <v>3.2944792499999931E-2</v>
      </c>
      <c r="F79" s="290">
        <v>3.2944792499999931E-2</v>
      </c>
      <c r="G79" s="290">
        <v>3.2944792499999931E-2</v>
      </c>
      <c r="H79" s="290">
        <v>3.2944792499999931E-2</v>
      </c>
      <c r="I79" s="290">
        <v>3.2944792499999931E-2</v>
      </c>
    </row>
    <row r="80" spans="1:9" x14ac:dyDescent="0.3"/>
    <row r="81" spans="1:9" x14ac:dyDescent="0.3">
      <c r="A81" s="286" t="s">
        <v>111</v>
      </c>
      <c r="B81" s="289" t="s">
        <v>217</v>
      </c>
      <c r="C81" s="285" t="s">
        <v>218</v>
      </c>
      <c r="D81" s="288"/>
      <c r="E81" s="290">
        <v>3.1136940290744652E-2</v>
      </c>
      <c r="F81" s="290">
        <v>3.1136940290744652E-2</v>
      </c>
      <c r="G81" s="290">
        <v>3.1136940290744652E-2</v>
      </c>
      <c r="H81" s="290">
        <v>3.1136940290744652E-2</v>
      </c>
      <c r="I81" s="290">
        <v>3.1136940290744652E-2</v>
      </c>
    </row>
    <row r="82" spans="1:9" x14ac:dyDescent="0.3">
      <c r="A82" s="286" t="s">
        <v>111</v>
      </c>
      <c r="B82" s="289" t="s">
        <v>219</v>
      </c>
      <c r="C82" s="285" t="s">
        <v>220</v>
      </c>
      <c r="D82" s="288"/>
      <c r="E82" s="290">
        <v>3.1136940290744652E-2</v>
      </c>
      <c r="F82" s="290">
        <v>3.1136940290744652E-2</v>
      </c>
      <c r="G82" s="290">
        <v>3.1136940290744652E-2</v>
      </c>
      <c r="H82" s="290">
        <v>3.1136940290744652E-2</v>
      </c>
      <c r="I82" s="290">
        <v>3.1136940290744652E-2</v>
      </c>
    </row>
    <row r="83" spans="1:9" x14ac:dyDescent="0.3">
      <c r="A83" s="286" t="s">
        <v>111</v>
      </c>
      <c r="B83" s="289" t="s">
        <v>221</v>
      </c>
      <c r="C83" s="285" t="s">
        <v>222</v>
      </c>
      <c r="D83" s="288"/>
      <c r="E83" s="290">
        <v>2.9195763820156317E-2</v>
      </c>
      <c r="F83" s="290">
        <v>2.9195763820156317E-2</v>
      </c>
      <c r="G83" s="290">
        <v>2.9195763820156317E-2</v>
      </c>
      <c r="H83" s="290">
        <v>2.9195763820156317E-2</v>
      </c>
      <c r="I83" s="290">
        <v>2.9195763820156317E-2</v>
      </c>
    </row>
    <row r="84" spans="1:9" x14ac:dyDescent="0.3">
      <c r="A84" s="286" t="s">
        <v>111</v>
      </c>
      <c r="B84" s="289" t="s">
        <v>223</v>
      </c>
      <c r="C84" s="285" t="s">
        <v>224</v>
      </c>
      <c r="D84" s="288"/>
      <c r="E84" s="290">
        <v>2.9195763820156317E-2</v>
      </c>
      <c r="F84" s="290">
        <v>2.9195763820156317E-2</v>
      </c>
      <c r="G84" s="290">
        <v>2.9195763820156317E-2</v>
      </c>
      <c r="H84" s="290">
        <v>2.9195763820156317E-2</v>
      </c>
      <c r="I84" s="290">
        <v>2.9195763820156317E-2</v>
      </c>
    </row>
    <row r="85" spans="1:9" x14ac:dyDescent="0.3">
      <c r="A85" s="286" t="s">
        <v>111</v>
      </c>
      <c r="B85" s="289" t="s">
        <v>225</v>
      </c>
      <c r="C85" s="285" t="s">
        <v>226</v>
      </c>
      <c r="D85" s="288"/>
      <c r="E85" s="290">
        <v>2.9195763820156317E-2</v>
      </c>
      <c r="F85" s="290">
        <v>2.9195763820156317E-2</v>
      </c>
      <c r="G85" s="290">
        <v>2.9195763820156317E-2</v>
      </c>
      <c r="H85" s="290">
        <v>2.9195763820156317E-2</v>
      </c>
      <c r="I85" s="290">
        <v>2.9195763820156317E-2</v>
      </c>
    </row>
    <row r="86" spans="1:9" x14ac:dyDescent="0.3"/>
    <row r="87" spans="1:9" x14ac:dyDescent="0.3">
      <c r="A87" s="286" t="s">
        <v>115</v>
      </c>
      <c r="B87" s="289" t="s">
        <v>217</v>
      </c>
      <c r="C87" s="285" t="s">
        <v>218</v>
      </c>
      <c r="D87" s="288"/>
      <c r="E87" s="290">
        <v>2.9195763820156317E-2</v>
      </c>
      <c r="F87" s="290">
        <v>2.9195763820156317E-2</v>
      </c>
      <c r="G87" s="290">
        <v>2.9195763820156317E-2</v>
      </c>
      <c r="H87" s="290">
        <v>2.9195763820156317E-2</v>
      </c>
      <c r="I87" s="290">
        <v>2.9195763820156317E-2</v>
      </c>
    </row>
    <row r="88" spans="1:9" x14ac:dyDescent="0.3">
      <c r="A88" s="286" t="s">
        <v>115</v>
      </c>
      <c r="B88" s="289" t="s">
        <v>219</v>
      </c>
      <c r="C88" s="285" t="s">
        <v>220</v>
      </c>
      <c r="D88" s="288"/>
      <c r="E88" s="290">
        <v>2.9195763820156317E-2</v>
      </c>
      <c r="F88" s="290">
        <v>2.9195763820156317E-2</v>
      </c>
      <c r="G88" s="290">
        <v>2.9195763820156317E-2</v>
      </c>
      <c r="H88" s="290">
        <v>2.9195763820156317E-2</v>
      </c>
      <c r="I88" s="290">
        <v>2.9195763820156317E-2</v>
      </c>
    </row>
    <row r="89" spans="1:9" x14ac:dyDescent="0.3">
      <c r="A89" s="286" t="s">
        <v>115</v>
      </c>
      <c r="B89" s="289" t="s">
        <v>221</v>
      </c>
      <c r="C89" s="285" t="s">
        <v>222</v>
      </c>
      <c r="D89" s="288"/>
      <c r="E89" s="290">
        <v>2.9195763820156317E-2</v>
      </c>
      <c r="F89" s="290">
        <v>2.9195763820156317E-2</v>
      </c>
      <c r="G89" s="290">
        <v>2.9195763820156317E-2</v>
      </c>
      <c r="H89" s="290">
        <v>2.9195763820156317E-2</v>
      </c>
      <c r="I89" s="290">
        <v>2.9195763820156317E-2</v>
      </c>
    </row>
    <row r="90" spans="1:9" x14ac:dyDescent="0.3">
      <c r="A90" s="286" t="s">
        <v>115</v>
      </c>
      <c r="B90" s="289" t="s">
        <v>223</v>
      </c>
      <c r="C90" s="285" t="s">
        <v>224</v>
      </c>
      <c r="D90" s="288"/>
      <c r="E90" s="290">
        <v>2.9195763820156317E-2</v>
      </c>
      <c r="F90" s="290">
        <v>2.9195763820156317E-2</v>
      </c>
      <c r="G90" s="290">
        <v>2.9195763820156317E-2</v>
      </c>
      <c r="H90" s="290">
        <v>2.9195763820156317E-2</v>
      </c>
      <c r="I90" s="290">
        <v>2.9195763820156317E-2</v>
      </c>
    </row>
    <row r="91" spans="1:9" x14ac:dyDescent="0.3">
      <c r="A91" s="286" t="s">
        <v>115</v>
      </c>
      <c r="B91" s="289" t="s">
        <v>225</v>
      </c>
      <c r="C91" s="285" t="s">
        <v>226</v>
      </c>
      <c r="D91" s="288"/>
      <c r="E91" s="290">
        <v>2.9195763820156317E-2</v>
      </c>
      <c r="F91" s="290">
        <v>2.9195763820156317E-2</v>
      </c>
      <c r="G91" s="290">
        <v>2.9195763820156317E-2</v>
      </c>
      <c r="H91" s="290">
        <v>2.9195763820156317E-2</v>
      </c>
      <c r="I91" s="290">
        <v>2.9195763820156317E-2</v>
      </c>
    </row>
    <row r="92" spans="1:9" x14ac:dyDescent="0.3"/>
    <row r="93" spans="1:9" x14ac:dyDescent="0.3">
      <c r="A93" s="286" t="s">
        <v>117</v>
      </c>
      <c r="B93" s="289" t="s">
        <v>217</v>
      </c>
      <c r="C93" s="285" t="s">
        <v>218</v>
      </c>
      <c r="D93" s="288"/>
      <c r="E93" s="290">
        <v>3.1136940290744652E-2</v>
      </c>
      <c r="F93" s="290">
        <v>3.1136940290744652E-2</v>
      </c>
      <c r="G93" s="290">
        <v>3.1136940290744652E-2</v>
      </c>
      <c r="H93" s="290">
        <v>3.1136940290744652E-2</v>
      </c>
      <c r="I93" s="290">
        <v>3.1136940290744652E-2</v>
      </c>
    </row>
    <row r="94" spans="1:9" x14ac:dyDescent="0.3">
      <c r="A94" s="286" t="s">
        <v>117</v>
      </c>
      <c r="B94" s="289" t="s">
        <v>219</v>
      </c>
      <c r="C94" s="285" t="s">
        <v>220</v>
      </c>
      <c r="D94" s="288"/>
      <c r="E94" s="290">
        <v>3.1136940290744652E-2</v>
      </c>
      <c r="F94" s="290">
        <v>3.1136940290744652E-2</v>
      </c>
      <c r="G94" s="290">
        <v>3.1136940290744652E-2</v>
      </c>
      <c r="H94" s="290">
        <v>3.1136940290744652E-2</v>
      </c>
      <c r="I94" s="290">
        <v>3.1136940290744652E-2</v>
      </c>
    </row>
    <row r="95" spans="1:9" x14ac:dyDescent="0.3">
      <c r="A95" s="286" t="s">
        <v>117</v>
      </c>
      <c r="B95" s="289" t="s">
        <v>221</v>
      </c>
      <c r="C95" s="285" t="s">
        <v>222</v>
      </c>
      <c r="D95" s="288"/>
      <c r="E95" s="290">
        <v>2.9195763820156317E-2</v>
      </c>
      <c r="F95" s="290">
        <v>2.9195763820156317E-2</v>
      </c>
      <c r="G95" s="290">
        <v>2.9195763820156317E-2</v>
      </c>
      <c r="H95" s="290">
        <v>2.9195763820156317E-2</v>
      </c>
      <c r="I95" s="290">
        <v>2.9195763820156317E-2</v>
      </c>
    </row>
    <row r="96" spans="1:9" x14ac:dyDescent="0.3">
      <c r="A96" s="286" t="s">
        <v>117</v>
      </c>
      <c r="B96" s="289" t="s">
        <v>223</v>
      </c>
      <c r="C96" s="285" t="s">
        <v>224</v>
      </c>
      <c r="D96" s="288"/>
      <c r="E96" s="290">
        <v>2.9195763820156317E-2</v>
      </c>
      <c r="F96" s="290">
        <v>2.9195763820156317E-2</v>
      </c>
      <c r="G96" s="290">
        <v>2.9195763820156317E-2</v>
      </c>
      <c r="H96" s="290">
        <v>2.9195763820156317E-2</v>
      </c>
      <c r="I96" s="290">
        <v>2.9195763820156317E-2</v>
      </c>
    </row>
    <row r="97" spans="1:9" x14ac:dyDescent="0.3">
      <c r="A97" s="286" t="s">
        <v>117</v>
      </c>
      <c r="B97" s="289" t="s">
        <v>225</v>
      </c>
      <c r="C97" s="285" t="s">
        <v>226</v>
      </c>
      <c r="D97" s="288"/>
      <c r="E97" s="290">
        <v>2.9195763820156317E-2</v>
      </c>
      <c r="F97" s="290">
        <v>2.9195763820156317E-2</v>
      </c>
      <c r="G97" s="290">
        <v>2.9195763820156317E-2</v>
      </c>
      <c r="H97" s="290">
        <v>2.9195763820156317E-2</v>
      </c>
      <c r="I97" s="290">
        <v>2.9195763820156317E-2</v>
      </c>
    </row>
    <row r="98" spans="1:9" x14ac:dyDescent="0.3"/>
    <row r="99" spans="1:9" x14ac:dyDescent="0.3">
      <c r="A99" s="286" t="s">
        <v>113</v>
      </c>
      <c r="B99" s="289" t="s">
        <v>217</v>
      </c>
      <c r="C99" s="285" t="s">
        <v>218</v>
      </c>
      <c r="D99" s="288"/>
      <c r="E99" s="290">
        <v>2.9195763820156317E-2</v>
      </c>
      <c r="F99" s="290">
        <v>2.9195763820156317E-2</v>
      </c>
      <c r="G99" s="290">
        <v>2.9195763820156317E-2</v>
      </c>
      <c r="H99" s="290">
        <v>2.9195763820156317E-2</v>
      </c>
      <c r="I99" s="290">
        <v>2.9195763820156317E-2</v>
      </c>
    </row>
    <row r="100" spans="1:9" x14ac:dyDescent="0.3">
      <c r="A100" s="286" t="s">
        <v>113</v>
      </c>
      <c r="B100" s="289" t="s">
        <v>219</v>
      </c>
      <c r="C100" s="285" t="s">
        <v>220</v>
      </c>
      <c r="D100" s="288"/>
      <c r="E100" s="290">
        <v>2.9195763820156317E-2</v>
      </c>
      <c r="F100" s="290">
        <v>2.9195763820156317E-2</v>
      </c>
      <c r="G100" s="290">
        <v>2.9195763820156317E-2</v>
      </c>
      <c r="H100" s="290">
        <v>2.9195763820156317E-2</v>
      </c>
      <c r="I100" s="290">
        <v>2.9195763820156317E-2</v>
      </c>
    </row>
    <row r="101" spans="1:9" x14ac:dyDescent="0.3">
      <c r="A101" s="286" t="s">
        <v>113</v>
      </c>
      <c r="B101" s="289" t="s">
        <v>221</v>
      </c>
      <c r="C101" s="285" t="s">
        <v>222</v>
      </c>
      <c r="D101" s="288"/>
      <c r="E101" s="290">
        <v>2.9195763820156317E-2</v>
      </c>
      <c r="F101" s="290">
        <v>2.9195763820156317E-2</v>
      </c>
      <c r="G101" s="290">
        <v>2.9195763820156317E-2</v>
      </c>
      <c r="H101" s="290">
        <v>2.9195763820156317E-2</v>
      </c>
      <c r="I101" s="290">
        <v>2.9195763820156317E-2</v>
      </c>
    </row>
    <row r="102" spans="1:9" x14ac:dyDescent="0.3">
      <c r="A102" s="286" t="s">
        <v>113</v>
      </c>
      <c r="B102" s="289" t="s">
        <v>223</v>
      </c>
      <c r="C102" s="285" t="s">
        <v>224</v>
      </c>
      <c r="D102" s="288"/>
      <c r="E102" s="290">
        <v>2.9195763820156317E-2</v>
      </c>
      <c r="F102" s="290">
        <v>2.9195763820156317E-2</v>
      </c>
      <c r="G102" s="290">
        <v>2.9195763820156317E-2</v>
      </c>
      <c r="H102" s="290">
        <v>2.9195763820156317E-2</v>
      </c>
      <c r="I102" s="290">
        <v>2.9195763820156317E-2</v>
      </c>
    </row>
    <row r="103" spans="1:9" x14ac:dyDescent="0.3">
      <c r="A103" s="286" t="s">
        <v>113</v>
      </c>
      <c r="B103" s="289" t="s">
        <v>225</v>
      </c>
      <c r="C103" s="285" t="s">
        <v>226</v>
      </c>
      <c r="D103" s="288"/>
      <c r="E103" s="290">
        <v>2.9195763820156317E-2</v>
      </c>
      <c r="F103" s="290">
        <v>2.9195763820156317E-2</v>
      </c>
      <c r="G103" s="290">
        <v>2.9195763820156317E-2</v>
      </c>
      <c r="H103" s="290">
        <v>2.9195763820156317E-2</v>
      </c>
      <c r="I103" s="290">
        <v>2.9195763820156317E-2</v>
      </c>
    </row>
    <row r="104" spans="1:9" x14ac:dyDescent="0.3"/>
    <row r="105" spans="1:9" x14ac:dyDescent="0.3"/>
    <row r="106" spans="1:9" x14ac:dyDescent="0.3"/>
    <row r="107" spans="1:9" x14ac:dyDescent="0.3"/>
    <row r="108" spans="1:9" x14ac:dyDescent="0.3"/>
    <row r="109" spans="1:9" x14ac:dyDescent="0.3"/>
    <row r="110" spans="1:9"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921F-3193-4E9E-A597-3D64F4C24AF1}">
  <sheetPr>
    <pageSetUpPr fitToPage="1"/>
  </sheetPr>
  <dimension ref="A1:H450"/>
  <sheetViews>
    <sheetView showGridLines="0" zoomScale="80" zoomScaleNormal="80" workbookViewId="0"/>
  </sheetViews>
  <sheetFormatPr defaultColWidth="0" defaultRowHeight="12.5" zeroHeight="1" x14ac:dyDescent="0.25"/>
  <cols>
    <col min="1" max="1" width="8.7265625" customWidth="1"/>
    <col min="2" max="2" width="30" bestFit="1" customWidth="1"/>
    <col min="3" max="3" width="123.1796875" bestFit="1" customWidth="1"/>
    <col min="4" max="4" width="8.7265625" customWidth="1"/>
    <col min="5" max="5" width="18.26953125" customWidth="1"/>
    <col min="6" max="7" width="17.54296875" customWidth="1"/>
    <col min="8" max="8" width="17" bestFit="1" customWidth="1"/>
    <col min="9" max="16384" width="8.7265625" hidden="1"/>
  </cols>
  <sheetData>
    <row r="1" spans="1:7" x14ac:dyDescent="0.25"/>
    <row r="2" spans="1:7" ht="14.5" x14ac:dyDescent="0.35">
      <c r="C2" s="324" t="s">
        <v>227</v>
      </c>
      <c r="E2" s="324" t="s">
        <v>228</v>
      </c>
    </row>
    <row r="3" spans="1:7" x14ac:dyDescent="0.25"/>
    <row r="4" spans="1:7" ht="14.5" x14ac:dyDescent="0.35">
      <c r="A4" s="325" t="s">
        <v>229</v>
      </c>
      <c r="B4" s="325" t="s">
        <v>230</v>
      </c>
      <c r="C4" s="325" t="s">
        <v>231</v>
      </c>
      <c r="D4" s="325" t="s">
        <v>232</v>
      </c>
      <c r="E4" s="325" t="s">
        <v>233</v>
      </c>
      <c r="F4" s="325" t="s">
        <v>125</v>
      </c>
      <c r="G4" s="325" t="s">
        <v>234</v>
      </c>
    </row>
    <row r="5" spans="1:7" ht="14.5" x14ac:dyDescent="0.35">
      <c r="A5" s="325" t="s">
        <v>229</v>
      </c>
      <c r="B5" s="325" t="s">
        <v>230</v>
      </c>
      <c r="C5" s="325" t="s">
        <v>231</v>
      </c>
      <c r="D5" s="325" t="s">
        <v>232</v>
      </c>
      <c r="E5" s="325" t="s">
        <v>233</v>
      </c>
      <c r="F5" s="325" t="s">
        <v>235</v>
      </c>
      <c r="G5" s="325" t="s">
        <v>235</v>
      </c>
    </row>
    <row r="6" spans="1:7" x14ac:dyDescent="0.25">
      <c r="A6" t="s">
        <v>85</v>
      </c>
      <c r="B6" t="s">
        <v>236</v>
      </c>
      <c r="C6" t="s">
        <v>237</v>
      </c>
      <c r="D6" t="s">
        <v>238</v>
      </c>
      <c r="E6" t="s">
        <v>239</v>
      </c>
      <c r="F6" s="327">
        <v>0</v>
      </c>
      <c r="G6" s="328" t="s">
        <v>240</v>
      </c>
    </row>
    <row r="7" spans="1:7" x14ac:dyDescent="0.25">
      <c r="A7" t="s">
        <v>85</v>
      </c>
      <c r="B7" t="s">
        <v>241</v>
      </c>
      <c r="C7" t="s">
        <v>242</v>
      </c>
      <c r="D7" t="s">
        <v>238</v>
      </c>
      <c r="E7" t="s">
        <v>239</v>
      </c>
      <c r="F7" s="327">
        <v>0</v>
      </c>
      <c r="G7" s="328" t="s">
        <v>240</v>
      </c>
    </row>
    <row r="8" spans="1:7" x14ac:dyDescent="0.25">
      <c r="A8" t="s">
        <v>85</v>
      </c>
      <c r="B8" t="s">
        <v>243</v>
      </c>
      <c r="C8" t="s">
        <v>244</v>
      </c>
      <c r="D8" t="s">
        <v>238</v>
      </c>
      <c r="E8" t="s">
        <v>239</v>
      </c>
      <c r="F8" s="327">
        <v>0</v>
      </c>
      <c r="G8" s="328" t="s">
        <v>240</v>
      </c>
    </row>
    <row r="9" spans="1:7" x14ac:dyDescent="0.25">
      <c r="A9" t="s">
        <v>85</v>
      </c>
      <c r="B9" t="s">
        <v>245</v>
      </c>
      <c r="C9" t="s">
        <v>246</v>
      </c>
      <c r="D9" t="s">
        <v>238</v>
      </c>
      <c r="E9" t="s">
        <v>239</v>
      </c>
      <c r="F9" s="327">
        <v>0</v>
      </c>
      <c r="G9" s="328" t="s">
        <v>240</v>
      </c>
    </row>
    <row r="10" spans="1:7" x14ac:dyDescent="0.25">
      <c r="A10" t="s">
        <v>85</v>
      </c>
      <c r="B10" t="s">
        <v>247</v>
      </c>
      <c r="C10" t="s">
        <v>248</v>
      </c>
      <c r="D10" t="s">
        <v>238</v>
      </c>
      <c r="E10" t="s">
        <v>239</v>
      </c>
      <c r="F10" s="327">
        <v>12.9783836530051</v>
      </c>
      <c r="G10" s="328" t="s">
        <v>240</v>
      </c>
    </row>
    <row r="11" spans="1:7" x14ac:dyDescent="0.25">
      <c r="A11" t="s">
        <v>85</v>
      </c>
      <c r="B11" t="s">
        <v>249</v>
      </c>
      <c r="C11" t="s">
        <v>250</v>
      </c>
      <c r="D11" t="s">
        <v>238</v>
      </c>
      <c r="E11" t="s">
        <v>239</v>
      </c>
      <c r="F11" s="327">
        <v>-5.8729569898240896</v>
      </c>
      <c r="G11" s="328" t="s">
        <v>240</v>
      </c>
    </row>
    <row r="12" spans="1:7" x14ac:dyDescent="0.25">
      <c r="A12" t="s">
        <v>85</v>
      </c>
      <c r="B12" t="s">
        <v>251</v>
      </c>
      <c r="C12" t="s">
        <v>252</v>
      </c>
      <c r="D12" t="s">
        <v>238</v>
      </c>
      <c r="E12" t="s">
        <v>239</v>
      </c>
      <c r="F12" s="327">
        <v>0</v>
      </c>
      <c r="G12" s="328" t="s">
        <v>240</v>
      </c>
    </row>
    <row r="13" spans="1:7" x14ac:dyDescent="0.25">
      <c r="A13" t="s">
        <v>85</v>
      </c>
      <c r="B13" t="s">
        <v>253</v>
      </c>
      <c r="C13" t="s">
        <v>254</v>
      </c>
      <c r="D13" t="s">
        <v>238</v>
      </c>
      <c r="E13" t="s">
        <v>239</v>
      </c>
      <c r="F13" s="327">
        <v>-3.6042849343045601E-2</v>
      </c>
      <c r="G13" s="328" t="s">
        <v>240</v>
      </c>
    </row>
    <row r="14" spans="1:7" x14ac:dyDescent="0.25">
      <c r="A14" t="s">
        <v>85</v>
      </c>
      <c r="B14" t="s">
        <v>255</v>
      </c>
      <c r="C14" t="s">
        <v>256</v>
      </c>
      <c r="D14" t="s">
        <v>238</v>
      </c>
      <c r="E14" t="s">
        <v>239</v>
      </c>
      <c r="F14" s="327">
        <v>-0.52535516814814998</v>
      </c>
      <c r="G14" s="328" t="s">
        <v>240</v>
      </c>
    </row>
    <row r="15" spans="1:7" x14ac:dyDescent="0.25">
      <c r="A15" t="s">
        <v>85</v>
      </c>
      <c r="B15" t="s">
        <v>257</v>
      </c>
      <c r="C15" t="s">
        <v>258</v>
      </c>
      <c r="D15" t="s">
        <v>238</v>
      </c>
      <c r="E15" t="s">
        <v>239</v>
      </c>
      <c r="F15" s="327">
        <v>0</v>
      </c>
      <c r="G15" s="328" t="s">
        <v>240</v>
      </c>
    </row>
    <row r="16" spans="1:7" x14ac:dyDescent="0.25">
      <c r="A16" t="s">
        <v>85</v>
      </c>
      <c r="B16" t="s">
        <v>259</v>
      </c>
      <c r="C16" t="s">
        <v>260</v>
      </c>
      <c r="D16" t="s">
        <v>238</v>
      </c>
      <c r="E16" t="s">
        <v>239</v>
      </c>
      <c r="F16" s="328" t="s">
        <v>240</v>
      </c>
      <c r="G16" s="327">
        <v>0.27183119247648202</v>
      </c>
    </row>
    <row r="17" spans="1:7" x14ac:dyDescent="0.25">
      <c r="A17" t="s">
        <v>85</v>
      </c>
      <c r="B17" t="s">
        <v>261</v>
      </c>
      <c r="C17" t="s">
        <v>262</v>
      </c>
      <c r="D17" t="s">
        <v>238</v>
      </c>
      <c r="E17" t="s">
        <v>239</v>
      </c>
      <c r="F17" s="328" t="s">
        <v>240</v>
      </c>
      <c r="G17" s="327">
        <v>3.8398709426435298</v>
      </c>
    </row>
    <row r="18" spans="1:7" x14ac:dyDescent="0.25">
      <c r="A18" t="s">
        <v>85</v>
      </c>
      <c r="B18" t="s">
        <v>263</v>
      </c>
      <c r="C18" t="s">
        <v>264</v>
      </c>
      <c r="D18" t="s">
        <v>238</v>
      </c>
      <c r="E18" t="s">
        <v>239</v>
      </c>
      <c r="F18" s="328" t="s">
        <v>240</v>
      </c>
      <c r="G18" s="327">
        <v>6.0725425691256198</v>
      </c>
    </row>
    <row r="19" spans="1:7" x14ac:dyDescent="0.25">
      <c r="A19" t="s">
        <v>85</v>
      </c>
      <c r="B19" t="s">
        <v>265</v>
      </c>
      <c r="C19" t="s">
        <v>266</v>
      </c>
      <c r="D19" t="s">
        <v>238</v>
      </c>
      <c r="E19" t="s">
        <v>239</v>
      </c>
      <c r="F19" s="328" t="s">
        <v>240</v>
      </c>
      <c r="G19" s="327">
        <v>0.43413922783446401</v>
      </c>
    </row>
    <row r="20" spans="1:7" x14ac:dyDescent="0.25">
      <c r="A20" t="s">
        <v>85</v>
      </c>
      <c r="B20" t="s">
        <v>267</v>
      </c>
      <c r="C20" t="s">
        <v>268</v>
      </c>
      <c r="D20" t="s">
        <v>238</v>
      </c>
      <c r="E20" t="s">
        <v>239</v>
      </c>
      <c r="F20" s="328" t="s">
        <v>240</v>
      </c>
      <c r="G20" s="327">
        <v>0</v>
      </c>
    </row>
    <row r="21" spans="1:7" x14ac:dyDescent="0.25">
      <c r="A21" t="s">
        <v>85</v>
      </c>
      <c r="B21" t="s">
        <v>269</v>
      </c>
      <c r="C21" t="s">
        <v>270</v>
      </c>
      <c r="D21" t="s">
        <v>238</v>
      </c>
      <c r="E21" t="s">
        <v>239</v>
      </c>
      <c r="F21" s="327">
        <v>0</v>
      </c>
      <c r="G21" s="328" t="s">
        <v>240</v>
      </c>
    </row>
    <row r="22" spans="1:7" x14ac:dyDescent="0.25">
      <c r="A22" t="s">
        <v>85</v>
      </c>
      <c r="B22" t="s">
        <v>271</v>
      </c>
      <c r="C22" t="s">
        <v>272</v>
      </c>
      <c r="D22" t="s">
        <v>238</v>
      </c>
      <c r="E22" t="s">
        <v>239</v>
      </c>
      <c r="F22" s="327">
        <v>0</v>
      </c>
      <c r="G22" s="328" t="s">
        <v>240</v>
      </c>
    </row>
    <row r="23" spans="1:7" x14ac:dyDescent="0.25">
      <c r="A23" t="s">
        <v>85</v>
      </c>
      <c r="B23" t="s">
        <v>273</v>
      </c>
      <c r="C23" t="s">
        <v>274</v>
      </c>
      <c r="D23" t="s">
        <v>238</v>
      </c>
      <c r="E23" t="s">
        <v>239</v>
      </c>
      <c r="F23" s="327">
        <v>0</v>
      </c>
      <c r="G23" s="328" t="s">
        <v>240</v>
      </c>
    </row>
    <row r="24" spans="1:7" x14ac:dyDescent="0.25">
      <c r="A24" t="s">
        <v>85</v>
      </c>
      <c r="B24" t="s">
        <v>275</v>
      </c>
      <c r="C24" t="s">
        <v>276</v>
      </c>
      <c r="D24" t="s">
        <v>238</v>
      </c>
      <c r="E24" t="s">
        <v>239</v>
      </c>
      <c r="F24" s="327">
        <v>0</v>
      </c>
      <c r="G24" s="328" t="s">
        <v>240</v>
      </c>
    </row>
    <row r="25" spans="1:7" x14ac:dyDescent="0.25">
      <c r="A25" t="s">
        <v>85</v>
      </c>
      <c r="B25" t="s">
        <v>277</v>
      </c>
      <c r="C25" t="s">
        <v>278</v>
      </c>
      <c r="D25" t="s">
        <v>238</v>
      </c>
      <c r="E25" t="s">
        <v>239</v>
      </c>
      <c r="F25" s="327">
        <v>0</v>
      </c>
      <c r="G25" s="328" t="s">
        <v>240</v>
      </c>
    </row>
    <row r="26" spans="1:7" x14ac:dyDescent="0.25">
      <c r="A26" t="s">
        <v>85</v>
      </c>
      <c r="B26" t="s">
        <v>279</v>
      </c>
      <c r="C26" t="s">
        <v>280</v>
      </c>
      <c r="D26" t="s">
        <v>238</v>
      </c>
      <c r="E26" t="s">
        <v>239</v>
      </c>
      <c r="F26" s="327">
        <v>0</v>
      </c>
      <c r="G26" s="328" t="s">
        <v>240</v>
      </c>
    </row>
    <row r="27" spans="1:7" x14ac:dyDescent="0.25">
      <c r="A27" t="s">
        <v>85</v>
      </c>
      <c r="B27" t="s">
        <v>281</v>
      </c>
      <c r="C27" t="s">
        <v>282</v>
      </c>
      <c r="D27" t="s">
        <v>238</v>
      </c>
      <c r="E27" t="s">
        <v>239</v>
      </c>
      <c r="F27" s="327">
        <v>0</v>
      </c>
      <c r="G27" s="328" t="s">
        <v>240</v>
      </c>
    </row>
    <row r="28" spans="1:7" x14ac:dyDescent="0.25">
      <c r="A28" t="s">
        <v>85</v>
      </c>
      <c r="B28" t="s">
        <v>283</v>
      </c>
      <c r="C28" t="s">
        <v>284</v>
      </c>
      <c r="D28" t="s">
        <v>238</v>
      </c>
      <c r="E28" t="s">
        <v>239</v>
      </c>
      <c r="F28" s="327">
        <v>0</v>
      </c>
      <c r="G28" s="328" t="s">
        <v>240</v>
      </c>
    </row>
    <row r="29" spans="1:7" x14ac:dyDescent="0.25">
      <c r="A29" t="s">
        <v>87</v>
      </c>
      <c r="B29" t="s">
        <v>236</v>
      </c>
      <c r="C29" t="s">
        <v>237</v>
      </c>
      <c r="D29" t="s">
        <v>238</v>
      </c>
      <c r="E29" t="s">
        <v>239</v>
      </c>
      <c r="F29" s="327">
        <v>0</v>
      </c>
      <c r="G29" s="328" t="s">
        <v>240</v>
      </c>
    </row>
    <row r="30" spans="1:7" x14ac:dyDescent="0.25">
      <c r="A30" t="s">
        <v>87</v>
      </c>
      <c r="B30" t="s">
        <v>241</v>
      </c>
      <c r="C30" t="s">
        <v>242</v>
      </c>
      <c r="D30" t="s">
        <v>238</v>
      </c>
      <c r="E30" t="s">
        <v>239</v>
      </c>
      <c r="F30" s="327">
        <v>0</v>
      </c>
      <c r="G30" s="328" t="s">
        <v>240</v>
      </c>
    </row>
    <row r="31" spans="1:7" x14ac:dyDescent="0.25">
      <c r="A31" t="s">
        <v>87</v>
      </c>
      <c r="B31" t="s">
        <v>243</v>
      </c>
      <c r="C31" t="s">
        <v>244</v>
      </c>
      <c r="D31" t="s">
        <v>238</v>
      </c>
      <c r="E31" t="s">
        <v>239</v>
      </c>
      <c r="F31" s="327">
        <v>0</v>
      </c>
      <c r="G31" s="328" t="s">
        <v>240</v>
      </c>
    </row>
    <row r="32" spans="1:7" x14ac:dyDescent="0.25">
      <c r="A32" t="s">
        <v>87</v>
      </c>
      <c r="B32" t="s">
        <v>245</v>
      </c>
      <c r="C32" t="s">
        <v>246</v>
      </c>
      <c r="D32" t="s">
        <v>238</v>
      </c>
      <c r="E32" t="s">
        <v>239</v>
      </c>
      <c r="F32" s="327">
        <v>0</v>
      </c>
      <c r="G32" s="328" t="s">
        <v>240</v>
      </c>
    </row>
    <row r="33" spans="1:7" x14ac:dyDescent="0.25">
      <c r="A33" t="s">
        <v>87</v>
      </c>
      <c r="B33" t="s">
        <v>247</v>
      </c>
      <c r="C33" t="s">
        <v>248</v>
      </c>
      <c r="D33" t="s">
        <v>238</v>
      </c>
      <c r="E33" t="s">
        <v>239</v>
      </c>
      <c r="F33" s="327">
        <v>4.8391277518975997</v>
      </c>
      <c r="G33" s="328" t="s">
        <v>240</v>
      </c>
    </row>
    <row r="34" spans="1:7" x14ac:dyDescent="0.25">
      <c r="A34" t="s">
        <v>87</v>
      </c>
      <c r="B34" t="s">
        <v>249</v>
      </c>
      <c r="C34" t="s">
        <v>250</v>
      </c>
      <c r="D34" t="s">
        <v>238</v>
      </c>
      <c r="E34" t="s">
        <v>239</v>
      </c>
      <c r="F34" s="327">
        <v>-1.0125320417392201</v>
      </c>
      <c r="G34" s="328" t="s">
        <v>240</v>
      </c>
    </row>
    <row r="35" spans="1:7" x14ac:dyDescent="0.25">
      <c r="A35" t="s">
        <v>87</v>
      </c>
      <c r="B35" t="s">
        <v>251</v>
      </c>
      <c r="C35" t="s">
        <v>252</v>
      </c>
      <c r="D35" t="s">
        <v>238</v>
      </c>
      <c r="E35" t="s">
        <v>239</v>
      </c>
      <c r="F35" s="327">
        <v>0</v>
      </c>
      <c r="G35" s="328" t="s">
        <v>240</v>
      </c>
    </row>
    <row r="36" spans="1:7" x14ac:dyDescent="0.25">
      <c r="A36" t="s">
        <v>87</v>
      </c>
      <c r="B36" t="s">
        <v>253</v>
      </c>
      <c r="C36" t="s">
        <v>254</v>
      </c>
      <c r="D36" t="s">
        <v>238</v>
      </c>
      <c r="E36" t="s">
        <v>239</v>
      </c>
      <c r="F36" s="327">
        <v>2.1591570085385901E-2</v>
      </c>
      <c r="G36" s="328" t="s">
        <v>240</v>
      </c>
    </row>
    <row r="37" spans="1:7" x14ac:dyDescent="0.25">
      <c r="A37" t="s">
        <v>87</v>
      </c>
      <c r="B37" t="s">
        <v>255</v>
      </c>
      <c r="C37" t="s">
        <v>256</v>
      </c>
      <c r="D37" t="s">
        <v>238</v>
      </c>
      <c r="E37" t="s">
        <v>239</v>
      </c>
      <c r="F37" s="327">
        <v>4.4798875291745199E-2</v>
      </c>
      <c r="G37" s="328" t="s">
        <v>240</v>
      </c>
    </row>
    <row r="38" spans="1:7" x14ac:dyDescent="0.25">
      <c r="A38" t="s">
        <v>87</v>
      </c>
      <c r="B38" t="s">
        <v>257</v>
      </c>
      <c r="C38" t="s">
        <v>258</v>
      </c>
      <c r="D38" t="s">
        <v>238</v>
      </c>
      <c r="E38" t="s">
        <v>239</v>
      </c>
      <c r="F38" s="327">
        <v>0</v>
      </c>
      <c r="G38" s="328" t="s">
        <v>240</v>
      </c>
    </row>
    <row r="39" spans="1:7" x14ac:dyDescent="0.25">
      <c r="A39" t="s">
        <v>87</v>
      </c>
      <c r="B39" t="s">
        <v>259</v>
      </c>
      <c r="C39" t="s">
        <v>260</v>
      </c>
      <c r="D39" t="s">
        <v>238</v>
      </c>
      <c r="E39" t="s">
        <v>239</v>
      </c>
      <c r="F39" s="328" t="s">
        <v>240</v>
      </c>
      <c r="G39" s="327">
        <v>4.3943180863931799E-2</v>
      </c>
    </row>
    <row r="40" spans="1:7" x14ac:dyDescent="0.25">
      <c r="A40" t="s">
        <v>87</v>
      </c>
      <c r="B40" t="s">
        <v>261</v>
      </c>
      <c r="C40" t="s">
        <v>262</v>
      </c>
      <c r="D40" t="s">
        <v>238</v>
      </c>
      <c r="E40" t="s">
        <v>239</v>
      </c>
      <c r="F40" s="328" t="s">
        <v>240</v>
      </c>
      <c r="G40" s="327">
        <v>0.37184466152548801</v>
      </c>
    </row>
    <row r="41" spans="1:7" x14ac:dyDescent="0.25">
      <c r="A41" t="s">
        <v>87</v>
      </c>
      <c r="B41" t="s">
        <v>263</v>
      </c>
      <c r="C41" t="s">
        <v>264</v>
      </c>
      <c r="D41" t="s">
        <v>238</v>
      </c>
      <c r="E41" t="s">
        <v>239</v>
      </c>
      <c r="F41" s="328" t="s">
        <v>240</v>
      </c>
      <c r="G41" s="327">
        <v>0.81816825978530405</v>
      </c>
    </row>
    <row r="42" spans="1:7" x14ac:dyDescent="0.25">
      <c r="A42" t="s">
        <v>87</v>
      </c>
      <c r="B42" t="s">
        <v>265</v>
      </c>
      <c r="C42" t="s">
        <v>266</v>
      </c>
      <c r="D42" t="s">
        <v>238</v>
      </c>
      <c r="E42" t="s">
        <v>239</v>
      </c>
      <c r="F42" s="328" t="s">
        <v>240</v>
      </c>
      <c r="G42" s="327">
        <v>4.9582649408364397E-2</v>
      </c>
    </row>
    <row r="43" spans="1:7" x14ac:dyDescent="0.25">
      <c r="A43" t="s">
        <v>87</v>
      </c>
      <c r="B43" t="s">
        <v>267</v>
      </c>
      <c r="C43" t="s">
        <v>268</v>
      </c>
      <c r="D43" t="s">
        <v>238</v>
      </c>
      <c r="E43" t="s">
        <v>239</v>
      </c>
      <c r="F43" s="328" t="s">
        <v>240</v>
      </c>
      <c r="G43" s="327">
        <v>0</v>
      </c>
    </row>
    <row r="44" spans="1:7" x14ac:dyDescent="0.25">
      <c r="A44" t="s">
        <v>87</v>
      </c>
      <c r="B44" t="s">
        <v>269</v>
      </c>
      <c r="C44" t="s">
        <v>270</v>
      </c>
      <c r="D44" t="s">
        <v>238</v>
      </c>
      <c r="E44" t="s">
        <v>239</v>
      </c>
      <c r="F44" s="327">
        <v>0</v>
      </c>
      <c r="G44" s="328" t="s">
        <v>240</v>
      </c>
    </row>
    <row r="45" spans="1:7" x14ac:dyDescent="0.25">
      <c r="A45" t="s">
        <v>87</v>
      </c>
      <c r="B45" t="s">
        <v>271</v>
      </c>
      <c r="C45" t="s">
        <v>272</v>
      </c>
      <c r="D45" t="s">
        <v>238</v>
      </c>
      <c r="E45" t="s">
        <v>239</v>
      </c>
      <c r="F45" s="327">
        <v>0</v>
      </c>
      <c r="G45" s="328" t="s">
        <v>240</v>
      </c>
    </row>
    <row r="46" spans="1:7" x14ac:dyDescent="0.25">
      <c r="A46" t="s">
        <v>87</v>
      </c>
      <c r="B46" t="s">
        <v>273</v>
      </c>
      <c r="C46" t="s">
        <v>274</v>
      </c>
      <c r="D46" t="s">
        <v>238</v>
      </c>
      <c r="E46" t="s">
        <v>239</v>
      </c>
      <c r="F46" s="327">
        <v>0</v>
      </c>
      <c r="G46" s="328" t="s">
        <v>240</v>
      </c>
    </row>
    <row r="47" spans="1:7" x14ac:dyDescent="0.25">
      <c r="A47" t="s">
        <v>87</v>
      </c>
      <c r="B47" t="s">
        <v>275</v>
      </c>
      <c r="C47" t="s">
        <v>276</v>
      </c>
      <c r="D47" t="s">
        <v>238</v>
      </c>
      <c r="E47" t="s">
        <v>239</v>
      </c>
      <c r="F47" s="327">
        <v>0</v>
      </c>
      <c r="G47" s="328" t="s">
        <v>240</v>
      </c>
    </row>
    <row r="48" spans="1:7" x14ac:dyDescent="0.25">
      <c r="A48" t="s">
        <v>87</v>
      </c>
      <c r="B48" t="s">
        <v>277</v>
      </c>
      <c r="C48" t="s">
        <v>278</v>
      </c>
      <c r="D48" t="s">
        <v>238</v>
      </c>
      <c r="E48" t="s">
        <v>239</v>
      </c>
      <c r="F48" s="327">
        <v>0</v>
      </c>
      <c r="G48" s="328" t="s">
        <v>240</v>
      </c>
    </row>
    <row r="49" spans="1:7" x14ac:dyDescent="0.25">
      <c r="A49" t="s">
        <v>87</v>
      </c>
      <c r="B49" t="s">
        <v>279</v>
      </c>
      <c r="C49" t="s">
        <v>280</v>
      </c>
      <c r="D49" t="s">
        <v>238</v>
      </c>
      <c r="E49" t="s">
        <v>239</v>
      </c>
      <c r="F49" s="327">
        <v>0</v>
      </c>
      <c r="G49" s="328" t="s">
        <v>240</v>
      </c>
    </row>
    <row r="50" spans="1:7" x14ac:dyDescent="0.25">
      <c r="A50" t="s">
        <v>87</v>
      </c>
      <c r="B50" t="s">
        <v>281</v>
      </c>
      <c r="C50" t="s">
        <v>282</v>
      </c>
      <c r="D50" t="s">
        <v>238</v>
      </c>
      <c r="E50" t="s">
        <v>239</v>
      </c>
      <c r="F50" s="327">
        <v>0</v>
      </c>
      <c r="G50" s="328" t="s">
        <v>240</v>
      </c>
    </row>
    <row r="51" spans="1:7" x14ac:dyDescent="0.25">
      <c r="A51" t="s">
        <v>87</v>
      </c>
      <c r="B51" t="s">
        <v>283</v>
      </c>
      <c r="C51" t="s">
        <v>284</v>
      </c>
      <c r="D51" t="s">
        <v>238</v>
      </c>
      <c r="E51" t="s">
        <v>239</v>
      </c>
      <c r="F51" s="327">
        <v>0</v>
      </c>
      <c r="G51" s="328" t="s">
        <v>240</v>
      </c>
    </row>
    <row r="52" spans="1:7" x14ac:dyDescent="0.25">
      <c r="A52" t="s">
        <v>89</v>
      </c>
      <c r="B52" t="s">
        <v>236</v>
      </c>
      <c r="C52" t="s">
        <v>237</v>
      </c>
      <c r="D52" t="s">
        <v>238</v>
      </c>
      <c r="E52" t="s">
        <v>239</v>
      </c>
      <c r="F52" s="327">
        <v>0</v>
      </c>
      <c r="G52" s="328" t="s">
        <v>240</v>
      </c>
    </row>
    <row r="53" spans="1:7" x14ac:dyDescent="0.25">
      <c r="A53" t="s">
        <v>89</v>
      </c>
      <c r="B53" t="s">
        <v>241</v>
      </c>
      <c r="C53" t="s">
        <v>242</v>
      </c>
      <c r="D53" t="s">
        <v>238</v>
      </c>
      <c r="E53" t="s">
        <v>239</v>
      </c>
      <c r="F53" s="327">
        <v>0</v>
      </c>
      <c r="G53" s="328" t="s">
        <v>240</v>
      </c>
    </row>
    <row r="54" spans="1:7" x14ac:dyDescent="0.25">
      <c r="A54" t="s">
        <v>89</v>
      </c>
      <c r="B54" t="s">
        <v>243</v>
      </c>
      <c r="C54" t="s">
        <v>244</v>
      </c>
      <c r="D54" t="s">
        <v>238</v>
      </c>
      <c r="E54" t="s">
        <v>239</v>
      </c>
      <c r="F54" s="327">
        <v>-0.116907573685242</v>
      </c>
      <c r="G54" s="328" t="s">
        <v>240</v>
      </c>
    </row>
    <row r="55" spans="1:7" x14ac:dyDescent="0.25">
      <c r="A55" t="s">
        <v>89</v>
      </c>
      <c r="B55" t="s">
        <v>245</v>
      </c>
      <c r="C55" t="s">
        <v>246</v>
      </c>
      <c r="D55" t="s">
        <v>238</v>
      </c>
      <c r="E55" t="s">
        <v>239</v>
      </c>
      <c r="F55" s="327">
        <v>0</v>
      </c>
      <c r="G55" s="328" t="s">
        <v>240</v>
      </c>
    </row>
    <row r="56" spans="1:7" x14ac:dyDescent="0.25">
      <c r="A56" t="s">
        <v>89</v>
      </c>
      <c r="B56" t="s">
        <v>247</v>
      </c>
      <c r="C56" t="s">
        <v>248</v>
      </c>
      <c r="D56" t="s">
        <v>238</v>
      </c>
      <c r="E56" t="s">
        <v>239</v>
      </c>
      <c r="F56" s="327">
        <v>3.2844271313822402</v>
      </c>
      <c r="G56" s="328" t="s">
        <v>240</v>
      </c>
    </row>
    <row r="57" spans="1:7" x14ac:dyDescent="0.25">
      <c r="A57" t="s">
        <v>89</v>
      </c>
      <c r="B57" t="s">
        <v>249</v>
      </c>
      <c r="C57" t="s">
        <v>250</v>
      </c>
      <c r="D57" t="s">
        <v>238</v>
      </c>
      <c r="E57" t="s">
        <v>239</v>
      </c>
      <c r="F57" s="327">
        <v>-0.13691093002336799</v>
      </c>
      <c r="G57" s="328" t="s">
        <v>240</v>
      </c>
    </row>
    <row r="58" spans="1:7" x14ac:dyDescent="0.25">
      <c r="A58" t="s">
        <v>89</v>
      </c>
      <c r="B58" t="s">
        <v>251</v>
      </c>
      <c r="C58" t="s">
        <v>252</v>
      </c>
      <c r="D58" t="s">
        <v>238</v>
      </c>
      <c r="E58" t="s">
        <v>239</v>
      </c>
      <c r="F58" s="327">
        <v>0</v>
      </c>
      <c r="G58" s="328" t="s">
        <v>240</v>
      </c>
    </row>
    <row r="59" spans="1:7" x14ac:dyDescent="0.25">
      <c r="A59" t="s">
        <v>89</v>
      </c>
      <c r="B59" t="s">
        <v>253</v>
      </c>
      <c r="C59" t="s">
        <v>254</v>
      </c>
      <c r="D59" t="s">
        <v>238</v>
      </c>
      <c r="E59" t="s">
        <v>239</v>
      </c>
      <c r="F59" s="327">
        <v>0</v>
      </c>
      <c r="G59" s="328" t="s">
        <v>240</v>
      </c>
    </row>
    <row r="60" spans="1:7" x14ac:dyDescent="0.25">
      <c r="A60" t="s">
        <v>89</v>
      </c>
      <c r="B60" t="s">
        <v>255</v>
      </c>
      <c r="C60" t="s">
        <v>256</v>
      </c>
      <c r="D60" t="s">
        <v>238</v>
      </c>
      <c r="E60" t="s">
        <v>239</v>
      </c>
      <c r="F60" s="327">
        <v>0</v>
      </c>
      <c r="G60" s="328" t="s">
        <v>240</v>
      </c>
    </row>
    <row r="61" spans="1:7" x14ac:dyDescent="0.25">
      <c r="A61" t="s">
        <v>89</v>
      </c>
      <c r="B61" t="s">
        <v>257</v>
      </c>
      <c r="C61" t="s">
        <v>258</v>
      </c>
      <c r="D61" t="s">
        <v>238</v>
      </c>
      <c r="E61" t="s">
        <v>239</v>
      </c>
      <c r="F61" s="327">
        <v>0</v>
      </c>
      <c r="G61" s="328" t="s">
        <v>240</v>
      </c>
    </row>
    <row r="62" spans="1:7" x14ac:dyDescent="0.25">
      <c r="A62" t="s">
        <v>89</v>
      </c>
      <c r="B62" t="s">
        <v>259</v>
      </c>
      <c r="C62" t="s">
        <v>260</v>
      </c>
      <c r="D62" t="s">
        <v>238</v>
      </c>
      <c r="E62" t="s">
        <v>239</v>
      </c>
      <c r="F62" s="328" t="s">
        <v>240</v>
      </c>
      <c r="G62" s="327">
        <v>-0.14428645206308199</v>
      </c>
    </row>
    <row r="63" spans="1:7" x14ac:dyDescent="0.25">
      <c r="A63" t="s">
        <v>89</v>
      </c>
      <c r="B63" t="s">
        <v>261</v>
      </c>
      <c r="C63" t="s">
        <v>262</v>
      </c>
      <c r="D63" t="s">
        <v>238</v>
      </c>
      <c r="E63" t="s">
        <v>239</v>
      </c>
      <c r="F63" s="328" t="s">
        <v>240</v>
      </c>
      <c r="G63" s="327">
        <v>-3.54839173552128E-2</v>
      </c>
    </row>
    <row r="64" spans="1:7" x14ac:dyDescent="0.25">
      <c r="A64" t="s">
        <v>89</v>
      </c>
      <c r="B64" t="s">
        <v>263</v>
      </c>
      <c r="C64" t="s">
        <v>264</v>
      </c>
      <c r="D64" t="s">
        <v>238</v>
      </c>
      <c r="E64" t="s">
        <v>239</v>
      </c>
      <c r="F64" s="328" t="s">
        <v>240</v>
      </c>
      <c r="G64" s="327">
        <v>-1.7416761831264801E-3</v>
      </c>
    </row>
    <row r="65" spans="1:7" x14ac:dyDescent="0.25">
      <c r="A65" t="s">
        <v>89</v>
      </c>
      <c r="B65" t="s">
        <v>265</v>
      </c>
      <c r="C65" t="s">
        <v>266</v>
      </c>
      <c r="D65" t="s">
        <v>238</v>
      </c>
      <c r="E65" t="s">
        <v>239</v>
      </c>
      <c r="F65" s="328" t="s">
        <v>240</v>
      </c>
      <c r="G65" s="327">
        <v>0</v>
      </c>
    </row>
    <row r="66" spans="1:7" x14ac:dyDescent="0.25">
      <c r="A66" t="s">
        <v>89</v>
      </c>
      <c r="B66" t="s">
        <v>267</v>
      </c>
      <c r="C66" t="s">
        <v>268</v>
      </c>
      <c r="D66" t="s">
        <v>238</v>
      </c>
      <c r="E66" t="s">
        <v>239</v>
      </c>
      <c r="F66" s="328" t="s">
        <v>240</v>
      </c>
      <c r="G66" s="327">
        <v>0</v>
      </c>
    </row>
    <row r="67" spans="1:7" x14ac:dyDescent="0.25">
      <c r="A67" t="s">
        <v>89</v>
      </c>
      <c r="B67" t="s">
        <v>269</v>
      </c>
      <c r="C67" t="s">
        <v>270</v>
      </c>
      <c r="D67" t="s">
        <v>238</v>
      </c>
      <c r="E67" t="s">
        <v>239</v>
      </c>
      <c r="F67" s="327">
        <v>0</v>
      </c>
      <c r="G67" s="328" t="s">
        <v>240</v>
      </c>
    </row>
    <row r="68" spans="1:7" x14ac:dyDescent="0.25">
      <c r="A68" t="s">
        <v>89</v>
      </c>
      <c r="B68" t="s">
        <v>271</v>
      </c>
      <c r="C68" t="s">
        <v>272</v>
      </c>
      <c r="D68" t="s">
        <v>238</v>
      </c>
      <c r="E68" t="s">
        <v>239</v>
      </c>
      <c r="F68" s="327">
        <v>0</v>
      </c>
      <c r="G68" s="328" t="s">
        <v>240</v>
      </c>
    </row>
    <row r="69" spans="1:7" x14ac:dyDescent="0.25">
      <c r="A69" t="s">
        <v>89</v>
      </c>
      <c r="B69" t="s">
        <v>273</v>
      </c>
      <c r="C69" t="s">
        <v>274</v>
      </c>
      <c r="D69" t="s">
        <v>238</v>
      </c>
      <c r="E69" t="s">
        <v>239</v>
      </c>
      <c r="F69" s="327">
        <v>0</v>
      </c>
      <c r="G69" s="328" t="s">
        <v>240</v>
      </c>
    </row>
    <row r="70" spans="1:7" x14ac:dyDescent="0.25">
      <c r="A70" t="s">
        <v>89</v>
      </c>
      <c r="B70" t="s">
        <v>275</v>
      </c>
      <c r="C70" t="s">
        <v>276</v>
      </c>
      <c r="D70" t="s">
        <v>238</v>
      </c>
      <c r="E70" t="s">
        <v>239</v>
      </c>
      <c r="F70" s="327">
        <v>0</v>
      </c>
      <c r="G70" s="328" t="s">
        <v>240</v>
      </c>
    </row>
    <row r="71" spans="1:7" x14ac:dyDescent="0.25">
      <c r="A71" t="s">
        <v>89</v>
      </c>
      <c r="B71" t="s">
        <v>277</v>
      </c>
      <c r="C71" t="s">
        <v>278</v>
      </c>
      <c r="D71" t="s">
        <v>238</v>
      </c>
      <c r="E71" t="s">
        <v>239</v>
      </c>
      <c r="F71" s="327">
        <v>0</v>
      </c>
      <c r="G71" s="328" t="s">
        <v>240</v>
      </c>
    </row>
    <row r="72" spans="1:7" x14ac:dyDescent="0.25">
      <c r="A72" t="s">
        <v>89</v>
      </c>
      <c r="B72" t="s">
        <v>279</v>
      </c>
      <c r="C72" t="s">
        <v>280</v>
      </c>
      <c r="D72" t="s">
        <v>238</v>
      </c>
      <c r="E72" t="s">
        <v>239</v>
      </c>
      <c r="F72" s="327">
        <v>0</v>
      </c>
      <c r="G72" s="328" t="s">
        <v>240</v>
      </c>
    </row>
    <row r="73" spans="1:7" x14ac:dyDescent="0.25">
      <c r="A73" t="s">
        <v>89</v>
      </c>
      <c r="B73" t="s">
        <v>281</v>
      </c>
      <c r="C73" t="s">
        <v>282</v>
      </c>
      <c r="D73" t="s">
        <v>238</v>
      </c>
      <c r="E73" t="s">
        <v>239</v>
      </c>
      <c r="F73" s="327">
        <v>0</v>
      </c>
      <c r="G73" s="328" t="s">
        <v>240</v>
      </c>
    </row>
    <row r="74" spans="1:7" x14ac:dyDescent="0.25">
      <c r="A74" t="s">
        <v>89</v>
      </c>
      <c r="B74" t="s">
        <v>283</v>
      </c>
      <c r="C74" t="s">
        <v>284</v>
      </c>
      <c r="D74" t="s">
        <v>238</v>
      </c>
      <c r="E74" t="s">
        <v>239</v>
      </c>
      <c r="F74" s="327">
        <v>0</v>
      </c>
      <c r="G74" s="328" t="s">
        <v>240</v>
      </c>
    </row>
    <row r="75" spans="1:7" x14ac:dyDescent="0.25">
      <c r="A75" t="s">
        <v>91</v>
      </c>
      <c r="B75" t="s">
        <v>236</v>
      </c>
      <c r="C75" t="s">
        <v>237</v>
      </c>
      <c r="D75" t="s">
        <v>238</v>
      </c>
      <c r="E75" t="s">
        <v>239</v>
      </c>
      <c r="F75" s="327">
        <v>0</v>
      </c>
      <c r="G75" s="328" t="s">
        <v>240</v>
      </c>
    </row>
    <row r="76" spans="1:7" x14ac:dyDescent="0.25">
      <c r="A76" t="s">
        <v>91</v>
      </c>
      <c r="B76" t="s">
        <v>241</v>
      </c>
      <c r="C76" t="s">
        <v>242</v>
      </c>
      <c r="D76" t="s">
        <v>238</v>
      </c>
      <c r="E76" t="s">
        <v>239</v>
      </c>
      <c r="F76" s="327">
        <v>1.5779555891000101</v>
      </c>
      <c r="G76" s="328" t="s">
        <v>240</v>
      </c>
    </row>
    <row r="77" spans="1:7" x14ac:dyDescent="0.25">
      <c r="A77" t="s">
        <v>91</v>
      </c>
      <c r="B77" t="s">
        <v>243</v>
      </c>
      <c r="C77" t="s">
        <v>244</v>
      </c>
      <c r="D77" t="s">
        <v>238</v>
      </c>
      <c r="E77" t="s">
        <v>239</v>
      </c>
      <c r="F77" s="327">
        <v>-0.51527422509520304</v>
      </c>
      <c r="G77" s="328" t="s">
        <v>240</v>
      </c>
    </row>
    <row r="78" spans="1:7" x14ac:dyDescent="0.25">
      <c r="A78" t="s">
        <v>91</v>
      </c>
      <c r="B78" t="s">
        <v>245</v>
      </c>
      <c r="C78" t="s">
        <v>246</v>
      </c>
      <c r="D78" t="s">
        <v>238</v>
      </c>
      <c r="E78" t="s">
        <v>239</v>
      </c>
      <c r="F78" s="327">
        <v>0</v>
      </c>
      <c r="G78" s="328" t="s">
        <v>240</v>
      </c>
    </row>
    <row r="79" spans="1:7" x14ac:dyDescent="0.25">
      <c r="A79" t="s">
        <v>91</v>
      </c>
      <c r="B79" t="s">
        <v>247</v>
      </c>
      <c r="C79" t="s">
        <v>248</v>
      </c>
      <c r="D79" t="s">
        <v>238</v>
      </c>
      <c r="E79" t="s">
        <v>239</v>
      </c>
      <c r="F79" s="327">
        <v>1.2361630261684999</v>
      </c>
      <c r="G79" s="328" t="s">
        <v>240</v>
      </c>
    </row>
    <row r="80" spans="1:7" x14ac:dyDescent="0.25">
      <c r="A80" t="s">
        <v>91</v>
      </c>
      <c r="B80" t="s">
        <v>249</v>
      </c>
      <c r="C80" t="s">
        <v>250</v>
      </c>
      <c r="D80" t="s">
        <v>238</v>
      </c>
      <c r="E80" t="s">
        <v>239</v>
      </c>
      <c r="F80" s="327">
        <v>0.23726766248150399</v>
      </c>
      <c r="G80" s="328" t="s">
        <v>240</v>
      </c>
    </row>
    <row r="81" spans="1:7" x14ac:dyDescent="0.25">
      <c r="A81" t="s">
        <v>91</v>
      </c>
      <c r="B81" t="s">
        <v>251</v>
      </c>
      <c r="C81" t="s">
        <v>252</v>
      </c>
      <c r="D81" t="s">
        <v>238</v>
      </c>
      <c r="E81" t="s">
        <v>239</v>
      </c>
      <c r="F81" s="327">
        <v>0</v>
      </c>
      <c r="G81" s="328" t="s">
        <v>240</v>
      </c>
    </row>
    <row r="82" spans="1:7" x14ac:dyDescent="0.25">
      <c r="A82" t="s">
        <v>91</v>
      </c>
      <c r="B82" t="s">
        <v>253</v>
      </c>
      <c r="C82" t="s">
        <v>254</v>
      </c>
      <c r="D82" t="s">
        <v>238</v>
      </c>
      <c r="E82" t="s">
        <v>239</v>
      </c>
      <c r="F82" s="327">
        <v>-8.0301465226175803E-2</v>
      </c>
      <c r="G82" s="328" t="s">
        <v>240</v>
      </c>
    </row>
    <row r="83" spans="1:7" x14ac:dyDescent="0.25">
      <c r="A83" t="s">
        <v>91</v>
      </c>
      <c r="B83" t="s">
        <v>255</v>
      </c>
      <c r="C83" t="s">
        <v>256</v>
      </c>
      <c r="D83" t="s">
        <v>238</v>
      </c>
      <c r="E83" t="s">
        <v>239</v>
      </c>
      <c r="F83" s="327">
        <v>7.4353038293092401E-4</v>
      </c>
      <c r="G83" s="328" t="s">
        <v>240</v>
      </c>
    </row>
    <row r="84" spans="1:7" x14ac:dyDescent="0.25">
      <c r="A84" t="s">
        <v>91</v>
      </c>
      <c r="B84" t="s">
        <v>257</v>
      </c>
      <c r="C84" t="s">
        <v>258</v>
      </c>
      <c r="D84" t="s">
        <v>238</v>
      </c>
      <c r="E84" t="s">
        <v>239</v>
      </c>
      <c r="F84" s="327">
        <v>0</v>
      </c>
      <c r="G84" s="328" t="s">
        <v>240</v>
      </c>
    </row>
    <row r="85" spans="1:7" x14ac:dyDescent="0.25">
      <c r="A85" t="s">
        <v>91</v>
      </c>
      <c r="B85" t="s">
        <v>259</v>
      </c>
      <c r="C85" t="s">
        <v>260</v>
      </c>
      <c r="D85" t="s">
        <v>238</v>
      </c>
      <c r="E85" t="s">
        <v>239</v>
      </c>
      <c r="F85" s="328" t="s">
        <v>240</v>
      </c>
      <c r="G85" s="327">
        <v>0.25839839301926698</v>
      </c>
    </row>
    <row r="86" spans="1:7" x14ac:dyDescent="0.25">
      <c r="A86" t="s">
        <v>91</v>
      </c>
      <c r="B86" t="s">
        <v>261</v>
      </c>
      <c r="C86" t="s">
        <v>262</v>
      </c>
      <c r="D86" t="s">
        <v>238</v>
      </c>
      <c r="E86" t="s">
        <v>239</v>
      </c>
      <c r="F86" s="328" t="s">
        <v>240</v>
      </c>
      <c r="G86" s="327">
        <v>1.4663377158977799</v>
      </c>
    </row>
    <row r="87" spans="1:7" x14ac:dyDescent="0.25">
      <c r="A87" t="s">
        <v>91</v>
      </c>
      <c r="B87" t="s">
        <v>263</v>
      </c>
      <c r="C87" t="s">
        <v>264</v>
      </c>
      <c r="D87" t="s">
        <v>238</v>
      </c>
      <c r="E87" t="s">
        <v>239</v>
      </c>
      <c r="F87" s="328" t="s">
        <v>240</v>
      </c>
      <c r="G87" s="327">
        <v>1.55733877176224</v>
      </c>
    </row>
    <row r="88" spans="1:7" x14ac:dyDescent="0.25">
      <c r="A88" t="s">
        <v>91</v>
      </c>
      <c r="B88" t="s">
        <v>265</v>
      </c>
      <c r="C88" t="s">
        <v>266</v>
      </c>
      <c r="D88" t="s">
        <v>238</v>
      </c>
      <c r="E88" t="s">
        <v>239</v>
      </c>
      <c r="F88" s="328" t="s">
        <v>240</v>
      </c>
      <c r="G88" s="327">
        <v>0.115861465108196</v>
      </c>
    </row>
    <row r="89" spans="1:7" x14ac:dyDescent="0.25">
      <c r="A89" t="s">
        <v>91</v>
      </c>
      <c r="B89" t="s">
        <v>267</v>
      </c>
      <c r="C89" t="s">
        <v>268</v>
      </c>
      <c r="D89" t="s">
        <v>238</v>
      </c>
      <c r="E89" t="s">
        <v>239</v>
      </c>
      <c r="F89" s="328" t="s">
        <v>240</v>
      </c>
      <c r="G89" s="327">
        <v>0</v>
      </c>
    </row>
    <row r="90" spans="1:7" x14ac:dyDescent="0.25">
      <c r="A90" t="s">
        <v>91</v>
      </c>
      <c r="B90" t="s">
        <v>269</v>
      </c>
      <c r="C90" t="s">
        <v>270</v>
      </c>
      <c r="D90" t="s">
        <v>238</v>
      </c>
      <c r="E90" t="s">
        <v>239</v>
      </c>
      <c r="F90" s="327">
        <v>0</v>
      </c>
      <c r="G90" s="328" t="s">
        <v>240</v>
      </c>
    </row>
    <row r="91" spans="1:7" x14ac:dyDescent="0.25">
      <c r="A91" t="s">
        <v>91</v>
      </c>
      <c r="B91" t="s">
        <v>271</v>
      </c>
      <c r="C91" t="s">
        <v>272</v>
      </c>
      <c r="D91" t="s">
        <v>238</v>
      </c>
      <c r="E91" t="s">
        <v>239</v>
      </c>
      <c r="F91" s="327">
        <v>0</v>
      </c>
      <c r="G91" s="328" t="s">
        <v>240</v>
      </c>
    </row>
    <row r="92" spans="1:7" x14ac:dyDescent="0.25">
      <c r="A92" t="s">
        <v>91</v>
      </c>
      <c r="B92" t="s">
        <v>273</v>
      </c>
      <c r="C92" t="s">
        <v>274</v>
      </c>
      <c r="D92" t="s">
        <v>238</v>
      </c>
      <c r="E92" t="s">
        <v>239</v>
      </c>
      <c r="F92" s="327">
        <v>0</v>
      </c>
      <c r="G92" s="328" t="s">
        <v>240</v>
      </c>
    </row>
    <row r="93" spans="1:7" x14ac:dyDescent="0.25">
      <c r="A93" t="s">
        <v>91</v>
      </c>
      <c r="B93" t="s">
        <v>275</v>
      </c>
      <c r="C93" t="s">
        <v>276</v>
      </c>
      <c r="D93" t="s">
        <v>238</v>
      </c>
      <c r="E93" t="s">
        <v>239</v>
      </c>
      <c r="F93" s="327">
        <v>0</v>
      </c>
      <c r="G93" s="328" t="s">
        <v>240</v>
      </c>
    </row>
    <row r="94" spans="1:7" x14ac:dyDescent="0.25">
      <c r="A94" t="s">
        <v>91</v>
      </c>
      <c r="B94" t="s">
        <v>277</v>
      </c>
      <c r="C94" t="s">
        <v>278</v>
      </c>
      <c r="D94" t="s">
        <v>238</v>
      </c>
      <c r="E94" t="s">
        <v>239</v>
      </c>
      <c r="F94" s="327">
        <v>0</v>
      </c>
      <c r="G94" s="328" t="s">
        <v>240</v>
      </c>
    </row>
    <row r="95" spans="1:7" x14ac:dyDescent="0.25">
      <c r="A95" t="s">
        <v>91</v>
      </c>
      <c r="B95" t="s">
        <v>279</v>
      </c>
      <c r="C95" t="s">
        <v>280</v>
      </c>
      <c r="D95" t="s">
        <v>238</v>
      </c>
      <c r="E95" t="s">
        <v>239</v>
      </c>
      <c r="F95" s="327">
        <v>0</v>
      </c>
      <c r="G95" s="328" t="s">
        <v>240</v>
      </c>
    </row>
    <row r="96" spans="1:7" x14ac:dyDescent="0.25">
      <c r="A96" t="s">
        <v>91</v>
      </c>
      <c r="B96" t="s">
        <v>281</v>
      </c>
      <c r="C96" t="s">
        <v>282</v>
      </c>
      <c r="D96" t="s">
        <v>238</v>
      </c>
      <c r="E96" t="s">
        <v>239</v>
      </c>
      <c r="F96" s="327">
        <v>0</v>
      </c>
      <c r="G96" s="328" t="s">
        <v>240</v>
      </c>
    </row>
    <row r="97" spans="1:7" x14ac:dyDescent="0.25">
      <c r="A97" t="s">
        <v>91</v>
      </c>
      <c r="B97" t="s">
        <v>283</v>
      </c>
      <c r="C97" t="s">
        <v>284</v>
      </c>
      <c r="D97" t="s">
        <v>238</v>
      </c>
      <c r="E97" t="s">
        <v>239</v>
      </c>
      <c r="F97" s="327">
        <v>0</v>
      </c>
      <c r="G97" s="328" t="s">
        <v>240</v>
      </c>
    </row>
    <row r="98" spans="1:7" x14ac:dyDescent="0.25">
      <c r="A98" t="s">
        <v>93</v>
      </c>
      <c r="B98" t="s">
        <v>236</v>
      </c>
      <c r="C98" t="s">
        <v>237</v>
      </c>
      <c r="D98" t="s">
        <v>238</v>
      </c>
      <c r="E98" t="s">
        <v>239</v>
      </c>
      <c r="F98" s="327">
        <v>0</v>
      </c>
      <c r="G98" s="328" t="s">
        <v>240</v>
      </c>
    </row>
    <row r="99" spans="1:7" x14ac:dyDescent="0.25">
      <c r="A99" t="s">
        <v>93</v>
      </c>
      <c r="B99" t="s">
        <v>241</v>
      </c>
      <c r="C99" t="s">
        <v>242</v>
      </c>
      <c r="D99" t="s">
        <v>238</v>
      </c>
      <c r="E99" t="s">
        <v>239</v>
      </c>
      <c r="F99" s="327">
        <v>0</v>
      </c>
      <c r="G99" s="328" t="s">
        <v>240</v>
      </c>
    </row>
    <row r="100" spans="1:7" x14ac:dyDescent="0.25">
      <c r="A100" t="s">
        <v>93</v>
      </c>
      <c r="B100" t="s">
        <v>243</v>
      </c>
      <c r="C100" t="s">
        <v>244</v>
      </c>
      <c r="D100" t="s">
        <v>238</v>
      </c>
      <c r="E100" t="s">
        <v>239</v>
      </c>
      <c r="F100" s="327">
        <v>0</v>
      </c>
      <c r="G100" s="328" t="s">
        <v>240</v>
      </c>
    </row>
    <row r="101" spans="1:7" x14ac:dyDescent="0.25">
      <c r="A101" t="s">
        <v>93</v>
      </c>
      <c r="B101" t="s">
        <v>245</v>
      </c>
      <c r="C101" t="s">
        <v>246</v>
      </c>
      <c r="D101" t="s">
        <v>238</v>
      </c>
      <c r="E101" t="s">
        <v>239</v>
      </c>
      <c r="F101" s="327">
        <v>0</v>
      </c>
      <c r="G101" s="328" t="s">
        <v>240</v>
      </c>
    </row>
    <row r="102" spans="1:7" x14ac:dyDescent="0.25">
      <c r="A102" t="s">
        <v>93</v>
      </c>
      <c r="B102" t="s">
        <v>247</v>
      </c>
      <c r="C102" t="s">
        <v>248</v>
      </c>
      <c r="D102" t="s">
        <v>238</v>
      </c>
      <c r="E102" t="s">
        <v>239</v>
      </c>
      <c r="F102" s="327">
        <v>21.892693535909899</v>
      </c>
      <c r="G102" s="328" t="s">
        <v>240</v>
      </c>
    </row>
    <row r="103" spans="1:7" x14ac:dyDescent="0.25">
      <c r="A103" t="s">
        <v>93</v>
      </c>
      <c r="B103" t="s">
        <v>249</v>
      </c>
      <c r="C103" t="s">
        <v>250</v>
      </c>
      <c r="D103" t="s">
        <v>238</v>
      </c>
      <c r="E103" t="s">
        <v>239</v>
      </c>
      <c r="F103" s="327">
        <v>-7.3308359499534097</v>
      </c>
      <c r="G103" s="328" t="s">
        <v>240</v>
      </c>
    </row>
    <row r="104" spans="1:7" x14ac:dyDescent="0.25">
      <c r="A104" t="s">
        <v>93</v>
      </c>
      <c r="B104" t="s">
        <v>251</v>
      </c>
      <c r="C104" t="s">
        <v>252</v>
      </c>
      <c r="D104" t="s">
        <v>238</v>
      </c>
      <c r="E104" t="s">
        <v>239</v>
      </c>
      <c r="F104" s="327">
        <v>0</v>
      </c>
      <c r="G104" s="328" t="s">
        <v>240</v>
      </c>
    </row>
    <row r="105" spans="1:7" x14ac:dyDescent="0.25">
      <c r="A105" t="s">
        <v>93</v>
      </c>
      <c r="B105" t="s">
        <v>253</v>
      </c>
      <c r="C105" t="s">
        <v>254</v>
      </c>
      <c r="D105" t="s">
        <v>238</v>
      </c>
      <c r="E105" t="s">
        <v>239</v>
      </c>
      <c r="F105" s="327">
        <v>-0.65427643188488704</v>
      </c>
      <c r="G105" s="328" t="s">
        <v>240</v>
      </c>
    </row>
    <row r="106" spans="1:7" x14ac:dyDescent="0.25">
      <c r="A106" t="s">
        <v>93</v>
      </c>
      <c r="B106" t="s">
        <v>255</v>
      </c>
      <c r="C106" t="s">
        <v>256</v>
      </c>
      <c r="D106" t="s">
        <v>238</v>
      </c>
      <c r="E106" t="s">
        <v>239</v>
      </c>
      <c r="F106" s="327">
        <v>0.24516941377594501</v>
      </c>
      <c r="G106" s="328" t="s">
        <v>240</v>
      </c>
    </row>
    <row r="107" spans="1:7" x14ac:dyDescent="0.25">
      <c r="A107" t="s">
        <v>93</v>
      </c>
      <c r="B107" t="s">
        <v>257</v>
      </c>
      <c r="C107" t="s">
        <v>258</v>
      </c>
      <c r="D107" t="s">
        <v>238</v>
      </c>
      <c r="E107" t="s">
        <v>239</v>
      </c>
      <c r="F107" s="327">
        <v>0</v>
      </c>
      <c r="G107" s="328" t="s">
        <v>240</v>
      </c>
    </row>
    <row r="108" spans="1:7" x14ac:dyDescent="0.25">
      <c r="A108" t="s">
        <v>93</v>
      </c>
      <c r="B108" t="s">
        <v>259</v>
      </c>
      <c r="C108" t="s">
        <v>260</v>
      </c>
      <c r="D108" t="s">
        <v>238</v>
      </c>
      <c r="E108" t="s">
        <v>239</v>
      </c>
      <c r="F108" s="328" t="s">
        <v>240</v>
      </c>
      <c r="G108" s="327">
        <v>-0.96303006238396105</v>
      </c>
    </row>
    <row r="109" spans="1:7" x14ac:dyDescent="0.25">
      <c r="A109" t="s">
        <v>93</v>
      </c>
      <c r="B109" t="s">
        <v>261</v>
      </c>
      <c r="C109" t="s">
        <v>262</v>
      </c>
      <c r="D109" t="s">
        <v>238</v>
      </c>
      <c r="E109" t="s">
        <v>239</v>
      </c>
      <c r="F109" s="328" t="s">
        <v>240</v>
      </c>
      <c r="G109" s="327">
        <v>-10.4954247856307</v>
      </c>
    </row>
    <row r="110" spans="1:7" x14ac:dyDescent="0.25">
      <c r="A110" t="s">
        <v>93</v>
      </c>
      <c r="B110" t="s">
        <v>263</v>
      </c>
      <c r="C110" t="s">
        <v>264</v>
      </c>
      <c r="D110" t="s">
        <v>238</v>
      </c>
      <c r="E110" t="s">
        <v>239</v>
      </c>
      <c r="F110" s="328" t="s">
        <v>240</v>
      </c>
      <c r="G110" s="327">
        <v>-10.09703751686</v>
      </c>
    </row>
    <row r="111" spans="1:7" x14ac:dyDescent="0.25">
      <c r="A111" t="s">
        <v>93</v>
      </c>
      <c r="B111" t="s">
        <v>265</v>
      </c>
      <c r="C111" t="s">
        <v>266</v>
      </c>
      <c r="D111" t="s">
        <v>238</v>
      </c>
      <c r="E111" t="s">
        <v>239</v>
      </c>
      <c r="F111" s="328" t="s">
        <v>240</v>
      </c>
      <c r="G111" s="327">
        <v>-1.2764989197029899</v>
      </c>
    </row>
    <row r="112" spans="1:7" x14ac:dyDescent="0.25">
      <c r="A112" t="s">
        <v>93</v>
      </c>
      <c r="B112" t="s">
        <v>267</v>
      </c>
      <c r="C112" t="s">
        <v>268</v>
      </c>
      <c r="D112" t="s">
        <v>238</v>
      </c>
      <c r="E112" t="s">
        <v>239</v>
      </c>
      <c r="F112" s="328" t="s">
        <v>240</v>
      </c>
      <c r="G112" s="327">
        <v>0</v>
      </c>
    </row>
    <row r="113" spans="1:8" x14ac:dyDescent="0.25">
      <c r="A113" t="s">
        <v>93</v>
      </c>
      <c r="B113" t="s">
        <v>269</v>
      </c>
      <c r="C113" t="s">
        <v>270</v>
      </c>
      <c r="D113" t="s">
        <v>238</v>
      </c>
      <c r="E113" t="s">
        <v>239</v>
      </c>
      <c r="F113" s="327">
        <v>0</v>
      </c>
      <c r="G113" s="328" t="s">
        <v>240</v>
      </c>
    </row>
    <row r="114" spans="1:8" x14ac:dyDescent="0.25">
      <c r="A114" t="s">
        <v>93</v>
      </c>
      <c r="B114" t="s">
        <v>271</v>
      </c>
      <c r="C114" t="s">
        <v>272</v>
      </c>
      <c r="D114" t="s">
        <v>238</v>
      </c>
      <c r="E114" t="s">
        <v>239</v>
      </c>
      <c r="F114" s="327">
        <v>0</v>
      </c>
      <c r="G114" s="328" t="s">
        <v>240</v>
      </c>
    </row>
    <row r="115" spans="1:8" x14ac:dyDescent="0.25">
      <c r="A115" t="s">
        <v>93</v>
      </c>
      <c r="B115" t="s">
        <v>273</v>
      </c>
      <c r="C115" t="s">
        <v>274</v>
      </c>
      <c r="D115" t="s">
        <v>238</v>
      </c>
      <c r="E115" t="s">
        <v>239</v>
      </c>
      <c r="F115" s="327">
        <v>0</v>
      </c>
      <c r="G115" s="328" t="s">
        <v>240</v>
      </c>
    </row>
    <row r="116" spans="1:8" x14ac:dyDescent="0.25">
      <c r="A116" t="s">
        <v>93</v>
      </c>
      <c r="B116" t="s">
        <v>275</v>
      </c>
      <c r="C116" t="s">
        <v>276</v>
      </c>
      <c r="D116" t="s">
        <v>238</v>
      </c>
      <c r="E116" t="s">
        <v>239</v>
      </c>
      <c r="F116" s="327">
        <v>0</v>
      </c>
      <c r="G116" s="328" t="s">
        <v>240</v>
      </c>
    </row>
    <row r="117" spans="1:8" x14ac:dyDescent="0.25">
      <c r="A117" t="s">
        <v>93</v>
      </c>
      <c r="B117" t="s">
        <v>277</v>
      </c>
      <c r="C117" t="s">
        <v>278</v>
      </c>
      <c r="D117" t="s">
        <v>238</v>
      </c>
      <c r="E117" t="s">
        <v>239</v>
      </c>
      <c r="F117" s="327">
        <v>0</v>
      </c>
      <c r="G117" s="328" t="s">
        <v>240</v>
      </c>
    </row>
    <row r="118" spans="1:8" x14ac:dyDescent="0.25">
      <c r="A118" t="s">
        <v>93</v>
      </c>
      <c r="B118" t="s">
        <v>279</v>
      </c>
      <c r="C118" t="s">
        <v>280</v>
      </c>
      <c r="D118" t="s">
        <v>238</v>
      </c>
      <c r="E118" t="s">
        <v>239</v>
      </c>
      <c r="F118" s="327">
        <v>0</v>
      </c>
      <c r="G118" s="328" t="s">
        <v>240</v>
      </c>
    </row>
    <row r="119" spans="1:8" x14ac:dyDescent="0.25">
      <c r="A119" t="s">
        <v>93</v>
      </c>
      <c r="B119" t="s">
        <v>281</v>
      </c>
      <c r="C119" t="s">
        <v>282</v>
      </c>
      <c r="D119" t="s">
        <v>238</v>
      </c>
      <c r="E119" t="s">
        <v>239</v>
      </c>
      <c r="F119" s="327">
        <v>0</v>
      </c>
      <c r="G119" s="328" t="s">
        <v>240</v>
      </c>
    </row>
    <row r="120" spans="1:8" x14ac:dyDescent="0.25">
      <c r="A120" t="s">
        <v>93</v>
      </c>
      <c r="B120" t="s">
        <v>283</v>
      </c>
      <c r="C120" t="s">
        <v>284</v>
      </c>
      <c r="D120" t="s">
        <v>238</v>
      </c>
      <c r="E120" t="s">
        <v>239</v>
      </c>
      <c r="F120" s="327">
        <v>0</v>
      </c>
      <c r="G120" s="328" t="s">
        <v>240</v>
      </c>
    </row>
    <row r="121" spans="1:8" ht="14.5" x14ac:dyDescent="0.35">
      <c r="A121" t="s">
        <v>97</v>
      </c>
      <c r="B121" t="s">
        <v>236</v>
      </c>
      <c r="C121" t="s">
        <v>237</v>
      </c>
      <c r="D121" t="s">
        <v>238</v>
      </c>
      <c r="E121" t="s">
        <v>239</v>
      </c>
      <c r="F121" s="330">
        <f xml:space="preserve"> F144 + F167</f>
        <v>0</v>
      </c>
      <c r="G121" s="330" t="s">
        <v>240</v>
      </c>
      <c r="H121" s="329" t="s">
        <v>285</v>
      </c>
    </row>
    <row r="122" spans="1:8" ht="14.5" x14ac:dyDescent="0.35">
      <c r="A122" t="s">
        <v>97</v>
      </c>
      <c r="B122" t="s">
        <v>241</v>
      </c>
      <c r="C122" t="s">
        <v>242</v>
      </c>
      <c r="D122" t="s">
        <v>238</v>
      </c>
      <c r="E122" t="s">
        <v>239</v>
      </c>
      <c r="F122" s="330">
        <f t="shared" ref="F122:G135" si="0" xml:space="preserve"> F145 + F168</f>
        <v>-0.47625568689200298</v>
      </c>
      <c r="G122" s="330" t="s">
        <v>240</v>
      </c>
      <c r="H122" s="329" t="s">
        <v>285</v>
      </c>
    </row>
    <row r="123" spans="1:8" ht="14.5" x14ac:dyDescent="0.35">
      <c r="A123" t="s">
        <v>97</v>
      </c>
      <c r="B123" t="s">
        <v>243</v>
      </c>
      <c r="C123" t="s">
        <v>244</v>
      </c>
      <c r="D123" t="s">
        <v>238</v>
      </c>
      <c r="E123" t="s">
        <v>239</v>
      </c>
      <c r="F123" s="330">
        <f t="shared" si="0"/>
        <v>0.12164603086880101</v>
      </c>
      <c r="G123" s="330" t="s">
        <v>240</v>
      </c>
      <c r="H123" s="329" t="s">
        <v>285</v>
      </c>
    </row>
    <row r="124" spans="1:8" ht="14.5" x14ac:dyDescent="0.35">
      <c r="A124" t="s">
        <v>97</v>
      </c>
      <c r="B124" t="s">
        <v>245</v>
      </c>
      <c r="C124" t="s">
        <v>246</v>
      </c>
      <c r="D124" t="s">
        <v>238</v>
      </c>
      <c r="E124" t="s">
        <v>239</v>
      </c>
      <c r="F124" s="330">
        <f t="shared" si="0"/>
        <v>0</v>
      </c>
      <c r="G124" s="330" t="s">
        <v>240</v>
      </c>
      <c r="H124" s="329" t="s">
        <v>285</v>
      </c>
    </row>
    <row r="125" spans="1:8" ht="14.5" x14ac:dyDescent="0.35">
      <c r="A125" t="s">
        <v>97</v>
      </c>
      <c r="B125" t="s">
        <v>247</v>
      </c>
      <c r="C125" t="s">
        <v>248</v>
      </c>
      <c r="D125" t="s">
        <v>238</v>
      </c>
      <c r="E125" t="s">
        <v>239</v>
      </c>
      <c r="F125" s="330">
        <f t="shared" si="0"/>
        <v>9.0950930728791199</v>
      </c>
      <c r="G125" s="330" t="s">
        <v>240</v>
      </c>
      <c r="H125" s="329" t="s">
        <v>285</v>
      </c>
    </row>
    <row r="126" spans="1:8" ht="14.5" x14ac:dyDescent="0.35">
      <c r="A126" t="s">
        <v>97</v>
      </c>
      <c r="B126" t="s">
        <v>249</v>
      </c>
      <c r="C126" t="s">
        <v>250</v>
      </c>
      <c r="D126" t="s">
        <v>238</v>
      </c>
      <c r="E126" t="s">
        <v>239</v>
      </c>
      <c r="F126" s="330">
        <f t="shared" si="0"/>
        <v>3.7660701275871999</v>
      </c>
      <c r="G126" s="330" t="s">
        <v>240</v>
      </c>
      <c r="H126" s="329" t="s">
        <v>285</v>
      </c>
    </row>
    <row r="127" spans="1:8" ht="14.5" x14ac:dyDescent="0.35">
      <c r="A127" t="s">
        <v>97</v>
      </c>
      <c r="B127" t="s">
        <v>251</v>
      </c>
      <c r="C127" t="s">
        <v>252</v>
      </c>
      <c r="D127" t="s">
        <v>238</v>
      </c>
      <c r="E127" t="s">
        <v>239</v>
      </c>
      <c r="F127" s="330">
        <f t="shared" si="0"/>
        <v>0</v>
      </c>
      <c r="G127" s="330" t="s">
        <v>240</v>
      </c>
      <c r="H127" s="329" t="s">
        <v>285</v>
      </c>
    </row>
    <row r="128" spans="1:8" ht="14.5" x14ac:dyDescent="0.35">
      <c r="A128" t="s">
        <v>97</v>
      </c>
      <c r="B128" t="s">
        <v>253</v>
      </c>
      <c r="C128" t="s">
        <v>254</v>
      </c>
      <c r="D128" t="s">
        <v>238</v>
      </c>
      <c r="E128" t="s">
        <v>239</v>
      </c>
      <c r="F128" s="330">
        <f t="shared" si="0"/>
        <v>1.6920824416286577</v>
      </c>
      <c r="G128" s="330" t="s">
        <v>240</v>
      </c>
      <c r="H128" s="329" t="s">
        <v>285</v>
      </c>
    </row>
    <row r="129" spans="1:8" ht="14.5" x14ac:dyDescent="0.35">
      <c r="A129" t="s">
        <v>97</v>
      </c>
      <c r="B129" t="s">
        <v>255</v>
      </c>
      <c r="C129" t="s">
        <v>256</v>
      </c>
      <c r="D129" t="s">
        <v>238</v>
      </c>
      <c r="E129" t="s">
        <v>239</v>
      </c>
      <c r="F129" s="330">
        <f t="shared" si="0"/>
        <v>0.43253918201125202</v>
      </c>
      <c r="G129" s="330" t="s">
        <v>240</v>
      </c>
      <c r="H129" s="329" t="s">
        <v>285</v>
      </c>
    </row>
    <row r="130" spans="1:8" ht="14.5" x14ac:dyDescent="0.35">
      <c r="A130" t="s">
        <v>97</v>
      </c>
      <c r="B130" t="s">
        <v>257</v>
      </c>
      <c r="C130" t="s">
        <v>258</v>
      </c>
      <c r="D130" t="s">
        <v>238</v>
      </c>
      <c r="E130" t="s">
        <v>239</v>
      </c>
      <c r="F130" s="330">
        <f t="shared" si="0"/>
        <v>0</v>
      </c>
      <c r="G130" s="330" t="s">
        <v>240</v>
      </c>
      <c r="H130" s="329" t="s">
        <v>285</v>
      </c>
    </row>
    <row r="131" spans="1:8" ht="14.5" x14ac:dyDescent="0.35">
      <c r="A131" t="s">
        <v>97</v>
      </c>
      <c r="B131" t="s">
        <v>259</v>
      </c>
      <c r="C131" t="s">
        <v>260</v>
      </c>
      <c r="D131" t="s">
        <v>238</v>
      </c>
      <c r="E131" t="s">
        <v>239</v>
      </c>
      <c r="F131" s="330" t="s">
        <v>240</v>
      </c>
      <c r="G131" s="330">
        <f xml:space="preserve"> G154 + G177</f>
        <v>1.0286892182568019</v>
      </c>
      <c r="H131" s="329" t="s">
        <v>285</v>
      </c>
    </row>
    <row r="132" spans="1:8" ht="14.5" x14ac:dyDescent="0.35">
      <c r="A132" t="s">
        <v>97</v>
      </c>
      <c r="B132" t="s">
        <v>261</v>
      </c>
      <c r="C132" t="s">
        <v>262</v>
      </c>
      <c r="D132" t="s">
        <v>238</v>
      </c>
      <c r="E132" t="s">
        <v>239</v>
      </c>
      <c r="F132" s="330" t="s">
        <v>240</v>
      </c>
      <c r="G132" s="330">
        <f t="shared" si="0"/>
        <v>10.477492490501941</v>
      </c>
      <c r="H132" s="329" t="s">
        <v>285</v>
      </c>
    </row>
    <row r="133" spans="1:8" ht="14.5" x14ac:dyDescent="0.35">
      <c r="A133" t="s">
        <v>97</v>
      </c>
      <c r="B133" t="s">
        <v>263</v>
      </c>
      <c r="C133" t="s">
        <v>264</v>
      </c>
      <c r="D133" t="s">
        <v>238</v>
      </c>
      <c r="E133" t="s">
        <v>239</v>
      </c>
      <c r="F133" s="330" t="s">
        <v>240</v>
      </c>
      <c r="G133" s="330">
        <f t="shared" si="0"/>
        <v>12.59607121855</v>
      </c>
      <c r="H133" s="329" t="s">
        <v>285</v>
      </c>
    </row>
    <row r="134" spans="1:8" ht="14.5" x14ac:dyDescent="0.35">
      <c r="A134" t="s">
        <v>97</v>
      </c>
      <c r="B134" t="s">
        <v>265</v>
      </c>
      <c r="C134" t="s">
        <v>266</v>
      </c>
      <c r="D134" t="s">
        <v>238</v>
      </c>
      <c r="E134" t="s">
        <v>239</v>
      </c>
      <c r="F134" s="330" t="s">
        <v>240</v>
      </c>
      <c r="G134" s="330">
        <f t="shared" si="0"/>
        <v>0.61125596682779804</v>
      </c>
      <c r="H134" s="329" t="s">
        <v>285</v>
      </c>
    </row>
    <row r="135" spans="1:8" ht="14.5" x14ac:dyDescent="0.35">
      <c r="A135" t="s">
        <v>97</v>
      </c>
      <c r="B135" t="s">
        <v>267</v>
      </c>
      <c r="C135" t="s">
        <v>268</v>
      </c>
      <c r="D135" t="s">
        <v>238</v>
      </c>
      <c r="E135" t="s">
        <v>239</v>
      </c>
      <c r="F135" s="330" t="s">
        <v>240</v>
      </c>
      <c r="G135" s="330">
        <f t="shared" si="0"/>
        <v>0</v>
      </c>
      <c r="H135" s="329" t="s">
        <v>285</v>
      </c>
    </row>
    <row r="136" spans="1:8" ht="14.5" x14ac:dyDescent="0.35">
      <c r="A136" t="s">
        <v>97</v>
      </c>
      <c r="B136" t="s">
        <v>269</v>
      </c>
      <c r="C136" t="s">
        <v>270</v>
      </c>
      <c r="D136" t="s">
        <v>238</v>
      </c>
      <c r="E136" t="s">
        <v>239</v>
      </c>
      <c r="F136" s="330">
        <f t="shared" ref="F136:F138" si="1" xml:space="preserve"> F159 + F182</f>
        <v>0</v>
      </c>
      <c r="G136" s="330" t="s">
        <v>240</v>
      </c>
      <c r="H136" s="329" t="s">
        <v>285</v>
      </c>
    </row>
    <row r="137" spans="1:8" ht="14.5" x14ac:dyDescent="0.35">
      <c r="A137" t="s">
        <v>97</v>
      </c>
      <c r="B137" t="s">
        <v>271</v>
      </c>
      <c r="C137" t="s">
        <v>272</v>
      </c>
      <c r="D137" t="s">
        <v>238</v>
      </c>
      <c r="E137" t="s">
        <v>239</v>
      </c>
      <c r="F137" s="330">
        <f t="shared" si="1"/>
        <v>0</v>
      </c>
      <c r="G137" s="330" t="s">
        <v>240</v>
      </c>
      <c r="H137" s="329" t="s">
        <v>285</v>
      </c>
    </row>
    <row r="138" spans="1:8" ht="14.5" x14ac:dyDescent="0.35">
      <c r="A138" t="s">
        <v>97</v>
      </c>
      <c r="B138" t="s">
        <v>273</v>
      </c>
      <c r="C138" t="s">
        <v>274</v>
      </c>
      <c r="D138" t="s">
        <v>238</v>
      </c>
      <c r="E138" t="s">
        <v>239</v>
      </c>
      <c r="F138" s="330">
        <f t="shared" si="1"/>
        <v>0</v>
      </c>
      <c r="G138" s="330" t="s">
        <v>240</v>
      </c>
      <c r="H138" s="329" t="s">
        <v>285</v>
      </c>
    </row>
    <row r="139" spans="1:8" ht="14.5" x14ac:dyDescent="0.35">
      <c r="A139" t="s">
        <v>97</v>
      </c>
      <c r="B139" t="s">
        <v>275</v>
      </c>
      <c r="C139" t="s">
        <v>276</v>
      </c>
      <c r="D139" t="s">
        <v>238</v>
      </c>
      <c r="E139" t="s">
        <v>239</v>
      </c>
      <c r="F139" s="330">
        <v>0</v>
      </c>
      <c r="G139" s="330" t="s">
        <v>240</v>
      </c>
      <c r="H139" s="329" t="s">
        <v>285</v>
      </c>
    </row>
    <row r="140" spans="1:8" ht="14.5" x14ac:dyDescent="0.35">
      <c r="A140" t="s">
        <v>97</v>
      </c>
      <c r="B140" t="s">
        <v>277</v>
      </c>
      <c r="C140" t="s">
        <v>278</v>
      </c>
      <c r="D140" t="s">
        <v>238</v>
      </c>
      <c r="E140" t="s">
        <v>239</v>
      </c>
      <c r="F140" s="330">
        <v>10.537000000000001</v>
      </c>
      <c r="G140" s="330" t="s">
        <v>240</v>
      </c>
      <c r="H140" s="329" t="s">
        <v>285</v>
      </c>
    </row>
    <row r="141" spans="1:8" ht="14.5" x14ac:dyDescent="0.35">
      <c r="A141" t="s">
        <v>97</v>
      </c>
      <c r="B141" t="s">
        <v>279</v>
      </c>
      <c r="C141" t="s">
        <v>280</v>
      </c>
      <c r="D141" t="s">
        <v>238</v>
      </c>
      <c r="E141" t="s">
        <v>239</v>
      </c>
      <c r="F141" s="330">
        <v>11.236000000000001</v>
      </c>
      <c r="G141" s="330" t="s">
        <v>240</v>
      </c>
      <c r="H141" s="329" t="s">
        <v>285</v>
      </c>
    </row>
    <row r="142" spans="1:8" ht="14.5" x14ac:dyDescent="0.35">
      <c r="A142" t="s">
        <v>97</v>
      </c>
      <c r="B142" t="s">
        <v>281</v>
      </c>
      <c r="C142" t="s">
        <v>282</v>
      </c>
      <c r="D142" t="s">
        <v>238</v>
      </c>
      <c r="E142" t="s">
        <v>239</v>
      </c>
      <c r="F142" s="330">
        <v>0</v>
      </c>
      <c r="G142" s="330" t="s">
        <v>240</v>
      </c>
      <c r="H142" s="329" t="s">
        <v>285</v>
      </c>
    </row>
    <row r="143" spans="1:8" ht="14.5" x14ac:dyDescent="0.35">
      <c r="A143" t="s">
        <v>97</v>
      </c>
      <c r="B143" t="s">
        <v>283</v>
      </c>
      <c r="C143" t="s">
        <v>284</v>
      </c>
      <c r="D143" t="s">
        <v>238</v>
      </c>
      <c r="E143" t="s">
        <v>239</v>
      </c>
      <c r="F143" s="330">
        <v>0</v>
      </c>
      <c r="G143" s="330" t="s">
        <v>240</v>
      </c>
      <c r="H143" s="329" t="s">
        <v>285</v>
      </c>
    </row>
    <row r="144" spans="1:8" x14ac:dyDescent="0.25">
      <c r="A144" t="s">
        <v>286</v>
      </c>
      <c r="B144" t="s">
        <v>236</v>
      </c>
      <c r="C144" t="s">
        <v>237</v>
      </c>
      <c r="D144" t="s">
        <v>238</v>
      </c>
      <c r="E144" t="s">
        <v>239</v>
      </c>
      <c r="F144" s="327">
        <v>0</v>
      </c>
      <c r="G144" s="328" t="s">
        <v>240</v>
      </c>
    </row>
    <row r="145" spans="1:7" x14ac:dyDescent="0.25">
      <c r="A145" t="s">
        <v>286</v>
      </c>
      <c r="B145" t="s">
        <v>241</v>
      </c>
      <c r="C145" t="s">
        <v>242</v>
      </c>
      <c r="D145" t="s">
        <v>238</v>
      </c>
      <c r="E145" t="s">
        <v>239</v>
      </c>
      <c r="F145" s="327">
        <v>-0.47625568689200298</v>
      </c>
      <c r="G145" s="328" t="s">
        <v>240</v>
      </c>
    </row>
    <row r="146" spans="1:7" x14ac:dyDescent="0.25">
      <c r="A146" t="s">
        <v>286</v>
      </c>
      <c r="B146" t="s">
        <v>243</v>
      </c>
      <c r="C146" t="s">
        <v>244</v>
      </c>
      <c r="D146" t="s">
        <v>238</v>
      </c>
      <c r="E146" t="s">
        <v>239</v>
      </c>
      <c r="F146" s="327">
        <v>0.12164603086880101</v>
      </c>
      <c r="G146" s="328" t="s">
        <v>240</v>
      </c>
    </row>
    <row r="147" spans="1:7" x14ac:dyDescent="0.25">
      <c r="A147" t="s">
        <v>286</v>
      </c>
      <c r="B147" t="s">
        <v>245</v>
      </c>
      <c r="C147" t="s">
        <v>246</v>
      </c>
      <c r="D147" t="s">
        <v>238</v>
      </c>
      <c r="E147" t="s">
        <v>239</v>
      </c>
      <c r="F147" s="327">
        <v>0</v>
      </c>
      <c r="G147" s="328" t="s">
        <v>240</v>
      </c>
    </row>
    <row r="148" spans="1:7" x14ac:dyDescent="0.25">
      <c r="A148" t="s">
        <v>286</v>
      </c>
      <c r="B148" t="s">
        <v>247</v>
      </c>
      <c r="C148" t="s">
        <v>248</v>
      </c>
      <c r="D148" t="s">
        <v>238</v>
      </c>
      <c r="E148" t="s">
        <v>239</v>
      </c>
      <c r="F148" s="327">
        <v>8.0111205656111792</v>
      </c>
      <c r="G148" s="328" t="s">
        <v>240</v>
      </c>
    </row>
    <row r="149" spans="1:7" x14ac:dyDescent="0.25">
      <c r="A149" t="s">
        <v>286</v>
      </c>
      <c r="B149" t="s">
        <v>249</v>
      </c>
      <c r="C149" t="s">
        <v>250</v>
      </c>
      <c r="D149" t="s">
        <v>238</v>
      </c>
      <c r="E149" t="s">
        <v>239</v>
      </c>
      <c r="F149" s="327">
        <v>3.7660701275871999</v>
      </c>
      <c r="G149" s="328" t="s">
        <v>240</v>
      </c>
    </row>
    <row r="150" spans="1:7" x14ac:dyDescent="0.25">
      <c r="A150" t="s">
        <v>286</v>
      </c>
      <c r="B150" t="s">
        <v>251</v>
      </c>
      <c r="C150" t="s">
        <v>252</v>
      </c>
      <c r="D150" t="s">
        <v>238</v>
      </c>
      <c r="E150" t="s">
        <v>239</v>
      </c>
      <c r="F150" s="327">
        <v>0</v>
      </c>
      <c r="G150" s="328" t="s">
        <v>240</v>
      </c>
    </row>
    <row r="151" spans="1:7" x14ac:dyDescent="0.25">
      <c r="A151" t="s">
        <v>286</v>
      </c>
      <c r="B151" t="s">
        <v>253</v>
      </c>
      <c r="C151" t="s">
        <v>254</v>
      </c>
      <c r="D151" t="s">
        <v>238</v>
      </c>
      <c r="E151" t="s">
        <v>239</v>
      </c>
      <c r="F151" s="327">
        <v>1.6570764151333499</v>
      </c>
      <c r="G151" s="328" t="s">
        <v>240</v>
      </c>
    </row>
    <row r="152" spans="1:7" x14ac:dyDescent="0.25">
      <c r="A152" t="s">
        <v>286</v>
      </c>
      <c r="B152" t="s">
        <v>255</v>
      </c>
      <c r="C152" t="s">
        <v>256</v>
      </c>
      <c r="D152" t="s">
        <v>238</v>
      </c>
      <c r="E152" t="s">
        <v>239</v>
      </c>
      <c r="F152" s="327">
        <v>0.43253918201125202</v>
      </c>
      <c r="G152" s="328" t="s">
        <v>240</v>
      </c>
    </row>
    <row r="153" spans="1:7" x14ac:dyDescent="0.25">
      <c r="A153" t="s">
        <v>286</v>
      </c>
      <c r="B153" t="s">
        <v>257</v>
      </c>
      <c r="C153" t="s">
        <v>258</v>
      </c>
      <c r="D153" t="s">
        <v>238</v>
      </c>
      <c r="E153" t="s">
        <v>239</v>
      </c>
      <c r="F153" s="327">
        <v>0</v>
      </c>
      <c r="G153" s="328" t="s">
        <v>240</v>
      </c>
    </row>
    <row r="154" spans="1:7" x14ac:dyDescent="0.25">
      <c r="A154" t="s">
        <v>286</v>
      </c>
      <c r="B154" t="s">
        <v>259</v>
      </c>
      <c r="C154" t="s">
        <v>260</v>
      </c>
      <c r="D154" t="s">
        <v>238</v>
      </c>
      <c r="E154" t="s">
        <v>239</v>
      </c>
      <c r="F154" s="328" t="s">
        <v>240</v>
      </c>
      <c r="G154" s="327">
        <v>0.92305197429984798</v>
      </c>
    </row>
    <row r="155" spans="1:7" x14ac:dyDescent="0.25">
      <c r="A155" t="s">
        <v>286</v>
      </c>
      <c r="B155" t="s">
        <v>261</v>
      </c>
      <c r="C155" t="s">
        <v>262</v>
      </c>
      <c r="D155" t="s">
        <v>238</v>
      </c>
      <c r="E155" t="s">
        <v>239</v>
      </c>
      <c r="F155" s="328" t="s">
        <v>240</v>
      </c>
      <c r="G155" s="327">
        <v>9.3994612454280606</v>
      </c>
    </row>
    <row r="156" spans="1:7" x14ac:dyDescent="0.25">
      <c r="A156" t="s">
        <v>286</v>
      </c>
      <c r="B156" t="s">
        <v>263</v>
      </c>
      <c r="C156" t="s">
        <v>264</v>
      </c>
      <c r="D156" t="s">
        <v>238</v>
      </c>
      <c r="E156" t="s">
        <v>239</v>
      </c>
      <c r="F156" s="328" t="s">
        <v>240</v>
      </c>
      <c r="G156" s="327">
        <v>12.59607121855</v>
      </c>
    </row>
    <row r="157" spans="1:7" x14ac:dyDescent="0.25">
      <c r="A157" t="s">
        <v>286</v>
      </c>
      <c r="B157" t="s">
        <v>265</v>
      </c>
      <c r="C157" t="s">
        <v>266</v>
      </c>
      <c r="D157" t="s">
        <v>238</v>
      </c>
      <c r="E157" t="s">
        <v>239</v>
      </c>
      <c r="F157" s="328" t="s">
        <v>240</v>
      </c>
      <c r="G157" s="327">
        <v>0.61125596682779804</v>
      </c>
    </row>
    <row r="158" spans="1:7" x14ac:dyDescent="0.25">
      <c r="A158" t="s">
        <v>286</v>
      </c>
      <c r="B158" t="s">
        <v>267</v>
      </c>
      <c r="C158" t="s">
        <v>268</v>
      </c>
      <c r="D158" t="s">
        <v>238</v>
      </c>
      <c r="E158" t="s">
        <v>239</v>
      </c>
      <c r="F158" s="328" t="s">
        <v>240</v>
      </c>
      <c r="G158" s="327">
        <v>0</v>
      </c>
    </row>
    <row r="159" spans="1:7" x14ac:dyDescent="0.25">
      <c r="A159" t="s">
        <v>286</v>
      </c>
      <c r="B159" t="s">
        <v>269</v>
      </c>
      <c r="C159" t="s">
        <v>270</v>
      </c>
      <c r="D159" t="s">
        <v>238</v>
      </c>
      <c r="E159" t="s">
        <v>239</v>
      </c>
      <c r="F159" s="327">
        <v>0</v>
      </c>
      <c r="G159" s="328" t="s">
        <v>240</v>
      </c>
    </row>
    <row r="160" spans="1:7" x14ac:dyDescent="0.25">
      <c r="A160" t="s">
        <v>286</v>
      </c>
      <c r="B160" t="s">
        <v>271</v>
      </c>
      <c r="C160" t="s">
        <v>272</v>
      </c>
      <c r="D160" t="s">
        <v>238</v>
      </c>
      <c r="E160" t="s">
        <v>239</v>
      </c>
      <c r="F160" s="327">
        <v>0</v>
      </c>
      <c r="G160" s="328" t="s">
        <v>240</v>
      </c>
    </row>
    <row r="161" spans="1:7" x14ac:dyDescent="0.25">
      <c r="A161" t="s">
        <v>286</v>
      </c>
      <c r="B161" t="s">
        <v>273</v>
      </c>
      <c r="C161" t="s">
        <v>274</v>
      </c>
      <c r="D161" t="s">
        <v>238</v>
      </c>
      <c r="E161" t="s">
        <v>239</v>
      </c>
      <c r="F161" s="327">
        <v>0</v>
      </c>
      <c r="G161" s="328" t="s">
        <v>240</v>
      </c>
    </row>
    <row r="162" spans="1:7" x14ac:dyDescent="0.25">
      <c r="A162" t="s">
        <v>286</v>
      </c>
      <c r="B162" t="s">
        <v>275</v>
      </c>
      <c r="C162" t="s">
        <v>276</v>
      </c>
      <c r="D162" t="s">
        <v>238</v>
      </c>
      <c r="E162" t="s">
        <v>239</v>
      </c>
      <c r="F162" s="327">
        <v>0</v>
      </c>
      <c r="G162" s="328" t="s">
        <v>240</v>
      </c>
    </row>
    <row r="163" spans="1:7" x14ac:dyDescent="0.25">
      <c r="A163" t="s">
        <v>286</v>
      </c>
      <c r="B163" t="s">
        <v>277</v>
      </c>
      <c r="C163" t="s">
        <v>278</v>
      </c>
      <c r="D163" t="s">
        <v>238</v>
      </c>
      <c r="E163" t="s">
        <v>239</v>
      </c>
      <c r="F163" s="327">
        <v>0</v>
      </c>
      <c r="G163" s="328" t="s">
        <v>240</v>
      </c>
    </row>
    <row r="164" spans="1:7" x14ac:dyDescent="0.25">
      <c r="A164" t="s">
        <v>286</v>
      </c>
      <c r="B164" t="s">
        <v>279</v>
      </c>
      <c r="C164" t="s">
        <v>280</v>
      </c>
      <c r="D164" t="s">
        <v>238</v>
      </c>
      <c r="E164" t="s">
        <v>239</v>
      </c>
      <c r="F164" s="327">
        <v>0</v>
      </c>
      <c r="G164" s="328" t="s">
        <v>240</v>
      </c>
    </row>
    <row r="165" spans="1:7" x14ac:dyDescent="0.25">
      <c r="A165" t="s">
        <v>286</v>
      </c>
      <c r="B165" t="s">
        <v>281</v>
      </c>
      <c r="C165" t="s">
        <v>282</v>
      </c>
      <c r="D165" t="s">
        <v>238</v>
      </c>
      <c r="E165" t="s">
        <v>239</v>
      </c>
      <c r="F165" s="327">
        <v>0</v>
      </c>
      <c r="G165" s="328" t="s">
        <v>240</v>
      </c>
    </row>
    <row r="166" spans="1:7" x14ac:dyDescent="0.25">
      <c r="A166" t="s">
        <v>286</v>
      </c>
      <c r="B166" t="s">
        <v>283</v>
      </c>
      <c r="C166" t="s">
        <v>284</v>
      </c>
      <c r="D166" t="s">
        <v>238</v>
      </c>
      <c r="E166" t="s">
        <v>239</v>
      </c>
      <c r="F166" s="327">
        <v>0</v>
      </c>
      <c r="G166" s="328" t="s">
        <v>240</v>
      </c>
    </row>
    <row r="167" spans="1:7" x14ac:dyDescent="0.25">
      <c r="A167" t="s">
        <v>287</v>
      </c>
      <c r="B167" t="s">
        <v>236</v>
      </c>
      <c r="C167" t="s">
        <v>237</v>
      </c>
      <c r="D167" t="s">
        <v>238</v>
      </c>
      <c r="E167" t="s">
        <v>239</v>
      </c>
      <c r="F167" s="327">
        <v>0</v>
      </c>
      <c r="G167" s="328" t="s">
        <v>240</v>
      </c>
    </row>
    <row r="168" spans="1:7" x14ac:dyDescent="0.25">
      <c r="A168" t="s">
        <v>287</v>
      </c>
      <c r="B168" t="s">
        <v>241</v>
      </c>
      <c r="C168" t="s">
        <v>242</v>
      </c>
      <c r="D168" t="s">
        <v>238</v>
      </c>
      <c r="E168" t="s">
        <v>239</v>
      </c>
      <c r="F168" s="327">
        <v>0</v>
      </c>
      <c r="G168" s="328" t="s">
        <v>240</v>
      </c>
    </row>
    <row r="169" spans="1:7" x14ac:dyDescent="0.25">
      <c r="A169" t="s">
        <v>287</v>
      </c>
      <c r="B169" t="s">
        <v>243</v>
      </c>
      <c r="C169" t="s">
        <v>244</v>
      </c>
      <c r="D169" t="s">
        <v>238</v>
      </c>
      <c r="E169" t="s">
        <v>239</v>
      </c>
      <c r="F169" s="327">
        <v>0</v>
      </c>
      <c r="G169" s="328" t="s">
        <v>240</v>
      </c>
    </row>
    <row r="170" spans="1:7" x14ac:dyDescent="0.25">
      <c r="A170" t="s">
        <v>287</v>
      </c>
      <c r="B170" t="s">
        <v>245</v>
      </c>
      <c r="C170" t="s">
        <v>246</v>
      </c>
      <c r="D170" t="s">
        <v>238</v>
      </c>
      <c r="E170" t="s">
        <v>239</v>
      </c>
      <c r="F170" s="327">
        <v>0</v>
      </c>
      <c r="G170" s="328" t="s">
        <v>240</v>
      </c>
    </row>
    <row r="171" spans="1:7" x14ac:dyDescent="0.25">
      <c r="A171" t="s">
        <v>287</v>
      </c>
      <c r="B171" t="s">
        <v>247</v>
      </c>
      <c r="C171" t="s">
        <v>248</v>
      </c>
      <c r="D171" t="s">
        <v>238</v>
      </c>
      <c r="E171" t="s">
        <v>239</v>
      </c>
      <c r="F171" s="327">
        <v>1.08397250726794</v>
      </c>
      <c r="G171" s="328" t="s">
        <v>240</v>
      </c>
    </row>
    <row r="172" spans="1:7" x14ac:dyDescent="0.25">
      <c r="A172" t="s">
        <v>287</v>
      </c>
      <c r="B172" t="s">
        <v>249</v>
      </c>
      <c r="C172" t="s">
        <v>250</v>
      </c>
      <c r="D172" t="s">
        <v>238</v>
      </c>
      <c r="E172" t="s">
        <v>239</v>
      </c>
      <c r="F172" s="327">
        <v>0</v>
      </c>
      <c r="G172" s="328" t="s">
        <v>240</v>
      </c>
    </row>
    <row r="173" spans="1:7" x14ac:dyDescent="0.25">
      <c r="A173" t="s">
        <v>287</v>
      </c>
      <c r="B173" t="s">
        <v>251</v>
      </c>
      <c r="C173" t="s">
        <v>252</v>
      </c>
      <c r="D173" t="s">
        <v>238</v>
      </c>
      <c r="E173" t="s">
        <v>239</v>
      </c>
      <c r="F173" s="327">
        <v>0</v>
      </c>
      <c r="G173" s="328" t="s">
        <v>240</v>
      </c>
    </row>
    <row r="174" spans="1:7" x14ac:dyDescent="0.25">
      <c r="A174" t="s">
        <v>287</v>
      </c>
      <c r="B174" t="s">
        <v>253</v>
      </c>
      <c r="C174" t="s">
        <v>254</v>
      </c>
      <c r="D174" t="s">
        <v>238</v>
      </c>
      <c r="E174" t="s">
        <v>239</v>
      </c>
      <c r="F174" s="327">
        <v>3.5006026495307797E-2</v>
      </c>
      <c r="G174" s="328" t="s">
        <v>240</v>
      </c>
    </row>
    <row r="175" spans="1:7" x14ac:dyDescent="0.25">
      <c r="A175" t="s">
        <v>287</v>
      </c>
      <c r="B175" t="s">
        <v>255</v>
      </c>
      <c r="C175" t="s">
        <v>256</v>
      </c>
      <c r="D175" t="s">
        <v>238</v>
      </c>
      <c r="E175" t="s">
        <v>239</v>
      </c>
      <c r="F175" s="327">
        <v>0</v>
      </c>
      <c r="G175" s="328" t="s">
        <v>240</v>
      </c>
    </row>
    <row r="176" spans="1:7" x14ac:dyDescent="0.25">
      <c r="A176" t="s">
        <v>287</v>
      </c>
      <c r="B176" t="s">
        <v>257</v>
      </c>
      <c r="C176" t="s">
        <v>258</v>
      </c>
      <c r="D176" t="s">
        <v>238</v>
      </c>
      <c r="E176" t="s">
        <v>239</v>
      </c>
      <c r="F176" s="327">
        <v>0</v>
      </c>
      <c r="G176" s="328" t="s">
        <v>240</v>
      </c>
    </row>
    <row r="177" spans="1:7" x14ac:dyDescent="0.25">
      <c r="A177" t="s">
        <v>287</v>
      </c>
      <c r="B177" t="s">
        <v>259</v>
      </c>
      <c r="C177" t="s">
        <v>260</v>
      </c>
      <c r="D177" t="s">
        <v>238</v>
      </c>
      <c r="E177" t="s">
        <v>239</v>
      </c>
      <c r="F177" s="328" t="s">
        <v>240</v>
      </c>
      <c r="G177" s="327">
        <v>0.10563724395695399</v>
      </c>
    </row>
    <row r="178" spans="1:7" x14ac:dyDescent="0.25">
      <c r="A178" t="s">
        <v>287</v>
      </c>
      <c r="B178" t="s">
        <v>261</v>
      </c>
      <c r="C178" t="s">
        <v>262</v>
      </c>
      <c r="D178" t="s">
        <v>238</v>
      </c>
      <c r="E178" t="s">
        <v>239</v>
      </c>
      <c r="F178" s="328" t="s">
        <v>240</v>
      </c>
      <c r="G178" s="327">
        <v>1.07803124507388</v>
      </c>
    </row>
    <row r="179" spans="1:7" x14ac:dyDescent="0.25">
      <c r="A179" t="s">
        <v>287</v>
      </c>
      <c r="B179" t="s">
        <v>263</v>
      </c>
      <c r="C179" t="s">
        <v>264</v>
      </c>
      <c r="D179" t="s">
        <v>238</v>
      </c>
      <c r="E179" t="s">
        <v>239</v>
      </c>
      <c r="F179" s="328" t="s">
        <v>240</v>
      </c>
      <c r="G179" s="327">
        <v>0</v>
      </c>
    </row>
    <row r="180" spans="1:7" x14ac:dyDescent="0.25">
      <c r="A180" t="s">
        <v>287</v>
      </c>
      <c r="B180" t="s">
        <v>265</v>
      </c>
      <c r="C180" t="s">
        <v>266</v>
      </c>
      <c r="D180" t="s">
        <v>238</v>
      </c>
      <c r="E180" t="s">
        <v>239</v>
      </c>
      <c r="F180" s="328" t="s">
        <v>240</v>
      </c>
      <c r="G180" s="327">
        <v>0</v>
      </c>
    </row>
    <row r="181" spans="1:7" x14ac:dyDescent="0.25">
      <c r="A181" t="s">
        <v>287</v>
      </c>
      <c r="B181" t="s">
        <v>267</v>
      </c>
      <c r="C181" t="s">
        <v>268</v>
      </c>
      <c r="D181" t="s">
        <v>238</v>
      </c>
      <c r="E181" t="s">
        <v>239</v>
      </c>
      <c r="F181" s="328" t="s">
        <v>240</v>
      </c>
      <c r="G181" s="327">
        <v>0</v>
      </c>
    </row>
    <row r="182" spans="1:7" x14ac:dyDescent="0.25">
      <c r="A182" t="s">
        <v>287</v>
      </c>
      <c r="B182" t="s">
        <v>269</v>
      </c>
      <c r="C182" t="s">
        <v>270</v>
      </c>
      <c r="D182" t="s">
        <v>238</v>
      </c>
      <c r="E182" t="s">
        <v>239</v>
      </c>
      <c r="F182" s="327">
        <v>0</v>
      </c>
      <c r="G182" s="328" t="s">
        <v>240</v>
      </c>
    </row>
    <row r="183" spans="1:7" x14ac:dyDescent="0.25">
      <c r="A183" t="s">
        <v>287</v>
      </c>
      <c r="B183" t="s">
        <v>271</v>
      </c>
      <c r="C183" t="s">
        <v>272</v>
      </c>
      <c r="D183" t="s">
        <v>238</v>
      </c>
      <c r="E183" t="s">
        <v>239</v>
      </c>
      <c r="F183" s="327">
        <v>0</v>
      </c>
      <c r="G183" s="328" t="s">
        <v>240</v>
      </c>
    </row>
    <row r="184" spans="1:7" x14ac:dyDescent="0.25">
      <c r="A184" t="s">
        <v>287</v>
      </c>
      <c r="B184" t="s">
        <v>273</v>
      </c>
      <c r="C184" t="s">
        <v>274</v>
      </c>
      <c r="D184" t="s">
        <v>238</v>
      </c>
      <c r="E184" t="s">
        <v>239</v>
      </c>
      <c r="F184" s="327">
        <v>0</v>
      </c>
      <c r="G184" s="328" t="s">
        <v>240</v>
      </c>
    </row>
    <row r="185" spans="1:7" x14ac:dyDescent="0.25">
      <c r="A185" t="s">
        <v>287</v>
      </c>
      <c r="B185" t="s">
        <v>275</v>
      </c>
      <c r="C185" t="s">
        <v>276</v>
      </c>
      <c r="D185" t="s">
        <v>238</v>
      </c>
      <c r="E185" t="s">
        <v>239</v>
      </c>
      <c r="F185" s="327">
        <v>0</v>
      </c>
      <c r="G185" s="328" t="s">
        <v>240</v>
      </c>
    </row>
    <row r="186" spans="1:7" x14ac:dyDescent="0.25">
      <c r="A186" t="s">
        <v>287</v>
      </c>
      <c r="B186" t="s">
        <v>277</v>
      </c>
      <c r="C186" t="s">
        <v>278</v>
      </c>
      <c r="D186" t="s">
        <v>238</v>
      </c>
      <c r="E186" t="s">
        <v>239</v>
      </c>
      <c r="F186" s="327">
        <v>0</v>
      </c>
      <c r="G186" s="328" t="s">
        <v>240</v>
      </c>
    </row>
    <row r="187" spans="1:7" x14ac:dyDescent="0.25">
      <c r="A187" t="s">
        <v>287</v>
      </c>
      <c r="B187" t="s">
        <v>279</v>
      </c>
      <c r="C187" t="s">
        <v>280</v>
      </c>
      <c r="D187" t="s">
        <v>238</v>
      </c>
      <c r="E187" t="s">
        <v>239</v>
      </c>
      <c r="F187" s="327">
        <v>0</v>
      </c>
      <c r="G187" s="328" t="s">
        <v>240</v>
      </c>
    </row>
    <row r="188" spans="1:7" x14ac:dyDescent="0.25">
      <c r="A188" t="s">
        <v>287</v>
      </c>
      <c r="B188" t="s">
        <v>281</v>
      </c>
      <c r="C188" t="s">
        <v>282</v>
      </c>
      <c r="D188" t="s">
        <v>238</v>
      </c>
      <c r="E188" t="s">
        <v>239</v>
      </c>
      <c r="F188" s="327">
        <v>0</v>
      </c>
      <c r="G188" s="328" t="s">
        <v>240</v>
      </c>
    </row>
    <row r="189" spans="1:7" x14ac:dyDescent="0.25">
      <c r="A189" t="s">
        <v>287</v>
      </c>
      <c r="B189" t="s">
        <v>283</v>
      </c>
      <c r="C189" t="s">
        <v>284</v>
      </c>
      <c r="D189" t="s">
        <v>238</v>
      </c>
      <c r="E189" t="s">
        <v>239</v>
      </c>
      <c r="F189" s="327">
        <v>0</v>
      </c>
      <c r="G189" s="328" t="s">
        <v>240</v>
      </c>
    </row>
    <row r="190" spans="1:7" x14ac:dyDescent="0.25">
      <c r="A190" t="s">
        <v>95</v>
      </c>
      <c r="B190" t="s">
        <v>236</v>
      </c>
      <c r="C190" t="s">
        <v>237</v>
      </c>
      <c r="D190" t="s">
        <v>238</v>
      </c>
      <c r="E190" t="s">
        <v>239</v>
      </c>
      <c r="F190" s="327">
        <v>0</v>
      </c>
      <c r="G190" s="328" t="s">
        <v>240</v>
      </c>
    </row>
    <row r="191" spans="1:7" x14ac:dyDescent="0.25">
      <c r="A191" t="s">
        <v>95</v>
      </c>
      <c r="B191" t="s">
        <v>241</v>
      </c>
      <c r="C191" t="s">
        <v>242</v>
      </c>
      <c r="D191" t="s">
        <v>238</v>
      </c>
      <c r="E191" t="s">
        <v>239</v>
      </c>
      <c r="F191" s="327">
        <v>-0.21818937042412301</v>
      </c>
      <c r="G191" s="328" t="s">
        <v>240</v>
      </c>
    </row>
    <row r="192" spans="1:7" x14ac:dyDescent="0.25">
      <c r="A192" t="s">
        <v>95</v>
      </c>
      <c r="B192" t="s">
        <v>243</v>
      </c>
      <c r="C192" t="s">
        <v>244</v>
      </c>
      <c r="D192" t="s">
        <v>238</v>
      </c>
      <c r="E192" t="s">
        <v>239</v>
      </c>
      <c r="F192" s="327">
        <v>-3.5689969993451101</v>
      </c>
      <c r="G192" s="328" t="s">
        <v>240</v>
      </c>
    </row>
    <row r="193" spans="1:7" x14ac:dyDescent="0.25">
      <c r="A193" t="s">
        <v>95</v>
      </c>
      <c r="B193" t="s">
        <v>245</v>
      </c>
      <c r="C193" t="s">
        <v>246</v>
      </c>
      <c r="D193" t="s">
        <v>238</v>
      </c>
      <c r="E193" t="s">
        <v>239</v>
      </c>
      <c r="F193" s="327">
        <v>0</v>
      </c>
      <c r="G193" s="328" t="s">
        <v>240</v>
      </c>
    </row>
    <row r="194" spans="1:7" x14ac:dyDescent="0.25">
      <c r="A194" t="s">
        <v>95</v>
      </c>
      <c r="B194" t="s">
        <v>247</v>
      </c>
      <c r="C194" t="s">
        <v>248</v>
      </c>
      <c r="D194" t="s">
        <v>238</v>
      </c>
      <c r="E194" t="s">
        <v>239</v>
      </c>
      <c r="F194" s="327">
        <v>5.4465996379573598</v>
      </c>
      <c r="G194" s="328" t="s">
        <v>240</v>
      </c>
    </row>
    <row r="195" spans="1:7" x14ac:dyDescent="0.25">
      <c r="A195" t="s">
        <v>95</v>
      </c>
      <c r="B195" t="s">
        <v>249</v>
      </c>
      <c r="C195" t="s">
        <v>250</v>
      </c>
      <c r="D195" t="s">
        <v>238</v>
      </c>
      <c r="E195" t="s">
        <v>239</v>
      </c>
      <c r="F195" s="327">
        <v>29.4390621617456</v>
      </c>
      <c r="G195" s="328" t="s">
        <v>240</v>
      </c>
    </row>
    <row r="196" spans="1:7" x14ac:dyDescent="0.25">
      <c r="A196" t="s">
        <v>95</v>
      </c>
      <c r="B196" t="s">
        <v>251</v>
      </c>
      <c r="C196" t="s">
        <v>252</v>
      </c>
      <c r="D196" t="s">
        <v>238</v>
      </c>
      <c r="E196" t="s">
        <v>239</v>
      </c>
      <c r="F196" s="327">
        <v>0</v>
      </c>
      <c r="G196" s="328" t="s">
        <v>240</v>
      </c>
    </row>
    <row r="197" spans="1:7" x14ac:dyDescent="0.25">
      <c r="A197" t="s">
        <v>95</v>
      </c>
      <c r="B197" t="s">
        <v>253</v>
      </c>
      <c r="C197" t="s">
        <v>254</v>
      </c>
      <c r="D197" t="s">
        <v>238</v>
      </c>
      <c r="E197" t="s">
        <v>239</v>
      </c>
      <c r="F197" s="327">
        <v>-2.0860089258216301E-2</v>
      </c>
      <c r="G197" s="328" t="s">
        <v>240</v>
      </c>
    </row>
    <row r="198" spans="1:7" x14ac:dyDescent="0.25">
      <c r="A198" t="s">
        <v>95</v>
      </c>
      <c r="B198" t="s">
        <v>255</v>
      </c>
      <c r="C198" t="s">
        <v>256</v>
      </c>
      <c r="D198" t="s">
        <v>238</v>
      </c>
      <c r="E198" t="s">
        <v>239</v>
      </c>
      <c r="F198" s="327">
        <v>-0.196810407349258</v>
      </c>
      <c r="G198" s="328" t="s">
        <v>240</v>
      </c>
    </row>
    <row r="199" spans="1:7" x14ac:dyDescent="0.25">
      <c r="A199" t="s">
        <v>95</v>
      </c>
      <c r="B199" t="s">
        <v>257</v>
      </c>
      <c r="C199" t="s">
        <v>258</v>
      </c>
      <c r="D199" t="s">
        <v>238</v>
      </c>
      <c r="E199" t="s">
        <v>239</v>
      </c>
      <c r="F199" s="327">
        <v>0</v>
      </c>
      <c r="G199" s="328" t="s">
        <v>240</v>
      </c>
    </row>
    <row r="200" spans="1:7" x14ac:dyDescent="0.25">
      <c r="A200" t="s">
        <v>95</v>
      </c>
      <c r="B200" t="s">
        <v>259</v>
      </c>
      <c r="C200" t="s">
        <v>260</v>
      </c>
      <c r="D200" t="s">
        <v>238</v>
      </c>
      <c r="E200" t="s">
        <v>239</v>
      </c>
      <c r="F200" s="328" t="s">
        <v>240</v>
      </c>
      <c r="G200" s="327">
        <v>5.4691091242536197E-2</v>
      </c>
    </row>
    <row r="201" spans="1:7" x14ac:dyDescent="0.25">
      <c r="A201" t="s">
        <v>95</v>
      </c>
      <c r="B201" t="s">
        <v>261</v>
      </c>
      <c r="C201" t="s">
        <v>262</v>
      </c>
      <c r="D201" t="s">
        <v>238</v>
      </c>
      <c r="E201" t="s">
        <v>239</v>
      </c>
      <c r="F201" s="328" t="s">
        <v>240</v>
      </c>
      <c r="G201" s="327">
        <v>0.62658749139338799</v>
      </c>
    </row>
    <row r="202" spans="1:7" x14ac:dyDescent="0.25">
      <c r="A202" t="s">
        <v>95</v>
      </c>
      <c r="B202" t="s">
        <v>263</v>
      </c>
      <c r="C202" t="s">
        <v>264</v>
      </c>
      <c r="D202" t="s">
        <v>238</v>
      </c>
      <c r="E202" t="s">
        <v>239</v>
      </c>
      <c r="F202" s="328" t="s">
        <v>240</v>
      </c>
      <c r="G202" s="327">
        <v>2.2677644800615302</v>
      </c>
    </row>
    <row r="203" spans="1:7" x14ac:dyDescent="0.25">
      <c r="A203" t="s">
        <v>95</v>
      </c>
      <c r="B203" t="s">
        <v>265</v>
      </c>
      <c r="C203" t="s">
        <v>266</v>
      </c>
      <c r="D203" t="s">
        <v>238</v>
      </c>
      <c r="E203" t="s">
        <v>239</v>
      </c>
      <c r="F203" s="328" t="s">
        <v>240</v>
      </c>
      <c r="G203" s="327">
        <v>0.12823457359118601</v>
      </c>
    </row>
    <row r="204" spans="1:7" x14ac:dyDescent="0.25">
      <c r="A204" t="s">
        <v>95</v>
      </c>
      <c r="B204" t="s">
        <v>267</v>
      </c>
      <c r="C204" t="s">
        <v>268</v>
      </c>
      <c r="D204" t="s">
        <v>238</v>
      </c>
      <c r="E204" t="s">
        <v>239</v>
      </c>
      <c r="F204" s="328" t="s">
        <v>240</v>
      </c>
      <c r="G204" s="327">
        <v>0</v>
      </c>
    </row>
    <row r="205" spans="1:7" x14ac:dyDescent="0.25">
      <c r="A205" t="s">
        <v>95</v>
      </c>
      <c r="B205" t="s">
        <v>269</v>
      </c>
      <c r="C205" t="s">
        <v>270</v>
      </c>
      <c r="D205" t="s">
        <v>238</v>
      </c>
      <c r="E205" t="s">
        <v>239</v>
      </c>
      <c r="F205" s="327">
        <v>0</v>
      </c>
      <c r="G205" s="328" t="s">
        <v>240</v>
      </c>
    </row>
    <row r="206" spans="1:7" x14ac:dyDescent="0.25">
      <c r="A206" t="s">
        <v>95</v>
      </c>
      <c r="B206" t="s">
        <v>271</v>
      </c>
      <c r="C206" t="s">
        <v>272</v>
      </c>
      <c r="D206" t="s">
        <v>238</v>
      </c>
      <c r="E206" t="s">
        <v>239</v>
      </c>
      <c r="F206" s="327">
        <v>0</v>
      </c>
      <c r="G206" s="328" t="s">
        <v>240</v>
      </c>
    </row>
    <row r="207" spans="1:7" x14ac:dyDescent="0.25">
      <c r="A207" t="s">
        <v>95</v>
      </c>
      <c r="B207" t="s">
        <v>273</v>
      </c>
      <c r="C207" t="s">
        <v>274</v>
      </c>
      <c r="D207" t="s">
        <v>238</v>
      </c>
      <c r="E207" t="s">
        <v>239</v>
      </c>
      <c r="F207" s="327">
        <v>0</v>
      </c>
      <c r="G207" s="328" t="s">
        <v>240</v>
      </c>
    </row>
    <row r="208" spans="1:7" x14ac:dyDescent="0.25">
      <c r="A208" t="s">
        <v>95</v>
      </c>
      <c r="B208" t="s">
        <v>275</v>
      </c>
      <c r="C208" t="s">
        <v>276</v>
      </c>
      <c r="D208" t="s">
        <v>238</v>
      </c>
      <c r="E208" t="s">
        <v>239</v>
      </c>
      <c r="F208" s="327">
        <v>0</v>
      </c>
      <c r="G208" s="328" t="s">
        <v>240</v>
      </c>
    </row>
    <row r="209" spans="1:7" x14ac:dyDescent="0.25">
      <c r="A209" t="s">
        <v>95</v>
      </c>
      <c r="B209" t="s">
        <v>277</v>
      </c>
      <c r="C209" t="s">
        <v>278</v>
      </c>
      <c r="D209" t="s">
        <v>238</v>
      </c>
      <c r="E209" t="s">
        <v>239</v>
      </c>
      <c r="F209" s="327">
        <v>0</v>
      </c>
      <c r="G209" s="328" t="s">
        <v>240</v>
      </c>
    </row>
    <row r="210" spans="1:7" x14ac:dyDescent="0.25">
      <c r="A210" t="s">
        <v>95</v>
      </c>
      <c r="B210" t="s">
        <v>279</v>
      </c>
      <c r="C210" t="s">
        <v>280</v>
      </c>
      <c r="D210" t="s">
        <v>238</v>
      </c>
      <c r="E210" t="s">
        <v>239</v>
      </c>
      <c r="F210" s="327">
        <v>0</v>
      </c>
      <c r="G210" s="328" t="s">
        <v>240</v>
      </c>
    </row>
    <row r="211" spans="1:7" x14ac:dyDescent="0.25">
      <c r="A211" t="s">
        <v>95</v>
      </c>
      <c r="B211" t="s">
        <v>281</v>
      </c>
      <c r="C211" t="s">
        <v>282</v>
      </c>
      <c r="D211" t="s">
        <v>238</v>
      </c>
      <c r="E211" t="s">
        <v>239</v>
      </c>
      <c r="F211" s="327">
        <v>0</v>
      </c>
      <c r="G211" s="328" t="s">
        <v>240</v>
      </c>
    </row>
    <row r="212" spans="1:7" x14ac:dyDescent="0.25">
      <c r="A212" t="s">
        <v>95</v>
      </c>
      <c r="B212" t="s">
        <v>283</v>
      </c>
      <c r="C212" t="s">
        <v>284</v>
      </c>
      <c r="D212" t="s">
        <v>238</v>
      </c>
      <c r="E212" t="s">
        <v>239</v>
      </c>
      <c r="F212" s="327">
        <v>0</v>
      </c>
      <c r="G212" s="328" t="s">
        <v>240</v>
      </c>
    </row>
    <row r="213" spans="1:7" x14ac:dyDescent="0.25">
      <c r="A213" t="s">
        <v>99</v>
      </c>
      <c r="B213" t="s">
        <v>236</v>
      </c>
      <c r="C213" t="s">
        <v>237</v>
      </c>
      <c r="D213" t="s">
        <v>238</v>
      </c>
      <c r="E213" t="s">
        <v>239</v>
      </c>
      <c r="F213" s="327">
        <v>-2.0656873166400101E-2</v>
      </c>
      <c r="G213" s="328" t="s">
        <v>240</v>
      </c>
    </row>
    <row r="214" spans="1:7" x14ac:dyDescent="0.25">
      <c r="A214" t="s">
        <v>99</v>
      </c>
      <c r="B214" t="s">
        <v>241</v>
      </c>
      <c r="C214" t="s">
        <v>242</v>
      </c>
      <c r="D214" t="s">
        <v>238</v>
      </c>
      <c r="E214" t="s">
        <v>239</v>
      </c>
      <c r="F214" s="327">
        <v>0</v>
      </c>
      <c r="G214" s="328" t="s">
        <v>240</v>
      </c>
    </row>
    <row r="215" spans="1:7" x14ac:dyDescent="0.25">
      <c r="A215" t="s">
        <v>99</v>
      </c>
      <c r="B215" t="s">
        <v>243</v>
      </c>
      <c r="C215" t="s">
        <v>244</v>
      </c>
      <c r="D215" t="s">
        <v>238</v>
      </c>
      <c r="E215" t="s">
        <v>239</v>
      </c>
      <c r="F215" s="327">
        <v>0</v>
      </c>
      <c r="G215" s="328" t="s">
        <v>240</v>
      </c>
    </row>
    <row r="216" spans="1:7" x14ac:dyDescent="0.25">
      <c r="A216" t="s">
        <v>99</v>
      </c>
      <c r="B216" t="s">
        <v>245</v>
      </c>
      <c r="C216" t="s">
        <v>246</v>
      </c>
      <c r="D216" t="s">
        <v>238</v>
      </c>
      <c r="E216" t="s">
        <v>239</v>
      </c>
      <c r="F216" s="327">
        <v>0</v>
      </c>
      <c r="G216" s="328" t="s">
        <v>240</v>
      </c>
    </row>
    <row r="217" spans="1:7" x14ac:dyDescent="0.25">
      <c r="A217" t="s">
        <v>99</v>
      </c>
      <c r="B217" t="s">
        <v>247</v>
      </c>
      <c r="C217" t="s">
        <v>248</v>
      </c>
      <c r="D217" t="s">
        <v>238</v>
      </c>
      <c r="E217" t="s">
        <v>239</v>
      </c>
      <c r="F217" s="327">
        <v>3.41709770458132</v>
      </c>
      <c r="G217" s="328" t="s">
        <v>240</v>
      </c>
    </row>
    <row r="218" spans="1:7" x14ac:dyDescent="0.25">
      <c r="A218" t="s">
        <v>99</v>
      </c>
      <c r="B218" t="s">
        <v>249</v>
      </c>
      <c r="C218" t="s">
        <v>250</v>
      </c>
      <c r="D218" t="s">
        <v>238</v>
      </c>
      <c r="E218" t="s">
        <v>239</v>
      </c>
      <c r="F218" s="327">
        <v>7.0526221424135498</v>
      </c>
      <c r="G218" s="328" t="s">
        <v>240</v>
      </c>
    </row>
    <row r="219" spans="1:7" x14ac:dyDescent="0.25">
      <c r="A219" t="s">
        <v>99</v>
      </c>
      <c r="B219" t="s">
        <v>251</v>
      </c>
      <c r="C219" t="s">
        <v>252</v>
      </c>
      <c r="D219" t="s">
        <v>238</v>
      </c>
      <c r="E219" t="s">
        <v>239</v>
      </c>
      <c r="F219" s="327">
        <v>-7.04180394077542</v>
      </c>
      <c r="G219" s="328" t="s">
        <v>240</v>
      </c>
    </row>
    <row r="220" spans="1:7" x14ac:dyDescent="0.25">
      <c r="A220" t="s">
        <v>99</v>
      </c>
      <c r="B220" t="s">
        <v>253</v>
      </c>
      <c r="C220" t="s">
        <v>254</v>
      </c>
      <c r="D220" t="s">
        <v>238</v>
      </c>
      <c r="E220" t="s">
        <v>239</v>
      </c>
      <c r="F220" s="327">
        <v>5.408052995267</v>
      </c>
      <c r="G220" s="328" t="s">
        <v>240</v>
      </c>
    </row>
    <row r="221" spans="1:7" x14ac:dyDescent="0.25">
      <c r="A221" t="s">
        <v>99</v>
      </c>
      <c r="B221" t="s">
        <v>255</v>
      </c>
      <c r="C221" t="s">
        <v>256</v>
      </c>
      <c r="D221" t="s">
        <v>238</v>
      </c>
      <c r="E221" t="s">
        <v>239</v>
      </c>
      <c r="F221" s="327">
        <v>6.1139033200514499</v>
      </c>
      <c r="G221" s="328" t="s">
        <v>240</v>
      </c>
    </row>
    <row r="222" spans="1:7" x14ac:dyDescent="0.25">
      <c r="A222" t="s">
        <v>99</v>
      </c>
      <c r="B222" t="s">
        <v>257</v>
      </c>
      <c r="C222" t="s">
        <v>258</v>
      </c>
      <c r="D222" t="s">
        <v>238</v>
      </c>
      <c r="E222" t="s">
        <v>239</v>
      </c>
      <c r="F222" s="327">
        <v>0</v>
      </c>
      <c r="G222" s="328" t="s">
        <v>240</v>
      </c>
    </row>
    <row r="223" spans="1:7" x14ac:dyDescent="0.25">
      <c r="A223" t="s">
        <v>99</v>
      </c>
      <c r="B223" t="s">
        <v>259</v>
      </c>
      <c r="C223" t="s">
        <v>260</v>
      </c>
      <c r="D223" t="s">
        <v>238</v>
      </c>
      <c r="E223" t="s">
        <v>239</v>
      </c>
      <c r="F223" s="328" t="s">
        <v>240</v>
      </c>
      <c r="G223" s="327">
        <v>0.89494863545495895</v>
      </c>
    </row>
    <row r="224" spans="1:7" x14ac:dyDescent="0.25">
      <c r="A224" t="s">
        <v>99</v>
      </c>
      <c r="B224" t="s">
        <v>261</v>
      </c>
      <c r="C224" t="s">
        <v>262</v>
      </c>
      <c r="D224" t="s">
        <v>238</v>
      </c>
      <c r="E224" t="s">
        <v>239</v>
      </c>
      <c r="F224" s="328" t="s">
        <v>240</v>
      </c>
      <c r="G224" s="327">
        <v>17.902329809213999</v>
      </c>
    </row>
    <row r="225" spans="1:7" x14ac:dyDescent="0.25">
      <c r="A225" t="s">
        <v>99</v>
      </c>
      <c r="B225" t="s">
        <v>263</v>
      </c>
      <c r="C225" t="s">
        <v>264</v>
      </c>
      <c r="D225" t="s">
        <v>238</v>
      </c>
      <c r="E225" t="s">
        <v>239</v>
      </c>
      <c r="F225" s="328" t="s">
        <v>240</v>
      </c>
      <c r="G225" s="327">
        <v>23.767918415354</v>
      </c>
    </row>
    <row r="226" spans="1:7" x14ac:dyDescent="0.25">
      <c r="A226" t="s">
        <v>99</v>
      </c>
      <c r="B226" t="s">
        <v>265</v>
      </c>
      <c r="C226" t="s">
        <v>266</v>
      </c>
      <c r="D226" t="s">
        <v>238</v>
      </c>
      <c r="E226" t="s">
        <v>239</v>
      </c>
      <c r="F226" s="328" t="s">
        <v>240</v>
      </c>
      <c r="G226" s="327">
        <v>4.5754664316959897</v>
      </c>
    </row>
    <row r="227" spans="1:7" x14ac:dyDescent="0.25">
      <c r="A227" t="s">
        <v>99</v>
      </c>
      <c r="B227" t="s">
        <v>267</v>
      </c>
      <c r="C227" t="s">
        <v>268</v>
      </c>
      <c r="D227" t="s">
        <v>238</v>
      </c>
      <c r="E227" t="s">
        <v>239</v>
      </c>
      <c r="F227" s="328" t="s">
        <v>240</v>
      </c>
      <c r="G227" s="327">
        <v>3.9501277857124801</v>
      </c>
    </row>
    <row r="228" spans="1:7" x14ac:dyDescent="0.25">
      <c r="A228" t="s">
        <v>99</v>
      </c>
      <c r="B228" t="s">
        <v>269</v>
      </c>
      <c r="C228" t="s">
        <v>270</v>
      </c>
      <c r="D228" t="s">
        <v>238</v>
      </c>
      <c r="E228" t="s">
        <v>239</v>
      </c>
      <c r="F228" s="327">
        <v>0</v>
      </c>
      <c r="G228" s="328" t="s">
        <v>240</v>
      </c>
    </row>
    <row r="229" spans="1:7" x14ac:dyDescent="0.25">
      <c r="A229" t="s">
        <v>99</v>
      </c>
      <c r="B229" t="s">
        <v>271</v>
      </c>
      <c r="C229" t="s">
        <v>272</v>
      </c>
      <c r="D229" t="s">
        <v>238</v>
      </c>
      <c r="E229" t="s">
        <v>239</v>
      </c>
      <c r="F229" s="327">
        <v>-8.19846865290633</v>
      </c>
      <c r="G229" s="328" t="s">
        <v>240</v>
      </c>
    </row>
    <row r="230" spans="1:7" x14ac:dyDescent="0.25">
      <c r="A230" t="s">
        <v>99</v>
      </c>
      <c r="B230" t="s">
        <v>273</v>
      </c>
      <c r="C230" t="s">
        <v>274</v>
      </c>
      <c r="D230" t="s">
        <v>238</v>
      </c>
      <c r="E230" t="s">
        <v>239</v>
      </c>
      <c r="F230" s="327">
        <v>0</v>
      </c>
      <c r="G230" s="328" t="s">
        <v>240</v>
      </c>
    </row>
    <row r="231" spans="1:7" x14ac:dyDescent="0.25">
      <c r="A231" t="s">
        <v>99</v>
      </c>
      <c r="B231" t="s">
        <v>275</v>
      </c>
      <c r="C231" t="s">
        <v>276</v>
      </c>
      <c r="D231" t="s">
        <v>238</v>
      </c>
      <c r="E231" t="s">
        <v>239</v>
      </c>
      <c r="F231" s="327">
        <v>0</v>
      </c>
      <c r="G231" s="328" t="s">
        <v>240</v>
      </c>
    </row>
    <row r="232" spans="1:7" x14ac:dyDescent="0.25">
      <c r="A232" t="s">
        <v>99</v>
      </c>
      <c r="B232" t="s">
        <v>277</v>
      </c>
      <c r="C232" t="s">
        <v>278</v>
      </c>
      <c r="D232" t="s">
        <v>238</v>
      </c>
      <c r="E232" t="s">
        <v>239</v>
      </c>
      <c r="F232" s="327">
        <v>0</v>
      </c>
      <c r="G232" s="328" t="s">
        <v>240</v>
      </c>
    </row>
    <row r="233" spans="1:7" x14ac:dyDescent="0.25">
      <c r="A233" t="s">
        <v>99</v>
      </c>
      <c r="B233" t="s">
        <v>279</v>
      </c>
      <c r="C233" t="s">
        <v>280</v>
      </c>
      <c r="D233" t="s">
        <v>238</v>
      </c>
      <c r="E233" t="s">
        <v>239</v>
      </c>
      <c r="F233" s="327">
        <v>0</v>
      </c>
      <c r="G233" s="328" t="s">
        <v>240</v>
      </c>
    </row>
    <row r="234" spans="1:7" x14ac:dyDescent="0.25">
      <c r="A234" t="s">
        <v>99</v>
      </c>
      <c r="B234" t="s">
        <v>281</v>
      </c>
      <c r="C234" t="s">
        <v>282</v>
      </c>
      <c r="D234" t="s">
        <v>238</v>
      </c>
      <c r="E234" t="s">
        <v>239</v>
      </c>
      <c r="F234" s="327">
        <v>0</v>
      </c>
      <c r="G234" s="328" t="s">
        <v>240</v>
      </c>
    </row>
    <row r="235" spans="1:7" x14ac:dyDescent="0.25">
      <c r="A235" t="s">
        <v>99</v>
      </c>
      <c r="B235" t="s">
        <v>283</v>
      </c>
      <c r="C235" t="s">
        <v>284</v>
      </c>
      <c r="D235" t="s">
        <v>238</v>
      </c>
      <c r="E235" t="s">
        <v>239</v>
      </c>
      <c r="F235" s="327">
        <v>0</v>
      </c>
      <c r="G235" s="328" t="s">
        <v>240</v>
      </c>
    </row>
    <row r="236" spans="1:7" x14ac:dyDescent="0.25">
      <c r="A236" t="s">
        <v>101</v>
      </c>
      <c r="B236" t="s">
        <v>236</v>
      </c>
      <c r="C236" t="s">
        <v>237</v>
      </c>
      <c r="D236" t="s">
        <v>238</v>
      </c>
      <c r="E236" t="s">
        <v>239</v>
      </c>
      <c r="F236" s="327">
        <v>0</v>
      </c>
      <c r="G236" s="328" t="s">
        <v>240</v>
      </c>
    </row>
    <row r="237" spans="1:7" x14ac:dyDescent="0.25">
      <c r="A237" t="s">
        <v>101</v>
      </c>
      <c r="B237" t="s">
        <v>241</v>
      </c>
      <c r="C237" t="s">
        <v>242</v>
      </c>
      <c r="D237" t="s">
        <v>238</v>
      </c>
      <c r="E237" t="s">
        <v>239</v>
      </c>
      <c r="F237" s="327">
        <v>0</v>
      </c>
      <c r="G237" s="328" t="s">
        <v>240</v>
      </c>
    </row>
    <row r="238" spans="1:7" x14ac:dyDescent="0.25">
      <c r="A238" t="s">
        <v>101</v>
      </c>
      <c r="B238" t="s">
        <v>243</v>
      </c>
      <c r="C238" t="s">
        <v>244</v>
      </c>
      <c r="D238" t="s">
        <v>238</v>
      </c>
      <c r="E238" t="s">
        <v>239</v>
      </c>
      <c r="F238" s="327">
        <v>-9.9932673400345902</v>
      </c>
      <c r="G238" s="328" t="s">
        <v>240</v>
      </c>
    </row>
    <row r="239" spans="1:7" x14ac:dyDescent="0.25">
      <c r="A239" t="s">
        <v>101</v>
      </c>
      <c r="B239" t="s">
        <v>245</v>
      </c>
      <c r="C239" t="s">
        <v>246</v>
      </c>
      <c r="D239" t="s">
        <v>238</v>
      </c>
      <c r="E239" t="s">
        <v>239</v>
      </c>
      <c r="F239" s="327">
        <v>0</v>
      </c>
      <c r="G239" s="328" t="s">
        <v>240</v>
      </c>
    </row>
    <row r="240" spans="1:7" x14ac:dyDescent="0.25">
      <c r="A240" t="s">
        <v>101</v>
      </c>
      <c r="B240" t="s">
        <v>247</v>
      </c>
      <c r="C240" t="s">
        <v>248</v>
      </c>
      <c r="D240" t="s">
        <v>238</v>
      </c>
      <c r="E240" t="s">
        <v>239</v>
      </c>
      <c r="F240" s="327">
        <v>0.72277854479214998</v>
      </c>
      <c r="G240" s="328" t="s">
        <v>240</v>
      </c>
    </row>
    <row r="241" spans="1:7" x14ac:dyDescent="0.25">
      <c r="A241" t="s">
        <v>101</v>
      </c>
      <c r="B241" t="s">
        <v>249</v>
      </c>
      <c r="C241" t="s">
        <v>250</v>
      </c>
      <c r="D241" t="s">
        <v>238</v>
      </c>
      <c r="E241" t="s">
        <v>239</v>
      </c>
      <c r="F241" s="327">
        <v>23.3195776440832</v>
      </c>
      <c r="G241" s="328" t="s">
        <v>240</v>
      </c>
    </row>
    <row r="242" spans="1:7" x14ac:dyDescent="0.25">
      <c r="A242" t="s">
        <v>101</v>
      </c>
      <c r="B242" t="s">
        <v>251</v>
      </c>
      <c r="C242" t="s">
        <v>252</v>
      </c>
      <c r="D242" t="s">
        <v>238</v>
      </c>
      <c r="E242" t="s">
        <v>239</v>
      </c>
      <c r="F242" s="327">
        <v>0</v>
      </c>
      <c r="G242" s="328" t="s">
        <v>240</v>
      </c>
    </row>
    <row r="243" spans="1:7" x14ac:dyDescent="0.25">
      <c r="A243" t="s">
        <v>101</v>
      </c>
      <c r="B243" t="s">
        <v>253</v>
      </c>
      <c r="C243" t="s">
        <v>254</v>
      </c>
      <c r="D243" t="s">
        <v>238</v>
      </c>
      <c r="E243" t="s">
        <v>239</v>
      </c>
      <c r="F243" s="327">
        <v>0.19606336672493899</v>
      </c>
      <c r="G243" s="328" t="s">
        <v>240</v>
      </c>
    </row>
    <row r="244" spans="1:7" x14ac:dyDescent="0.25">
      <c r="A244" t="s">
        <v>101</v>
      </c>
      <c r="B244" t="s">
        <v>255</v>
      </c>
      <c r="C244" t="s">
        <v>256</v>
      </c>
      <c r="D244" t="s">
        <v>238</v>
      </c>
      <c r="E244" t="s">
        <v>239</v>
      </c>
      <c r="F244" s="327">
        <v>5.8334943655738103E-2</v>
      </c>
      <c r="G244" s="328" t="s">
        <v>240</v>
      </c>
    </row>
    <row r="245" spans="1:7" x14ac:dyDescent="0.25">
      <c r="A245" t="s">
        <v>101</v>
      </c>
      <c r="B245" t="s">
        <v>257</v>
      </c>
      <c r="C245" t="s">
        <v>258</v>
      </c>
      <c r="D245" t="s">
        <v>238</v>
      </c>
      <c r="E245" t="s">
        <v>239</v>
      </c>
      <c r="F245" s="327">
        <v>0</v>
      </c>
      <c r="G245" s="328" t="s">
        <v>240</v>
      </c>
    </row>
    <row r="246" spans="1:7" x14ac:dyDescent="0.25">
      <c r="A246" t="s">
        <v>101</v>
      </c>
      <c r="B246" t="s">
        <v>259</v>
      </c>
      <c r="C246" t="s">
        <v>260</v>
      </c>
      <c r="D246" t="s">
        <v>238</v>
      </c>
      <c r="E246" t="s">
        <v>239</v>
      </c>
      <c r="F246" s="328" t="s">
        <v>240</v>
      </c>
      <c r="G246" s="327">
        <v>1.9537054362775601</v>
      </c>
    </row>
    <row r="247" spans="1:7" x14ac:dyDescent="0.25">
      <c r="A247" t="s">
        <v>101</v>
      </c>
      <c r="B247" t="s">
        <v>261</v>
      </c>
      <c r="C247" t="s">
        <v>262</v>
      </c>
      <c r="D247" t="s">
        <v>238</v>
      </c>
      <c r="E247" t="s">
        <v>239</v>
      </c>
      <c r="F247" s="328" t="s">
        <v>240</v>
      </c>
      <c r="G247" s="327">
        <v>11.0709974722391</v>
      </c>
    </row>
    <row r="248" spans="1:7" x14ac:dyDescent="0.25">
      <c r="A248" t="s">
        <v>101</v>
      </c>
      <c r="B248" t="s">
        <v>263</v>
      </c>
      <c r="C248" t="s">
        <v>264</v>
      </c>
      <c r="D248" t="s">
        <v>238</v>
      </c>
      <c r="E248" t="s">
        <v>239</v>
      </c>
      <c r="F248" s="328" t="s">
        <v>240</v>
      </c>
      <c r="G248" s="327">
        <v>22.25056207247</v>
      </c>
    </row>
    <row r="249" spans="1:7" x14ac:dyDescent="0.25">
      <c r="A249" t="s">
        <v>101</v>
      </c>
      <c r="B249" t="s">
        <v>265</v>
      </c>
      <c r="C249" t="s">
        <v>266</v>
      </c>
      <c r="D249" t="s">
        <v>238</v>
      </c>
      <c r="E249" t="s">
        <v>239</v>
      </c>
      <c r="F249" s="328" t="s">
        <v>240</v>
      </c>
      <c r="G249" s="327">
        <v>1.4138007333907601</v>
      </c>
    </row>
    <row r="250" spans="1:7" x14ac:dyDescent="0.25">
      <c r="A250" t="s">
        <v>101</v>
      </c>
      <c r="B250" t="s">
        <v>267</v>
      </c>
      <c r="C250" t="s">
        <v>268</v>
      </c>
      <c r="D250" t="s">
        <v>238</v>
      </c>
      <c r="E250" t="s">
        <v>239</v>
      </c>
      <c r="F250" s="328" t="s">
        <v>240</v>
      </c>
      <c r="G250" s="327">
        <v>0</v>
      </c>
    </row>
    <row r="251" spans="1:7" x14ac:dyDescent="0.25">
      <c r="A251" t="s">
        <v>101</v>
      </c>
      <c r="B251" t="s">
        <v>269</v>
      </c>
      <c r="C251" t="s">
        <v>270</v>
      </c>
      <c r="D251" t="s">
        <v>238</v>
      </c>
      <c r="E251" t="s">
        <v>239</v>
      </c>
      <c r="F251" s="327">
        <v>0</v>
      </c>
      <c r="G251" s="328" t="s">
        <v>240</v>
      </c>
    </row>
    <row r="252" spans="1:7" x14ac:dyDescent="0.25">
      <c r="A252" t="s">
        <v>101</v>
      </c>
      <c r="B252" t="s">
        <v>271</v>
      </c>
      <c r="C252" t="s">
        <v>272</v>
      </c>
      <c r="D252" t="s">
        <v>238</v>
      </c>
      <c r="E252" t="s">
        <v>239</v>
      </c>
      <c r="F252" s="327">
        <v>0</v>
      </c>
      <c r="G252" s="328" t="s">
        <v>240</v>
      </c>
    </row>
    <row r="253" spans="1:7" x14ac:dyDescent="0.25">
      <c r="A253" t="s">
        <v>101</v>
      </c>
      <c r="B253" t="s">
        <v>273</v>
      </c>
      <c r="C253" t="s">
        <v>274</v>
      </c>
      <c r="D253" t="s">
        <v>238</v>
      </c>
      <c r="E253" t="s">
        <v>239</v>
      </c>
      <c r="F253" s="327">
        <v>0</v>
      </c>
      <c r="G253" s="328" t="s">
        <v>240</v>
      </c>
    </row>
    <row r="254" spans="1:7" x14ac:dyDescent="0.25">
      <c r="A254" t="s">
        <v>101</v>
      </c>
      <c r="B254" t="s">
        <v>275</v>
      </c>
      <c r="C254" t="s">
        <v>276</v>
      </c>
      <c r="D254" t="s">
        <v>238</v>
      </c>
      <c r="E254" t="s">
        <v>239</v>
      </c>
      <c r="F254" s="327">
        <v>0</v>
      </c>
      <c r="G254" s="328" t="s">
        <v>240</v>
      </c>
    </row>
    <row r="255" spans="1:7" x14ac:dyDescent="0.25">
      <c r="A255" t="s">
        <v>101</v>
      </c>
      <c r="B255" t="s">
        <v>277</v>
      </c>
      <c r="C255" t="s">
        <v>278</v>
      </c>
      <c r="D255" t="s">
        <v>238</v>
      </c>
      <c r="E255" t="s">
        <v>239</v>
      </c>
      <c r="F255" s="327">
        <v>0</v>
      </c>
      <c r="G255" s="328" t="s">
        <v>240</v>
      </c>
    </row>
    <row r="256" spans="1:7" x14ac:dyDescent="0.25">
      <c r="A256" t="s">
        <v>101</v>
      </c>
      <c r="B256" t="s">
        <v>279</v>
      </c>
      <c r="C256" t="s">
        <v>280</v>
      </c>
      <c r="D256" t="s">
        <v>238</v>
      </c>
      <c r="E256" t="s">
        <v>239</v>
      </c>
      <c r="F256" s="327">
        <v>0</v>
      </c>
      <c r="G256" s="328" t="s">
        <v>240</v>
      </c>
    </row>
    <row r="257" spans="1:7" x14ac:dyDescent="0.25">
      <c r="A257" t="s">
        <v>101</v>
      </c>
      <c r="B257" t="s">
        <v>281</v>
      </c>
      <c r="C257" t="s">
        <v>282</v>
      </c>
      <c r="D257" t="s">
        <v>238</v>
      </c>
      <c r="E257" t="s">
        <v>239</v>
      </c>
      <c r="F257" s="327">
        <v>0</v>
      </c>
      <c r="G257" s="328" t="s">
        <v>240</v>
      </c>
    </row>
    <row r="258" spans="1:7" x14ac:dyDescent="0.25">
      <c r="A258" t="s">
        <v>101</v>
      </c>
      <c r="B258" t="s">
        <v>283</v>
      </c>
      <c r="C258" t="s">
        <v>284</v>
      </c>
      <c r="D258" t="s">
        <v>238</v>
      </c>
      <c r="E258" t="s">
        <v>239</v>
      </c>
      <c r="F258" s="327">
        <v>0</v>
      </c>
      <c r="G258" s="328" t="s">
        <v>240</v>
      </c>
    </row>
    <row r="259" spans="1:7" x14ac:dyDescent="0.25">
      <c r="A259" t="s">
        <v>103</v>
      </c>
      <c r="B259" t="s">
        <v>236</v>
      </c>
      <c r="C259" t="s">
        <v>237</v>
      </c>
      <c r="D259" t="s">
        <v>238</v>
      </c>
      <c r="E259" t="s">
        <v>239</v>
      </c>
      <c r="F259" s="327">
        <v>0</v>
      </c>
      <c r="G259" s="328" t="s">
        <v>240</v>
      </c>
    </row>
    <row r="260" spans="1:7" x14ac:dyDescent="0.25">
      <c r="A260" t="s">
        <v>103</v>
      </c>
      <c r="B260" t="s">
        <v>241</v>
      </c>
      <c r="C260" t="s">
        <v>242</v>
      </c>
      <c r="D260" t="s">
        <v>238</v>
      </c>
      <c r="E260" t="s">
        <v>239</v>
      </c>
      <c r="F260" s="327">
        <v>0</v>
      </c>
      <c r="G260" s="328" t="s">
        <v>240</v>
      </c>
    </row>
    <row r="261" spans="1:7" x14ac:dyDescent="0.25">
      <c r="A261" t="s">
        <v>103</v>
      </c>
      <c r="B261" t="s">
        <v>243</v>
      </c>
      <c r="C261" t="s">
        <v>244</v>
      </c>
      <c r="D261" t="s">
        <v>238</v>
      </c>
      <c r="E261" t="s">
        <v>239</v>
      </c>
      <c r="F261" s="327">
        <v>0</v>
      </c>
      <c r="G261" s="328" t="s">
        <v>240</v>
      </c>
    </row>
    <row r="262" spans="1:7" x14ac:dyDescent="0.25">
      <c r="A262" t="s">
        <v>103</v>
      </c>
      <c r="B262" t="s">
        <v>245</v>
      </c>
      <c r="C262" t="s">
        <v>246</v>
      </c>
      <c r="D262" t="s">
        <v>238</v>
      </c>
      <c r="E262" t="s">
        <v>239</v>
      </c>
      <c r="F262" s="327">
        <v>0</v>
      </c>
      <c r="G262" s="328" t="s">
        <v>240</v>
      </c>
    </row>
    <row r="263" spans="1:7" x14ac:dyDescent="0.25">
      <c r="A263" t="s">
        <v>103</v>
      </c>
      <c r="B263" t="s">
        <v>247</v>
      </c>
      <c r="C263" t="s">
        <v>248</v>
      </c>
      <c r="D263" t="s">
        <v>238</v>
      </c>
      <c r="E263" t="s">
        <v>239</v>
      </c>
      <c r="F263" s="327">
        <v>1.2364001135879299</v>
      </c>
      <c r="G263" s="328" t="s">
        <v>240</v>
      </c>
    </row>
    <row r="264" spans="1:7" x14ac:dyDescent="0.25">
      <c r="A264" t="s">
        <v>103</v>
      </c>
      <c r="B264" t="s">
        <v>249</v>
      </c>
      <c r="C264" t="s">
        <v>250</v>
      </c>
      <c r="D264" t="s">
        <v>238</v>
      </c>
      <c r="E264" t="s">
        <v>239</v>
      </c>
      <c r="F264" s="327">
        <v>4.8998243397048196</v>
      </c>
      <c r="G264" s="328" t="s">
        <v>240</v>
      </c>
    </row>
    <row r="265" spans="1:7" x14ac:dyDescent="0.25">
      <c r="A265" t="s">
        <v>103</v>
      </c>
      <c r="B265" t="s">
        <v>251</v>
      </c>
      <c r="C265" t="s">
        <v>252</v>
      </c>
      <c r="D265" t="s">
        <v>238</v>
      </c>
      <c r="E265" t="s">
        <v>239</v>
      </c>
      <c r="F265" s="327">
        <v>0</v>
      </c>
      <c r="G265" s="328" t="s">
        <v>240</v>
      </c>
    </row>
    <row r="266" spans="1:7" x14ac:dyDescent="0.25">
      <c r="A266" t="s">
        <v>103</v>
      </c>
      <c r="B266" t="s">
        <v>253</v>
      </c>
      <c r="C266" t="s">
        <v>254</v>
      </c>
      <c r="D266" t="s">
        <v>238</v>
      </c>
      <c r="E266" t="s">
        <v>239</v>
      </c>
      <c r="F266" s="327">
        <v>0.73521481923475096</v>
      </c>
      <c r="G266" s="328" t="s">
        <v>240</v>
      </c>
    </row>
    <row r="267" spans="1:7" x14ac:dyDescent="0.25">
      <c r="A267" t="s">
        <v>103</v>
      </c>
      <c r="B267" t="s">
        <v>255</v>
      </c>
      <c r="C267" t="s">
        <v>256</v>
      </c>
      <c r="D267" t="s">
        <v>238</v>
      </c>
      <c r="E267" t="s">
        <v>239</v>
      </c>
      <c r="F267" s="327">
        <v>-1.2763224455084E-2</v>
      </c>
      <c r="G267" s="328" t="s">
        <v>240</v>
      </c>
    </row>
    <row r="268" spans="1:7" x14ac:dyDescent="0.25">
      <c r="A268" t="s">
        <v>103</v>
      </c>
      <c r="B268" t="s">
        <v>257</v>
      </c>
      <c r="C268" t="s">
        <v>258</v>
      </c>
      <c r="D268" t="s">
        <v>238</v>
      </c>
      <c r="E268" t="s">
        <v>239</v>
      </c>
      <c r="F268" s="327">
        <v>0</v>
      </c>
      <c r="G268" s="328" t="s">
        <v>240</v>
      </c>
    </row>
    <row r="269" spans="1:7" x14ac:dyDescent="0.25">
      <c r="A269" t="s">
        <v>103</v>
      </c>
      <c r="B269" t="s">
        <v>259</v>
      </c>
      <c r="C269" t="s">
        <v>260</v>
      </c>
      <c r="D269" t="s">
        <v>238</v>
      </c>
      <c r="E269" t="s">
        <v>239</v>
      </c>
      <c r="F269" s="328" t="s">
        <v>240</v>
      </c>
      <c r="G269" s="327">
        <v>9.1561274743600499E-2</v>
      </c>
    </row>
    <row r="270" spans="1:7" x14ac:dyDescent="0.25">
      <c r="A270" t="s">
        <v>103</v>
      </c>
      <c r="B270" t="s">
        <v>261</v>
      </c>
      <c r="C270" t="s">
        <v>262</v>
      </c>
      <c r="D270" t="s">
        <v>238</v>
      </c>
      <c r="E270" t="s">
        <v>239</v>
      </c>
      <c r="F270" s="328" t="s">
        <v>240</v>
      </c>
      <c r="G270" s="327">
        <v>1.44642565542458</v>
      </c>
    </row>
    <row r="271" spans="1:7" x14ac:dyDescent="0.25">
      <c r="A271" t="s">
        <v>103</v>
      </c>
      <c r="B271" t="s">
        <v>263</v>
      </c>
      <c r="C271" t="s">
        <v>264</v>
      </c>
      <c r="D271" t="s">
        <v>238</v>
      </c>
      <c r="E271" t="s">
        <v>239</v>
      </c>
      <c r="F271" s="328" t="s">
        <v>240</v>
      </c>
      <c r="G271" s="327">
        <v>2.57111130469695</v>
      </c>
    </row>
    <row r="272" spans="1:7" x14ac:dyDescent="0.25">
      <c r="A272" t="s">
        <v>103</v>
      </c>
      <c r="B272" t="s">
        <v>265</v>
      </c>
      <c r="C272" t="s">
        <v>266</v>
      </c>
      <c r="D272" t="s">
        <v>238</v>
      </c>
      <c r="E272" t="s">
        <v>239</v>
      </c>
      <c r="F272" s="328" t="s">
        <v>240</v>
      </c>
      <c r="G272" s="327">
        <v>0.15939979606368099</v>
      </c>
    </row>
    <row r="273" spans="1:7" x14ac:dyDescent="0.25">
      <c r="A273" t="s">
        <v>103</v>
      </c>
      <c r="B273" t="s">
        <v>267</v>
      </c>
      <c r="C273" t="s">
        <v>268</v>
      </c>
      <c r="D273" t="s">
        <v>238</v>
      </c>
      <c r="E273" t="s">
        <v>239</v>
      </c>
      <c r="F273" s="328" t="s">
        <v>240</v>
      </c>
      <c r="G273" s="327">
        <v>0</v>
      </c>
    </row>
    <row r="274" spans="1:7" x14ac:dyDescent="0.25">
      <c r="A274" t="s">
        <v>103</v>
      </c>
      <c r="B274" t="s">
        <v>269</v>
      </c>
      <c r="C274" t="s">
        <v>270</v>
      </c>
      <c r="D274" t="s">
        <v>238</v>
      </c>
      <c r="E274" t="s">
        <v>239</v>
      </c>
      <c r="F274" s="327">
        <v>0</v>
      </c>
      <c r="G274" s="328" t="s">
        <v>240</v>
      </c>
    </row>
    <row r="275" spans="1:7" x14ac:dyDescent="0.25">
      <c r="A275" t="s">
        <v>103</v>
      </c>
      <c r="B275" t="s">
        <v>271</v>
      </c>
      <c r="C275" t="s">
        <v>272</v>
      </c>
      <c r="D275" t="s">
        <v>238</v>
      </c>
      <c r="E275" t="s">
        <v>239</v>
      </c>
      <c r="F275" s="327">
        <v>0</v>
      </c>
      <c r="G275" s="328" t="s">
        <v>240</v>
      </c>
    </row>
    <row r="276" spans="1:7" x14ac:dyDescent="0.25">
      <c r="A276" t="s">
        <v>103</v>
      </c>
      <c r="B276" t="s">
        <v>273</v>
      </c>
      <c r="C276" t="s">
        <v>274</v>
      </c>
      <c r="D276" t="s">
        <v>238</v>
      </c>
      <c r="E276" t="s">
        <v>239</v>
      </c>
      <c r="F276" s="327">
        <v>0</v>
      </c>
      <c r="G276" s="328" t="s">
        <v>240</v>
      </c>
    </row>
    <row r="277" spans="1:7" x14ac:dyDescent="0.25">
      <c r="A277" t="s">
        <v>103</v>
      </c>
      <c r="B277" t="s">
        <v>275</v>
      </c>
      <c r="C277" t="s">
        <v>276</v>
      </c>
      <c r="D277" t="s">
        <v>238</v>
      </c>
      <c r="E277" t="s">
        <v>239</v>
      </c>
      <c r="F277" s="327">
        <v>0</v>
      </c>
      <c r="G277" s="328" t="s">
        <v>240</v>
      </c>
    </row>
    <row r="278" spans="1:7" x14ac:dyDescent="0.25">
      <c r="A278" t="s">
        <v>103</v>
      </c>
      <c r="B278" t="s">
        <v>277</v>
      </c>
      <c r="C278" t="s">
        <v>278</v>
      </c>
      <c r="D278" t="s">
        <v>238</v>
      </c>
      <c r="E278" t="s">
        <v>239</v>
      </c>
      <c r="F278" s="327">
        <v>0</v>
      </c>
      <c r="G278" s="328" t="s">
        <v>240</v>
      </c>
    </row>
    <row r="279" spans="1:7" x14ac:dyDescent="0.25">
      <c r="A279" t="s">
        <v>103</v>
      </c>
      <c r="B279" t="s">
        <v>279</v>
      </c>
      <c r="C279" t="s">
        <v>280</v>
      </c>
      <c r="D279" t="s">
        <v>238</v>
      </c>
      <c r="E279" t="s">
        <v>239</v>
      </c>
      <c r="F279" s="327">
        <v>0</v>
      </c>
      <c r="G279" s="328" t="s">
        <v>240</v>
      </c>
    </row>
    <row r="280" spans="1:7" x14ac:dyDescent="0.25">
      <c r="A280" t="s">
        <v>103</v>
      </c>
      <c r="B280" t="s">
        <v>281</v>
      </c>
      <c r="C280" t="s">
        <v>282</v>
      </c>
      <c r="D280" t="s">
        <v>238</v>
      </c>
      <c r="E280" t="s">
        <v>239</v>
      </c>
      <c r="F280" s="327">
        <v>0</v>
      </c>
      <c r="G280" s="328" t="s">
        <v>240</v>
      </c>
    </row>
    <row r="281" spans="1:7" x14ac:dyDescent="0.25">
      <c r="A281" t="s">
        <v>103</v>
      </c>
      <c r="B281" t="s">
        <v>283</v>
      </c>
      <c r="C281" t="s">
        <v>284</v>
      </c>
      <c r="D281" t="s">
        <v>238</v>
      </c>
      <c r="E281" t="s">
        <v>239</v>
      </c>
      <c r="F281" s="327">
        <v>0</v>
      </c>
      <c r="G281" s="328" t="s">
        <v>240</v>
      </c>
    </row>
    <row r="282" spans="1:7" x14ac:dyDescent="0.25">
      <c r="A282" t="s">
        <v>105</v>
      </c>
      <c r="B282" t="s">
        <v>236</v>
      </c>
      <c r="C282" t="s">
        <v>237</v>
      </c>
      <c r="D282" t="s">
        <v>238</v>
      </c>
      <c r="E282" t="s">
        <v>239</v>
      </c>
      <c r="F282" s="327">
        <v>0</v>
      </c>
      <c r="G282" s="328" t="s">
        <v>240</v>
      </c>
    </row>
    <row r="283" spans="1:7" x14ac:dyDescent="0.25">
      <c r="A283" t="s">
        <v>105</v>
      </c>
      <c r="B283" t="s">
        <v>241</v>
      </c>
      <c r="C283" t="s">
        <v>242</v>
      </c>
      <c r="D283" t="s">
        <v>238</v>
      </c>
      <c r="E283" t="s">
        <v>239</v>
      </c>
      <c r="F283" s="327">
        <v>3.2633136064532602</v>
      </c>
      <c r="G283" s="328" t="s">
        <v>240</v>
      </c>
    </row>
    <row r="284" spans="1:7" x14ac:dyDescent="0.25">
      <c r="A284" t="s">
        <v>105</v>
      </c>
      <c r="B284" t="s">
        <v>243</v>
      </c>
      <c r="C284" t="s">
        <v>244</v>
      </c>
      <c r="D284" t="s">
        <v>238</v>
      </c>
      <c r="E284" t="s">
        <v>239</v>
      </c>
      <c r="F284" s="327">
        <v>0</v>
      </c>
      <c r="G284" s="328" t="s">
        <v>240</v>
      </c>
    </row>
    <row r="285" spans="1:7" x14ac:dyDescent="0.25">
      <c r="A285" t="s">
        <v>105</v>
      </c>
      <c r="B285" t="s">
        <v>245</v>
      </c>
      <c r="C285" t="s">
        <v>246</v>
      </c>
      <c r="D285" t="s">
        <v>238</v>
      </c>
      <c r="E285" t="s">
        <v>239</v>
      </c>
      <c r="F285" s="327">
        <v>0</v>
      </c>
      <c r="G285" s="328" t="s">
        <v>240</v>
      </c>
    </row>
    <row r="286" spans="1:7" x14ac:dyDescent="0.25">
      <c r="A286" t="s">
        <v>105</v>
      </c>
      <c r="B286" t="s">
        <v>247</v>
      </c>
      <c r="C286" t="s">
        <v>248</v>
      </c>
      <c r="D286" t="s">
        <v>238</v>
      </c>
      <c r="E286" t="s">
        <v>239</v>
      </c>
      <c r="F286" s="327">
        <v>-7.6055820743138396</v>
      </c>
      <c r="G286" s="328" t="s">
        <v>240</v>
      </c>
    </row>
    <row r="287" spans="1:7" x14ac:dyDescent="0.25">
      <c r="A287" t="s">
        <v>105</v>
      </c>
      <c r="B287" t="s">
        <v>249</v>
      </c>
      <c r="C287" t="s">
        <v>250</v>
      </c>
      <c r="D287" t="s">
        <v>238</v>
      </c>
      <c r="E287" t="s">
        <v>239</v>
      </c>
      <c r="F287" s="327">
        <v>17.717535026668401</v>
      </c>
      <c r="G287" s="328" t="s">
        <v>240</v>
      </c>
    </row>
    <row r="288" spans="1:7" x14ac:dyDescent="0.25">
      <c r="A288" t="s">
        <v>105</v>
      </c>
      <c r="B288" t="s">
        <v>251</v>
      </c>
      <c r="C288" t="s">
        <v>252</v>
      </c>
      <c r="D288" t="s">
        <v>238</v>
      </c>
      <c r="E288" t="s">
        <v>239</v>
      </c>
      <c r="F288" s="327">
        <v>0</v>
      </c>
      <c r="G288" s="328" t="s">
        <v>240</v>
      </c>
    </row>
    <row r="289" spans="1:7" x14ac:dyDescent="0.25">
      <c r="A289" t="s">
        <v>105</v>
      </c>
      <c r="B289" t="s">
        <v>253</v>
      </c>
      <c r="C289" t="s">
        <v>254</v>
      </c>
      <c r="D289" t="s">
        <v>238</v>
      </c>
      <c r="E289" t="s">
        <v>239</v>
      </c>
      <c r="F289" s="327">
        <v>3.31393377364421E-2</v>
      </c>
      <c r="G289" s="328" t="s">
        <v>240</v>
      </c>
    </row>
    <row r="290" spans="1:7" x14ac:dyDescent="0.25">
      <c r="A290" t="s">
        <v>105</v>
      </c>
      <c r="B290" t="s">
        <v>255</v>
      </c>
      <c r="C290" t="s">
        <v>256</v>
      </c>
      <c r="D290" t="s">
        <v>238</v>
      </c>
      <c r="E290" t="s">
        <v>239</v>
      </c>
      <c r="F290" s="327">
        <v>-0.231625531252663</v>
      </c>
      <c r="G290" s="328" t="s">
        <v>240</v>
      </c>
    </row>
    <row r="291" spans="1:7" x14ac:dyDescent="0.25">
      <c r="A291" t="s">
        <v>105</v>
      </c>
      <c r="B291" t="s">
        <v>257</v>
      </c>
      <c r="C291" t="s">
        <v>258</v>
      </c>
      <c r="D291" t="s">
        <v>238</v>
      </c>
      <c r="E291" t="s">
        <v>239</v>
      </c>
      <c r="F291" s="327">
        <v>0</v>
      </c>
      <c r="G291" s="328" t="s">
        <v>240</v>
      </c>
    </row>
    <row r="292" spans="1:7" x14ac:dyDescent="0.25">
      <c r="A292" t="s">
        <v>105</v>
      </c>
      <c r="B292" t="s">
        <v>259</v>
      </c>
      <c r="C292" t="s">
        <v>260</v>
      </c>
      <c r="D292" t="s">
        <v>238</v>
      </c>
      <c r="E292" t="s">
        <v>239</v>
      </c>
      <c r="F292" s="328" t="s">
        <v>240</v>
      </c>
      <c r="G292" s="327">
        <v>1.3869803263838101</v>
      </c>
    </row>
    <row r="293" spans="1:7" x14ac:dyDescent="0.25">
      <c r="A293" t="s">
        <v>105</v>
      </c>
      <c r="B293" t="s">
        <v>261</v>
      </c>
      <c r="C293" t="s">
        <v>262</v>
      </c>
      <c r="D293" t="s">
        <v>238</v>
      </c>
      <c r="E293" t="s">
        <v>239</v>
      </c>
      <c r="F293" s="328" t="s">
        <v>240</v>
      </c>
      <c r="G293" s="327">
        <v>5.4758853470441498</v>
      </c>
    </row>
    <row r="294" spans="1:7" x14ac:dyDescent="0.25">
      <c r="A294" t="s">
        <v>105</v>
      </c>
      <c r="B294" t="s">
        <v>263</v>
      </c>
      <c r="C294" t="s">
        <v>264</v>
      </c>
      <c r="D294" t="s">
        <v>238</v>
      </c>
      <c r="E294" t="s">
        <v>239</v>
      </c>
      <c r="F294" s="328" t="s">
        <v>240</v>
      </c>
      <c r="G294" s="327">
        <v>8.6164263789390603</v>
      </c>
    </row>
    <row r="295" spans="1:7" x14ac:dyDescent="0.25">
      <c r="A295" t="s">
        <v>105</v>
      </c>
      <c r="B295" t="s">
        <v>265</v>
      </c>
      <c r="C295" t="s">
        <v>266</v>
      </c>
      <c r="D295" t="s">
        <v>238</v>
      </c>
      <c r="E295" t="s">
        <v>239</v>
      </c>
      <c r="F295" s="328" t="s">
        <v>240</v>
      </c>
      <c r="G295" s="327">
        <v>0.71563283573783598</v>
      </c>
    </row>
    <row r="296" spans="1:7" x14ac:dyDescent="0.25">
      <c r="A296" t="s">
        <v>105</v>
      </c>
      <c r="B296" t="s">
        <v>267</v>
      </c>
      <c r="C296" t="s">
        <v>268</v>
      </c>
      <c r="D296" t="s">
        <v>238</v>
      </c>
      <c r="E296" t="s">
        <v>239</v>
      </c>
      <c r="F296" s="328" t="s">
        <v>240</v>
      </c>
      <c r="G296" s="327">
        <v>0</v>
      </c>
    </row>
    <row r="297" spans="1:7" x14ac:dyDescent="0.25">
      <c r="A297" t="s">
        <v>105</v>
      </c>
      <c r="B297" t="s">
        <v>269</v>
      </c>
      <c r="C297" t="s">
        <v>270</v>
      </c>
      <c r="D297" t="s">
        <v>238</v>
      </c>
      <c r="E297" t="s">
        <v>239</v>
      </c>
      <c r="F297" s="327">
        <v>0</v>
      </c>
      <c r="G297" s="328" t="s">
        <v>240</v>
      </c>
    </row>
    <row r="298" spans="1:7" x14ac:dyDescent="0.25">
      <c r="A298" t="s">
        <v>105</v>
      </c>
      <c r="B298" t="s">
        <v>271</v>
      </c>
      <c r="C298" t="s">
        <v>272</v>
      </c>
      <c r="D298" t="s">
        <v>238</v>
      </c>
      <c r="E298" t="s">
        <v>239</v>
      </c>
      <c r="F298" s="327">
        <v>0</v>
      </c>
      <c r="G298" s="328" t="s">
        <v>240</v>
      </c>
    </row>
    <row r="299" spans="1:7" x14ac:dyDescent="0.25">
      <c r="A299" t="s">
        <v>105</v>
      </c>
      <c r="B299" t="s">
        <v>273</v>
      </c>
      <c r="C299" t="s">
        <v>274</v>
      </c>
      <c r="D299" t="s">
        <v>238</v>
      </c>
      <c r="E299" t="s">
        <v>239</v>
      </c>
      <c r="F299" s="327">
        <v>0</v>
      </c>
      <c r="G299" s="328" t="s">
        <v>240</v>
      </c>
    </row>
    <row r="300" spans="1:7" x14ac:dyDescent="0.25">
      <c r="A300" t="s">
        <v>105</v>
      </c>
      <c r="B300" t="s">
        <v>275</v>
      </c>
      <c r="C300" t="s">
        <v>276</v>
      </c>
      <c r="D300" t="s">
        <v>238</v>
      </c>
      <c r="E300" t="s">
        <v>239</v>
      </c>
      <c r="F300" s="327">
        <v>0</v>
      </c>
      <c r="G300" s="328" t="s">
        <v>240</v>
      </c>
    </row>
    <row r="301" spans="1:7" x14ac:dyDescent="0.25">
      <c r="A301" t="s">
        <v>105</v>
      </c>
      <c r="B301" t="s">
        <v>277</v>
      </c>
      <c r="C301" t="s">
        <v>278</v>
      </c>
      <c r="D301" t="s">
        <v>238</v>
      </c>
      <c r="E301" t="s">
        <v>239</v>
      </c>
      <c r="F301" s="327">
        <v>0</v>
      </c>
      <c r="G301" s="328" t="s">
        <v>240</v>
      </c>
    </row>
    <row r="302" spans="1:7" x14ac:dyDescent="0.25">
      <c r="A302" t="s">
        <v>105</v>
      </c>
      <c r="B302" t="s">
        <v>279</v>
      </c>
      <c r="C302" t="s">
        <v>280</v>
      </c>
      <c r="D302" t="s">
        <v>238</v>
      </c>
      <c r="E302" t="s">
        <v>239</v>
      </c>
      <c r="F302" s="327">
        <v>0</v>
      </c>
      <c r="G302" s="328" t="s">
        <v>240</v>
      </c>
    </row>
    <row r="303" spans="1:7" x14ac:dyDescent="0.25">
      <c r="A303" t="s">
        <v>105</v>
      </c>
      <c r="B303" t="s">
        <v>281</v>
      </c>
      <c r="C303" t="s">
        <v>282</v>
      </c>
      <c r="D303" t="s">
        <v>238</v>
      </c>
      <c r="E303" t="s">
        <v>239</v>
      </c>
      <c r="F303" s="327">
        <v>0</v>
      </c>
      <c r="G303" s="328" t="s">
        <v>240</v>
      </c>
    </row>
    <row r="304" spans="1:7" x14ac:dyDescent="0.25">
      <c r="A304" t="s">
        <v>105</v>
      </c>
      <c r="B304" t="s">
        <v>283</v>
      </c>
      <c r="C304" t="s">
        <v>284</v>
      </c>
      <c r="D304" t="s">
        <v>238</v>
      </c>
      <c r="E304" t="s">
        <v>239</v>
      </c>
      <c r="F304" s="327">
        <v>0</v>
      </c>
      <c r="G304" s="328" t="s">
        <v>240</v>
      </c>
    </row>
    <row r="305" spans="1:7" x14ac:dyDescent="0.25">
      <c r="A305" t="s">
        <v>107</v>
      </c>
      <c r="B305" t="s">
        <v>236</v>
      </c>
      <c r="C305" t="s">
        <v>237</v>
      </c>
      <c r="D305" t="s">
        <v>238</v>
      </c>
      <c r="E305" t="s">
        <v>239</v>
      </c>
      <c r="F305" s="327">
        <v>0</v>
      </c>
      <c r="G305" s="328" t="s">
        <v>240</v>
      </c>
    </row>
    <row r="306" spans="1:7" x14ac:dyDescent="0.25">
      <c r="A306" t="s">
        <v>107</v>
      </c>
      <c r="B306" t="s">
        <v>241</v>
      </c>
      <c r="C306" t="s">
        <v>242</v>
      </c>
      <c r="D306" t="s">
        <v>238</v>
      </c>
      <c r="E306" t="s">
        <v>239</v>
      </c>
      <c r="F306" s="327">
        <v>0</v>
      </c>
      <c r="G306" s="328" t="s">
        <v>240</v>
      </c>
    </row>
    <row r="307" spans="1:7" x14ac:dyDescent="0.25">
      <c r="A307" t="s">
        <v>107</v>
      </c>
      <c r="B307" t="s">
        <v>243</v>
      </c>
      <c r="C307" t="s">
        <v>244</v>
      </c>
      <c r="D307" t="s">
        <v>238</v>
      </c>
      <c r="E307" t="s">
        <v>239</v>
      </c>
      <c r="F307" s="327">
        <v>0</v>
      </c>
      <c r="G307" s="328" t="s">
        <v>240</v>
      </c>
    </row>
    <row r="308" spans="1:7" x14ac:dyDescent="0.25">
      <c r="A308" t="s">
        <v>107</v>
      </c>
      <c r="B308" t="s">
        <v>245</v>
      </c>
      <c r="C308" t="s">
        <v>246</v>
      </c>
      <c r="D308" t="s">
        <v>238</v>
      </c>
      <c r="E308" t="s">
        <v>239</v>
      </c>
      <c r="F308" s="327">
        <v>0</v>
      </c>
      <c r="G308" s="328" t="s">
        <v>240</v>
      </c>
    </row>
    <row r="309" spans="1:7" x14ac:dyDescent="0.25">
      <c r="A309" t="s">
        <v>107</v>
      </c>
      <c r="B309" t="s">
        <v>247</v>
      </c>
      <c r="C309" t="s">
        <v>248</v>
      </c>
      <c r="D309" t="s">
        <v>238</v>
      </c>
      <c r="E309" t="s">
        <v>239</v>
      </c>
      <c r="F309" s="327">
        <v>1.71487039402036</v>
      </c>
      <c r="G309" s="328" t="s">
        <v>240</v>
      </c>
    </row>
    <row r="310" spans="1:7" x14ac:dyDescent="0.25">
      <c r="A310" t="s">
        <v>107</v>
      </c>
      <c r="B310" t="s">
        <v>249</v>
      </c>
      <c r="C310" t="s">
        <v>250</v>
      </c>
      <c r="D310" t="s">
        <v>238</v>
      </c>
      <c r="E310" t="s">
        <v>239</v>
      </c>
      <c r="F310" s="327">
        <v>0</v>
      </c>
      <c r="G310" s="328" t="s">
        <v>240</v>
      </c>
    </row>
    <row r="311" spans="1:7" x14ac:dyDescent="0.25">
      <c r="A311" t="s">
        <v>107</v>
      </c>
      <c r="B311" t="s">
        <v>251</v>
      </c>
      <c r="C311" t="s">
        <v>252</v>
      </c>
      <c r="D311" t="s">
        <v>238</v>
      </c>
      <c r="E311" t="s">
        <v>239</v>
      </c>
      <c r="F311" s="327">
        <v>0</v>
      </c>
      <c r="G311" s="328" t="s">
        <v>240</v>
      </c>
    </row>
    <row r="312" spans="1:7" x14ac:dyDescent="0.25">
      <c r="A312" t="s">
        <v>107</v>
      </c>
      <c r="B312" t="s">
        <v>253</v>
      </c>
      <c r="C312" t="s">
        <v>254</v>
      </c>
      <c r="D312" t="s">
        <v>238</v>
      </c>
      <c r="E312" t="s">
        <v>239</v>
      </c>
      <c r="F312" s="327">
        <v>6.3715029375947196E-2</v>
      </c>
      <c r="G312" s="328" t="s">
        <v>240</v>
      </c>
    </row>
    <row r="313" spans="1:7" x14ac:dyDescent="0.25">
      <c r="A313" t="s">
        <v>107</v>
      </c>
      <c r="B313" t="s">
        <v>255</v>
      </c>
      <c r="C313" t="s">
        <v>256</v>
      </c>
      <c r="D313" t="s">
        <v>238</v>
      </c>
      <c r="E313" t="s">
        <v>239</v>
      </c>
      <c r="F313" s="327">
        <v>0</v>
      </c>
      <c r="G313" s="328" t="s">
        <v>240</v>
      </c>
    </row>
    <row r="314" spans="1:7" x14ac:dyDescent="0.25">
      <c r="A314" t="s">
        <v>107</v>
      </c>
      <c r="B314" t="s">
        <v>257</v>
      </c>
      <c r="C314" t="s">
        <v>258</v>
      </c>
      <c r="D314" t="s">
        <v>238</v>
      </c>
      <c r="E314" t="s">
        <v>239</v>
      </c>
      <c r="F314" s="327">
        <v>0</v>
      </c>
      <c r="G314" s="328" t="s">
        <v>240</v>
      </c>
    </row>
    <row r="315" spans="1:7" x14ac:dyDescent="0.25">
      <c r="A315" t="s">
        <v>107</v>
      </c>
      <c r="B315" t="s">
        <v>259</v>
      </c>
      <c r="C315" t="s">
        <v>260</v>
      </c>
      <c r="D315" t="s">
        <v>238</v>
      </c>
      <c r="E315" t="s">
        <v>239</v>
      </c>
      <c r="F315" s="328" t="s">
        <v>240</v>
      </c>
      <c r="G315" s="327">
        <v>-0.31621873043889598</v>
      </c>
    </row>
    <row r="316" spans="1:7" x14ac:dyDescent="0.25">
      <c r="A316" t="s">
        <v>107</v>
      </c>
      <c r="B316" t="s">
        <v>261</v>
      </c>
      <c r="C316" t="s">
        <v>262</v>
      </c>
      <c r="D316" t="s">
        <v>238</v>
      </c>
      <c r="E316" t="s">
        <v>239</v>
      </c>
      <c r="F316" s="328" t="s">
        <v>240</v>
      </c>
      <c r="G316" s="327">
        <v>-2.5593456796999501</v>
      </c>
    </row>
    <row r="317" spans="1:7" x14ac:dyDescent="0.25">
      <c r="A317" t="s">
        <v>107</v>
      </c>
      <c r="B317" t="s">
        <v>263</v>
      </c>
      <c r="C317" t="s">
        <v>264</v>
      </c>
      <c r="D317" t="s">
        <v>238</v>
      </c>
      <c r="E317" t="s">
        <v>239</v>
      </c>
      <c r="F317" s="328" t="s">
        <v>240</v>
      </c>
      <c r="G317" s="327">
        <v>0</v>
      </c>
    </row>
    <row r="318" spans="1:7" x14ac:dyDescent="0.25">
      <c r="A318" t="s">
        <v>107</v>
      </c>
      <c r="B318" t="s">
        <v>265</v>
      </c>
      <c r="C318" t="s">
        <v>266</v>
      </c>
      <c r="D318" t="s">
        <v>238</v>
      </c>
      <c r="E318" t="s">
        <v>239</v>
      </c>
      <c r="F318" s="328" t="s">
        <v>240</v>
      </c>
      <c r="G318" s="327">
        <v>0</v>
      </c>
    </row>
    <row r="319" spans="1:7" x14ac:dyDescent="0.25">
      <c r="A319" t="s">
        <v>107</v>
      </c>
      <c r="B319" t="s">
        <v>267</v>
      </c>
      <c r="C319" t="s">
        <v>268</v>
      </c>
      <c r="D319" t="s">
        <v>238</v>
      </c>
      <c r="E319" t="s">
        <v>239</v>
      </c>
      <c r="F319" s="328" t="s">
        <v>240</v>
      </c>
      <c r="G319" s="327">
        <v>0</v>
      </c>
    </row>
    <row r="320" spans="1:7" x14ac:dyDescent="0.25">
      <c r="A320" t="s">
        <v>107</v>
      </c>
      <c r="B320" t="s">
        <v>269</v>
      </c>
      <c r="C320" t="s">
        <v>270</v>
      </c>
      <c r="D320" t="s">
        <v>238</v>
      </c>
      <c r="E320" t="s">
        <v>239</v>
      </c>
      <c r="F320" s="327">
        <v>0</v>
      </c>
      <c r="G320" s="328" t="s">
        <v>240</v>
      </c>
    </row>
    <row r="321" spans="1:7" x14ac:dyDescent="0.25">
      <c r="A321" t="s">
        <v>107</v>
      </c>
      <c r="B321" t="s">
        <v>271</v>
      </c>
      <c r="C321" t="s">
        <v>272</v>
      </c>
      <c r="D321" t="s">
        <v>238</v>
      </c>
      <c r="E321" t="s">
        <v>239</v>
      </c>
      <c r="F321" s="327">
        <v>0</v>
      </c>
      <c r="G321" s="328" t="s">
        <v>240</v>
      </c>
    </row>
    <row r="322" spans="1:7" x14ac:dyDescent="0.25">
      <c r="A322" t="s">
        <v>107</v>
      </c>
      <c r="B322" t="s">
        <v>273</v>
      </c>
      <c r="C322" t="s">
        <v>274</v>
      </c>
      <c r="D322" t="s">
        <v>238</v>
      </c>
      <c r="E322" t="s">
        <v>239</v>
      </c>
      <c r="F322" s="327">
        <v>0</v>
      </c>
      <c r="G322" s="328" t="s">
        <v>240</v>
      </c>
    </row>
    <row r="323" spans="1:7" x14ac:dyDescent="0.25">
      <c r="A323" t="s">
        <v>107</v>
      </c>
      <c r="B323" t="s">
        <v>275</v>
      </c>
      <c r="C323" t="s">
        <v>276</v>
      </c>
      <c r="D323" t="s">
        <v>238</v>
      </c>
      <c r="E323" t="s">
        <v>239</v>
      </c>
      <c r="F323" s="327">
        <v>0</v>
      </c>
      <c r="G323" s="328" t="s">
        <v>240</v>
      </c>
    </row>
    <row r="324" spans="1:7" x14ac:dyDescent="0.25">
      <c r="A324" t="s">
        <v>107</v>
      </c>
      <c r="B324" t="s">
        <v>277</v>
      </c>
      <c r="C324" t="s">
        <v>278</v>
      </c>
      <c r="D324" t="s">
        <v>238</v>
      </c>
      <c r="E324" t="s">
        <v>239</v>
      </c>
      <c r="F324" s="327">
        <v>0</v>
      </c>
      <c r="G324" s="328" t="s">
        <v>240</v>
      </c>
    </row>
    <row r="325" spans="1:7" x14ac:dyDescent="0.25">
      <c r="A325" t="s">
        <v>107</v>
      </c>
      <c r="B325" t="s">
        <v>279</v>
      </c>
      <c r="C325" t="s">
        <v>280</v>
      </c>
      <c r="D325" t="s">
        <v>238</v>
      </c>
      <c r="E325" t="s">
        <v>239</v>
      </c>
      <c r="F325" s="327">
        <v>0</v>
      </c>
      <c r="G325" s="328" t="s">
        <v>240</v>
      </c>
    </row>
    <row r="326" spans="1:7" x14ac:dyDescent="0.25">
      <c r="A326" t="s">
        <v>107</v>
      </c>
      <c r="B326" t="s">
        <v>281</v>
      </c>
      <c r="C326" t="s">
        <v>282</v>
      </c>
      <c r="D326" t="s">
        <v>238</v>
      </c>
      <c r="E326" t="s">
        <v>239</v>
      </c>
      <c r="F326" s="327">
        <v>0</v>
      </c>
      <c r="G326" s="328" t="s">
        <v>240</v>
      </c>
    </row>
    <row r="327" spans="1:7" x14ac:dyDescent="0.25">
      <c r="A327" t="s">
        <v>107</v>
      </c>
      <c r="B327" t="s">
        <v>283</v>
      </c>
      <c r="C327" t="s">
        <v>284</v>
      </c>
      <c r="D327" t="s">
        <v>238</v>
      </c>
      <c r="E327" t="s">
        <v>239</v>
      </c>
      <c r="F327" s="327">
        <v>0</v>
      </c>
      <c r="G327" s="328" t="s">
        <v>240</v>
      </c>
    </row>
    <row r="328" spans="1:7" x14ac:dyDescent="0.25">
      <c r="A328" t="s">
        <v>109</v>
      </c>
      <c r="B328" t="s">
        <v>236</v>
      </c>
      <c r="C328" t="s">
        <v>237</v>
      </c>
      <c r="D328" t="s">
        <v>238</v>
      </c>
      <c r="E328" t="s">
        <v>239</v>
      </c>
      <c r="F328" s="327">
        <v>0</v>
      </c>
      <c r="G328" s="328" t="s">
        <v>240</v>
      </c>
    </row>
    <row r="329" spans="1:7" x14ac:dyDescent="0.25">
      <c r="A329" t="s">
        <v>109</v>
      </c>
      <c r="B329" t="s">
        <v>241</v>
      </c>
      <c r="C329" t="s">
        <v>242</v>
      </c>
      <c r="D329" t="s">
        <v>238</v>
      </c>
      <c r="E329" t="s">
        <v>239</v>
      </c>
      <c r="F329" s="327">
        <v>0</v>
      </c>
      <c r="G329" s="328" t="s">
        <v>240</v>
      </c>
    </row>
    <row r="330" spans="1:7" x14ac:dyDescent="0.25">
      <c r="A330" t="s">
        <v>109</v>
      </c>
      <c r="B330" t="s">
        <v>243</v>
      </c>
      <c r="C330" t="s">
        <v>244</v>
      </c>
      <c r="D330" t="s">
        <v>238</v>
      </c>
      <c r="E330" t="s">
        <v>239</v>
      </c>
      <c r="F330" s="327">
        <v>0</v>
      </c>
      <c r="G330" s="328" t="s">
        <v>240</v>
      </c>
    </row>
    <row r="331" spans="1:7" x14ac:dyDescent="0.25">
      <c r="A331" t="s">
        <v>109</v>
      </c>
      <c r="B331" t="s">
        <v>245</v>
      </c>
      <c r="C331" t="s">
        <v>246</v>
      </c>
      <c r="D331" t="s">
        <v>238</v>
      </c>
      <c r="E331" t="s">
        <v>239</v>
      </c>
      <c r="F331" s="327">
        <v>0</v>
      </c>
      <c r="G331" s="328" t="s">
        <v>240</v>
      </c>
    </row>
    <row r="332" spans="1:7" x14ac:dyDescent="0.25">
      <c r="A332" t="s">
        <v>109</v>
      </c>
      <c r="B332" t="s">
        <v>247</v>
      </c>
      <c r="C332" t="s">
        <v>248</v>
      </c>
      <c r="D332" t="s">
        <v>238</v>
      </c>
      <c r="E332" t="s">
        <v>239</v>
      </c>
      <c r="F332" s="327">
        <v>3.6718597693590498</v>
      </c>
      <c r="G332" s="328" t="s">
        <v>240</v>
      </c>
    </row>
    <row r="333" spans="1:7" x14ac:dyDescent="0.25">
      <c r="A333" t="s">
        <v>109</v>
      </c>
      <c r="B333" t="s">
        <v>249</v>
      </c>
      <c r="C333" t="s">
        <v>250</v>
      </c>
      <c r="D333" t="s">
        <v>238</v>
      </c>
      <c r="E333" t="s">
        <v>239</v>
      </c>
      <c r="F333" s="327">
        <v>0</v>
      </c>
      <c r="G333" s="328" t="s">
        <v>240</v>
      </c>
    </row>
    <row r="334" spans="1:7" x14ac:dyDescent="0.25">
      <c r="A334" t="s">
        <v>109</v>
      </c>
      <c r="B334" t="s">
        <v>251</v>
      </c>
      <c r="C334" t="s">
        <v>252</v>
      </c>
      <c r="D334" t="s">
        <v>238</v>
      </c>
      <c r="E334" t="s">
        <v>239</v>
      </c>
      <c r="F334" s="327">
        <v>0</v>
      </c>
      <c r="G334" s="328" t="s">
        <v>240</v>
      </c>
    </row>
    <row r="335" spans="1:7" x14ac:dyDescent="0.25">
      <c r="A335" t="s">
        <v>109</v>
      </c>
      <c r="B335" t="s">
        <v>253</v>
      </c>
      <c r="C335" t="s">
        <v>254</v>
      </c>
      <c r="D335" t="s">
        <v>238</v>
      </c>
      <c r="E335" t="s">
        <v>239</v>
      </c>
      <c r="F335" s="327">
        <v>-5.3060950378903699E-3</v>
      </c>
      <c r="G335" s="328" t="s">
        <v>240</v>
      </c>
    </row>
    <row r="336" spans="1:7" x14ac:dyDescent="0.25">
      <c r="A336" t="s">
        <v>109</v>
      </c>
      <c r="B336" t="s">
        <v>255</v>
      </c>
      <c r="C336" t="s">
        <v>256</v>
      </c>
      <c r="D336" t="s">
        <v>238</v>
      </c>
      <c r="E336" t="s">
        <v>239</v>
      </c>
      <c r="F336" s="327">
        <v>0</v>
      </c>
      <c r="G336" s="328" t="s">
        <v>240</v>
      </c>
    </row>
    <row r="337" spans="1:7" x14ac:dyDescent="0.25">
      <c r="A337" t="s">
        <v>109</v>
      </c>
      <c r="B337" t="s">
        <v>257</v>
      </c>
      <c r="C337" t="s">
        <v>258</v>
      </c>
      <c r="D337" t="s">
        <v>238</v>
      </c>
      <c r="E337" t="s">
        <v>239</v>
      </c>
      <c r="F337" s="327">
        <v>0</v>
      </c>
      <c r="G337" s="328" t="s">
        <v>240</v>
      </c>
    </row>
    <row r="338" spans="1:7" x14ac:dyDescent="0.25">
      <c r="A338" t="s">
        <v>109</v>
      </c>
      <c r="B338" t="s">
        <v>259</v>
      </c>
      <c r="C338" t="s">
        <v>260</v>
      </c>
      <c r="D338" t="s">
        <v>238</v>
      </c>
      <c r="E338" t="s">
        <v>239</v>
      </c>
      <c r="F338" s="328" t="s">
        <v>240</v>
      </c>
      <c r="G338" s="327">
        <v>0.38925396631125198</v>
      </c>
    </row>
    <row r="339" spans="1:7" x14ac:dyDescent="0.25">
      <c r="A339" t="s">
        <v>109</v>
      </c>
      <c r="B339" t="s">
        <v>261</v>
      </c>
      <c r="C339" t="s">
        <v>262</v>
      </c>
      <c r="D339" t="s">
        <v>238</v>
      </c>
      <c r="E339" t="s">
        <v>239</v>
      </c>
      <c r="F339" s="328" t="s">
        <v>240</v>
      </c>
      <c r="G339" s="327">
        <v>1.37205119775673</v>
      </c>
    </row>
    <row r="340" spans="1:7" x14ac:dyDescent="0.25">
      <c r="A340" t="s">
        <v>109</v>
      </c>
      <c r="B340" t="s">
        <v>263</v>
      </c>
      <c r="C340" t="s">
        <v>264</v>
      </c>
      <c r="D340" t="s">
        <v>238</v>
      </c>
      <c r="E340" t="s">
        <v>239</v>
      </c>
      <c r="F340" s="328" t="s">
        <v>240</v>
      </c>
      <c r="G340" s="327">
        <v>0</v>
      </c>
    </row>
    <row r="341" spans="1:7" x14ac:dyDescent="0.25">
      <c r="A341" t="s">
        <v>109</v>
      </c>
      <c r="B341" t="s">
        <v>265</v>
      </c>
      <c r="C341" t="s">
        <v>266</v>
      </c>
      <c r="D341" t="s">
        <v>238</v>
      </c>
      <c r="E341" t="s">
        <v>239</v>
      </c>
      <c r="F341" s="328" t="s">
        <v>240</v>
      </c>
      <c r="G341" s="327">
        <v>0</v>
      </c>
    </row>
    <row r="342" spans="1:7" x14ac:dyDescent="0.25">
      <c r="A342" t="s">
        <v>109</v>
      </c>
      <c r="B342" t="s">
        <v>267</v>
      </c>
      <c r="C342" t="s">
        <v>268</v>
      </c>
      <c r="D342" t="s">
        <v>238</v>
      </c>
      <c r="E342" t="s">
        <v>239</v>
      </c>
      <c r="F342" s="328" t="s">
        <v>240</v>
      </c>
      <c r="G342" s="327">
        <v>0</v>
      </c>
    </row>
    <row r="343" spans="1:7" x14ac:dyDescent="0.25">
      <c r="A343" t="s">
        <v>109</v>
      </c>
      <c r="B343" t="s">
        <v>269</v>
      </c>
      <c r="C343" t="s">
        <v>270</v>
      </c>
      <c r="D343" t="s">
        <v>238</v>
      </c>
      <c r="E343" t="s">
        <v>239</v>
      </c>
      <c r="F343" s="327">
        <v>0</v>
      </c>
      <c r="G343" s="328" t="s">
        <v>240</v>
      </c>
    </row>
    <row r="344" spans="1:7" x14ac:dyDescent="0.25">
      <c r="A344" t="s">
        <v>109</v>
      </c>
      <c r="B344" t="s">
        <v>271</v>
      </c>
      <c r="C344" t="s">
        <v>272</v>
      </c>
      <c r="D344" t="s">
        <v>238</v>
      </c>
      <c r="E344" t="s">
        <v>239</v>
      </c>
      <c r="F344" s="327">
        <v>0</v>
      </c>
      <c r="G344" s="328" t="s">
        <v>240</v>
      </c>
    </row>
    <row r="345" spans="1:7" x14ac:dyDescent="0.25">
      <c r="A345" t="s">
        <v>109</v>
      </c>
      <c r="B345" t="s">
        <v>273</v>
      </c>
      <c r="C345" t="s">
        <v>274</v>
      </c>
      <c r="D345" t="s">
        <v>238</v>
      </c>
      <c r="E345" t="s">
        <v>239</v>
      </c>
      <c r="F345" s="327">
        <v>0</v>
      </c>
      <c r="G345" s="328" t="s">
        <v>240</v>
      </c>
    </row>
    <row r="346" spans="1:7" x14ac:dyDescent="0.25">
      <c r="A346" t="s">
        <v>109</v>
      </c>
      <c r="B346" t="s">
        <v>275</v>
      </c>
      <c r="C346" t="s">
        <v>276</v>
      </c>
      <c r="D346" t="s">
        <v>238</v>
      </c>
      <c r="E346" t="s">
        <v>239</v>
      </c>
      <c r="F346" s="327">
        <v>0</v>
      </c>
      <c r="G346" s="328" t="s">
        <v>240</v>
      </c>
    </row>
    <row r="347" spans="1:7" x14ac:dyDescent="0.25">
      <c r="A347" t="s">
        <v>109</v>
      </c>
      <c r="B347" t="s">
        <v>277</v>
      </c>
      <c r="C347" t="s">
        <v>278</v>
      </c>
      <c r="D347" t="s">
        <v>238</v>
      </c>
      <c r="E347" t="s">
        <v>239</v>
      </c>
      <c r="F347" s="327">
        <v>0</v>
      </c>
      <c r="G347" s="328" t="s">
        <v>240</v>
      </c>
    </row>
    <row r="348" spans="1:7" x14ac:dyDescent="0.25">
      <c r="A348" t="s">
        <v>109</v>
      </c>
      <c r="B348" t="s">
        <v>279</v>
      </c>
      <c r="C348" t="s">
        <v>280</v>
      </c>
      <c r="D348" t="s">
        <v>238</v>
      </c>
      <c r="E348" t="s">
        <v>239</v>
      </c>
      <c r="F348" s="327">
        <v>0</v>
      </c>
      <c r="G348" s="328" t="s">
        <v>240</v>
      </c>
    </row>
    <row r="349" spans="1:7" x14ac:dyDescent="0.25">
      <c r="A349" t="s">
        <v>109</v>
      </c>
      <c r="B349" t="s">
        <v>281</v>
      </c>
      <c r="C349" t="s">
        <v>282</v>
      </c>
      <c r="D349" t="s">
        <v>238</v>
      </c>
      <c r="E349" t="s">
        <v>239</v>
      </c>
      <c r="F349" s="327">
        <v>0</v>
      </c>
      <c r="G349" s="328" t="s">
        <v>240</v>
      </c>
    </row>
    <row r="350" spans="1:7" x14ac:dyDescent="0.25">
      <c r="A350" t="s">
        <v>109</v>
      </c>
      <c r="B350" t="s">
        <v>283</v>
      </c>
      <c r="C350" t="s">
        <v>284</v>
      </c>
      <c r="D350" t="s">
        <v>238</v>
      </c>
      <c r="E350" t="s">
        <v>239</v>
      </c>
      <c r="F350" s="327">
        <v>0</v>
      </c>
      <c r="G350" s="328" t="s">
        <v>240</v>
      </c>
    </row>
    <row r="351" spans="1:7" x14ac:dyDescent="0.25">
      <c r="A351" t="s">
        <v>111</v>
      </c>
      <c r="B351" t="s">
        <v>236</v>
      </c>
      <c r="C351" t="s">
        <v>237</v>
      </c>
      <c r="D351" t="s">
        <v>238</v>
      </c>
      <c r="E351" t="s">
        <v>239</v>
      </c>
      <c r="F351" s="327">
        <v>0</v>
      </c>
      <c r="G351" s="328" t="s">
        <v>240</v>
      </c>
    </row>
    <row r="352" spans="1:7" x14ac:dyDescent="0.25">
      <c r="A352" t="s">
        <v>111</v>
      </c>
      <c r="B352" t="s">
        <v>241</v>
      </c>
      <c r="C352" t="s">
        <v>242</v>
      </c>
      <c r="D352" t="s">
        <v>238</v>
      </c>
      <c r="E352" t="s">
        <v>239</v>
      </c>
      <c r="F352" s="327">
        <v>0</v>
      </c>
      <c r="G352" s="328" t="s">
        <v>240</v>
      </c>
    </row>
    <row r="353" spans="1:7" x14ac:dyDescent="0.25">
      <c r="A353" t="s">
        <v>111</v>
      </c>
      <c r="B353" t="s">
        <v>243</v>
      </c>
      <c r="C353" t="s">
        <v>244</v>
      </c>
      <c r="D353" t="s">
        <v>238</v>
      </c>
      <c r="E353" t="s">
        <v>239</v>
      </c>
      <c r="F353" s="327">
        <v>0</v>
      </c>
      <c r="G353" s="328" t="s">
        <v>240</v>
      </c>
    </row>
    <row r="354" spans="1:7" x14ac:dyDescent="0.25">
      <c r="A354" t="s">
        <v>111</v>
      </c>
      <c r="B354" t="s">
        <v>245</v>
      </c>
      <c r="C354" t="s">
        <v>246</v>
      </c>
      <c r="D354" t="s">
        <v>238</v>
      </c>
      <c r="E354" t="s">
        <v>239</v>
      </c>
      <c r="F354" s="327">
        <v>0</v>
      </c>
      <c r="G354" s="328" t="s">
        <v>240</v>
      </c>
    </row>
    <row r="355" spans="1:7" x14ac:dyDescent="0.25">
      <c r="A355" t="s">
        <v>111</v>
      </c>
      <c r="B355" t="s">
        <v>247</v>
      </c>
      <c r="C355" t="s">
        <v>248</v>
      </c>
      <c r="D355" t="s">
        <v>238</v>
      </c>
      <c r="E355" t="s">
        <v>239</v>
      </c>
      <c r="F355" s="327">
        <v>0.18248671618059001</v>
      </c>
      <c r="G355" s="328" t="s">
        <v>240</v>
      </c>
    </row>
    <row r="356" spans="1:7" x14ac:dyDescent="0.25">
      <c r="A356" t="s">
        <v>111</v>
      </c>
      <c r="B356" t="s">
        <v>249</v>
      </c>
      <c r="C356" t="s">
        <v>250</v>
      </c>
      <c r="D356" t="s">
        <v>238</v>
      </c>
      <c r="E356" t="s">
        <v>239</v>
      </c>
      <c r="F356" s="327">
        <v>0</v>
      </c>
      <c r="G356" s="328" t="s">
        <v>240</v>
      </c>
    </row>
    <row r="357" spans="1:7" x14ac:dyDescent="0.25">
      <c r="A357" t="s">
        <v>111</v>
      </c>
      <c r="B357" t="s">
        <v>251</v>
      </c>
      <c r="C357" t="s">
        <v>252</v>
      </c>
      <c r="D357" t="s">
        <v>238</v>
      </c>
      <c r="E357" t="s">
        <v>239</v>
      </c>
      <c r="F357" s="327">
        <v>0</v>
      </c>
      <c r="G357" s="328" t="s">
        <v>240</v>
      </c>
    </row>
    <row r="358" spans="1:7" x14ac:dyDescent="0.25">
      <c r="A358" t="s">
        <v>111</v>
      </c>
      <c r="B358" t="s">
        <v>253</v>
      </c>
      <c r="C358" t="s">
        <v>254</v>
      </c>
      <c r="D358" t="s">
        <v>238</v>
      </c>
      <c r="E358" t="s">
        <v>239</v>
      </c>
      <c r="F358" s="327">
        <v>0</v>
      </c>
      <c r="G358" s="328" t="s">
        <v>240</v>
      </c>
    </row>
    <row r="359" spans="1:7" x14ac:dyDescent="0.25">
      <c r="A359" t="s">
        <v>111</v>
      </c>
      <c r="B359" t="s">
        <v>255</v>
      </c>
      <c r="C359" t="s">
        <v>256</v>
      </c>
      <c r="D359" t="s">
        <v>238</v>
      </c>
      <c r="E359" t="s">
        <v>239</v>
      </c>
      <c r="F359" s="327">
        <v>0</v>
      </c>
      <c r="G359" s="328" t="s">
        <v>240</v>
      </c>
    </row>
    <row r="360" spans="1:7" x14ac:dyDescent="0.25">
      <c r="A360" t="s">
        <v>111</v>
      </c>
      <c r="B360" t="s">
        <v>257</v>
      </c>
      <c r="C360" t="s">
        <v>258</v>
      </c>
      <c r="D360" t="s">
        <v>238</v>
      </c>
      <c r="E360" t="s">
        <v>239</v>
      </c>
      <c r="F360" s="327">
        <v>0</v>
      </c>
      <c r="G360" s="328" t="s">
        <v>240</v>
      </c>
    </row>
    <row r="361" spans="1:7" x14ac:dyDescent="0.25">
      <c r="A361" t="s">
        <v>111</v>
      </c>
      <c r="B361" t="s">
        <v>259</v>
      </c>
      <c r="C361" t="s">
        <v>260</v>
      </c>
      <c r="D361" t="s">
        <v>238</v>
      </c>
      <c r="E361" t="s">
        <v>239</v>
      </c>
      <c r="F361" s="328" t="s">
        <v>240</v>
      </c>
      <c r="G361" s="327">
        <v>6.2038371246436498E-3</v>
      </c>
    </row>
    <row r="362" spans="1:7" x14ac:dyDescent="0.25">
      <c r="A362" t="s">
        <v>111</v>
      </c>
      <c r="B362" t="s">
        <v>261</v>
      </c>
      <c r="C362" t="s">
        <v>262</v>
      </c>
      <c r="D362" t="s">
        <v>238</v>
      </c>
      <c r="E362" t="s">
        <v>239</v>
      </c>
      <c r="F362" s="328" t="s">
        <v>240</v>
      </c>
      <c r="G362" s="327">
        <v>0.196318232255767</v>
      </c>
    </row>
    <row r="363" spans="1:7" x14ac:dyDescent="0.25">
      <c r="A363" t="s">
        <v>111</v>
      </c>
      <c r="B363" t="s">
        <v>263</v>
      </c>
      <c r="C363" t="s">
        <v>264</v>
      </c>
      <c r="D363" t="s">
        <v>238</v>
      </c>
      <c r="E363" t="s">
        <v>239</v>
      </c>
      <c r="F363" s="328" t="s">
        <v>240</v>
      </c>
      <c r="G363" s="327">
        <v>0</v>
      </c>
    </row>
    <row r="364" spans="1:7" x14ac:dyDescent="0.25">
      <c r="A364" t="s">
        <v>111</v>
      </c>
      <c r="B364" t="s">
        <v>265</v>
      </c>
      <c r="C364" t="s">
        <v>266</v>
      </c>
      <c r="D364" t="s">
        <v>238</v>
      </c>
      <c r="E364" t="s">
        <v>239</v>
      </c>
      <c r="F364" s="328" t="s">
        <v>240</v>
      </c>
      <c r="G364" s="327">
        <v>0</v>
      </c>
    </row>
    <row r="365" spans="1:7" x14ac:dyDescent="0.25">
      <c r="A365" t="s">
        <v>111</v>
      </c>
      <c r="B365" t="s">
        <v>267</v>
      </c>
      <c r="C365" t="s">
        <v>268</v>
      </c>
      <c r="D365" t="s">
        <v>238</v>
      </c>
      <c r="E365" t="s">
        <v>239</v>
      </c>
      <c r="F365" s="328" t="s">
        <v>240</v>
      </c>
      <c r="G365" s="327">
        <v>0</v>
      </c>
    </row>
    <row r="366" spans="1:7" x14ac:dyDescent="0.25">
      <c r="A366" t="s">
        <v>111</v>
      </c>
      <c r="B366" t="s">
        <v>269</v>
      </c>
      <c r="C366" t="s">
        <v>270</v>
      </c>
      <c r="D366" t="s">
        <v>238</v>
      </c>
      <c r="E366" t="s">
        <v>239</v>
      </c>
      <c r="F366" s="327">
        <v>0</v>
      </c>
      <c r="G366" s="328" t="s">
        <v>240</v>
      </c>
    </row>
    <row r="367" spans="1:7" x14ac:dyDescent="0.25">
      <c r="A367" t="s">
        <v>111</v>
      </c>
      <c r="B367" t="s">
        <v>271</v>
      </c>
      <c r="C367" t="s">
        <v>272</v>
      </c>
      <c r="D367" t="s">
        <v>238</v>
      </c>
      <c r="E367" t="s">
        <v>239</v>
      </c>
      <c r="F367" s="327">
        <v>0</v>
      </c>
      <c r="G367" s="328" t="s">
        <v>240</v>
      </c>
    </row>
    <row r="368" spans="1:7" x14ac:dyDescent="0.25">
      <c r="A368" t="s">
        <v>111</v>
      </c>
      <c r="B368" t="s">
        <v>273</v>
      </c>
      <c r="C368" t="s">
        <v>274</v>
      </c>
      <c r="D368" t="s">
        <v>238</v>
      </c>
      <c r="E368" t="s">
        <v>239</v>
      </c>
      <c r="F368" s="327">
        <v>0</v>
      </c>
      <c r="G368" s="328" t="s">
        <v>240</v>
      </c>
    </row>
    <row r="369" spans="1:7" x14ac:dyDescent="0.25">
      <c r="A369" t="s">
        <v>111</v>
      </c>
      <c r="B369" t="s">
        <v>275</v>
      </c>
      <c r="C369" t="s">
        <v>276</v>
      </c>
      <c r="D369" t="s">
        <v>238</v>
      </c>
      <c r="E369" t="s">
        <v>239</v>
      </c>
      <c r="F369" s="327">
        <v>0</v>
      </c>
      <c r="G369" s="328" t="s">
        <v>240</v>
      </c>
    </row>
    <row r="370" spans="1:7" x14ac:dyDescent="0.25">
      <c r="A370" t="s">
        <v>111</v>
      </c>
      <c r="B370" t="s">
        <v>277</v>
      </c>
      <c r="C370" t="s">
        <v>278</v>
      </c>
      <c r="D370" t="s">
        <v>238</v>
      </c>
      <c r="E370" t="s">
        <v>239</v>
      </c>
      <c r="F370" s="327">
        <v>0</v>
      </c>
      <c r="G370" s="328" t="s">
        <v>240</v>
      </c>
    </row>
    <row r="371" spans="1:7" x14ac:dyDescent="0.25">
      <c r="A371" t="s">
        <v>111</v>
      </c>
      <c r="B371" t="s">
        <v>279</v>
      </c>
      <c r="C371" t="s">
        <v>280</v>
      </c>
      <c r="D371" t="s">
        <v>238</v>
      </c>
      <c r="E371" t="s">
        <v>239</v>
      </c>
      <c r="F371" s="327">
        <v>0</v>
      </c>
      <c r="G371" s="328" t="s">
        <v>240</v>
      </c>
    </row>
    <row r="372" spans="1:7" x14ac:dyDescent="0.25">
      <c r="A372" t="s">
        <v>111</v>
      </c>
      <c r="B372" t="s">
        <v>281</v>
      </c>
      <c r="C372" t="s">
        <v>282</v>
      </c>
      <c r="D372" t="s">
        <v>238</v>
      </c>
      <c r="E372" t="s">
        <v>239</v>
      </c>
      <c r="F372" s="327">
        <v>0</v>
      </c>
      <c r="G372" s="328" t="s">
        <v>240</v>
      </c>
    </row>
    <row r="373" spans="1:7" x14ac:dyDescent="0.25">
      <c r="A373" t="s">
        <v>111</v>
      </c>
      <c r="B373" t="s">
        <v>283</v>
      </c>
      <c r="C373" t="s">
        <v>284</v>
      </c>
      <c r="D373" t="s">
        <v>238</v>
      </c>
      <c r="E373" t="s">
        <v>239</v>
      </c>
      <c r="F373" s="327">
        <v>0</v>
      </c>
      <c r="G373" s="328" t="s">
        <v>240</v>
      </c>
    </row>
    <row r="374" spans="1:7" x14ac:dyDescent="0.25">
      <c r="A374" t="s">
        <v>115</v>
      </c>
      <c r="B374" t="s">
        <v>236</v>
      </c>
      <c r="C374" t="s">
        <v>237</v>
      </c>
      <c r="D374" t="s">
        <v>238</v>
      </c>
      <c r="E374" t="s">
        <v>239</v>
      </c>
      <c r="F374" s="327">
        <v>0</v>
      </c>
      <c r="G374" s="328" t="s">
        <v>240</v>
      </c>
    </row>
    <row r="375" spans="1:7" x14ac:dyDescent="0.25">
      <c r="A375" t="s">
        <v>115</v>
      </c>
      <c r="B375" t="s">
        <v>241</v>
      </c>
      <c r="C375" t="s">
        <v>242</v>
      </c>
      <c r="D375" t="s">
        <v>238</v>
      </c>
      <c r="E375" t="s">
        <v>239</v>
      </c>
      <c r="F375" s="327">
        <v>9.6573177261050094E-2</v>
      </c>
      <c r="G375" s="328" t="s">
        <v>240</v>
      </c>
    </row>
    <row r="376" spans="1:7" x14ac:dyDescent="0.25">
      <c r="A376" t="s">
        <v>115</v>
      </c>
      <c r="B376" t="s">
        <v>243</v>
      </c>
      <c r="C376" t="s">
        <v>244</v>
      </c>
      <c r="D376" t="s">
        <v>238</v>
      </c>
      <c r="E376" t="s">
        <v>239</v>
      </c>
      <c r="F376" s="327">
        <v>0</v>
      </c>
      <c r="G376" s="328" t="s">
        <v>240</v>
      </c>
    </row>
    <row r="377" spans="1:7" x14ac:dyDescent="0.25">
      <c r="A377" t="s">
        <v>115</v>
      </c>
      <c r="B377" t="s">
        <v>245</v>
      </c>
      <c r="C377" t="s">
        <v>246</v>
      </c>
      <c r="D377" t="s">
        <v>238</v>
      </c>
      <c r="E377" t="s">
        <v>239</v>
      </c>
      <c r="F377" s="327">
        <v>0</v>
      </c>
      <c r="G377" s="328" t="s">
        <v>240</v>
      </c>
    </row>
    <row r="378" spans="1:7" x14ac:dyDescent="0.25">
      <c r="A378" t="s">
        <v>115</v>
      </c>
      <c r="B378" t="s">
        <v>247</v>
      </c>
      <c r="C378" t="s">
        <v>248</v>
      </c>
      <c r="D378" t="s">
        <v>238</v>
      </c>
      <c r="E378" t="s">
        <v>239</v>
      </c>
      <c r="F378" s="327">
        <v>0.353424426415752</v>
      </c>
      <c r="G378" s="328" t="s">
        <v>240</v>
      </c>
    </row>
    <row r="379" spans="1:7" x14ac:dyDescent="0.25">
      <c r="A379" t="s">
        <v>115</v>
      </c>
      <c r="B379" t="s">
        <v>249</v>
      </c>
      <c r="C379" t="s">
        <v>250</v>
      </c>
      <c r="D379" t="s">
        <v>238</v>
      </c>
      <c r="E379" t="s">
        <v>239</v>
      </c>
      <c r="F379" s="327">
        <v>0</v>
      </c>
      <c r="G379" s="328" t="s">
        <v>240</v>
      </c>
    </row>
    <row r="380" spans="1:7" x14ac:dyDescent="0.25">
      <c r="A380" t="s">
        <v>115</v>
      </c>
      <c r="B380" t="s">
        <v>251</v>
      </c>
      <c r="C380" t="s">
        <v>252</v>
      </c>
      <c r="D380" t="s">
        <v>238</v>
      </c>
      <c r="E380" t="s">
        <v>239</v>
      </c>
      <c r="F380" s="327">
        <v>0</v>
      </c>
      <c r="G380" s="328" t="s">
        <v>240</v>
      </c>
    </row>
    <row r="381" spans="1:7" x14ac:dyDescent="0.25">
      <c r="A381" t="s">
        <v>115</v>
      </c>
      <c r="B381" t="s">
        <v>253</v>
      </c>
      <c r="C381" t="s">
        <v>254</v>
      </c>
      <c r="D381" t="s">
        <v>238</v>
      </c>
      <c r="E381" t="s">
        <v>239</v>
      </c>
      <c r="F381" s="327">
        <v>9.831384733779789E-4</v>
      </c>
      <c r="G381" s="328" t="s">
        <v>240</v>
      </c>
    </row>
    <row r="382" spans="1:7" x14ac:dyDescent="0.25">
      <c r="A382" t="s">
        <v>115</v>
      </c>
      <c r="B382" t="s">
        <v>255</v>
      </c>
      <c r="C382" t="s">
        <v>256</v>
      </c>
      <c r="D382" t="s">
        <v>238</v>
      </c>
      <c r="E382" t="s">
        <v>239</v>
      </c>
      <c r="F382" s="327">
        <v>0</v>
      </c>
      <c r="G382" s="328" t="s">
        <v>240</v>
      </c>
    </row>
    <row r="383" spans="1:7" x14ac:dyDescent="0.25">
      <c r="A383" t="s">
        <v>115</v>
      </c>
      <c r="B383" t="s">
        <v>257</v>
      </c>
      <c r="C383" t="s">
        <v>258</v>
      </c>
      <c r="D383" t="s">
        <v>238</v>
      </c>
      <c r="E383" t="s">
        <v>239</v>
      </c>
      <c r="F383" s="327">
        <v>0</v>
      </c>
      <c r="G383" s="328" t="s">
        <v>240</v>
      </c>
    </row>
    <row r="384" spans="1:7" x14ac:dyDescent="0.25">
      <c r="A384" t="s">
        <v>115</v>
      </c>
      <c r="B384" t="s">
        <v>259</v>
      </c>
      <c r="C384" t="s">
        <v>260</v>
      </c>
      <c r="D384" t="s">
        <v>238</v>
      </c>
      <c r="E384" t="s">
        <v>239</v>
      </c>
      <c r="F384" s="328" t="s">
        <v>240</v>
      </c>
      <c r="G384" s="327">
        <v>1.50857632274288E-2</v>
      </c>
    </row>
    <row r="385" spans="1:7" x14ac:dyDescent="0.25">
      <c r="A385" t="s">
        <v>115</v>
      </c>
      <c r="B385" t="s">
        <v>261</v>
      </c>
      <c r="C385" t="s">
        <v>262</v>
      </c>
      <c r="D385" t="s">
        <v>238</v>
      </c>
      <c r="E385" t="s">
        <v>239</v>
      </c>
      <c r="F385" s="328" t="s">
        <v>240</v>
      </c>
      <c r="G385" s="327">
        <v>0.28653704054866902</v>
      </c>
    </row>
    <row r="386" spans="1:7" x14ac:dyDescent="0.25">
      <c r="A386" t="s">
        <v>115</v>
      </c>
      <c r="B386" t="s">
        <v>263</v>
      </c>
      <c r="C386" t="s">
        <v>264</v>
      </c>
      <c r="D386" t="s">
        <v>238</v>
      </c>
      <c r="E386" t="s">
        <v>239</v>
      </c>
      <c r="F386" s="328" t="s">
        <v>240</v>
      </c>
      <c r="G386" s="327">
        <v>0</v>
      </c>
    </row>
    <row r="387" spans="1:7" x14ac:dyDescent="0.25">
      <c r="A387" t="s">
        <v>115</v>
      </c>
      <c r="B387" t="s">
        <v>265</v>
      </c>
      <c r="C387" t="s">
        <v>266</v>
      </c>
      <c r="D387" t="s">
        <v>238</v>
      </c>
      <c r="E387" t="s">
        <v>239</v>
      </c>
      <c r="F387" s="328" t="s">
        <v>240</v>
      </c>
      <c r="G387" s="327">
        <v>0</v>
      </c>
    </row>
    <row r="388" spans="1:7" x14ac:dyDescent="0.25">
      <c r="A388" t="s">
        <v>115</v>
      </c>
      <c r="B388" t="s">
        <v>267</v>
      </c>
      <c r="C388" t="s">
        <v>268</v>
      </c>
      <c r="D388" t="s">
        <v>238</v>
      </c>
      <c r="E388" t="s">
        <v>239</v>
      </c>
      <c r="F388" s="328" t="s">
        <v>240</v>
      </c>
      <c r="G388" s="327">
        <v>0</v>
      </c>
    </row>
    <row r="389" spans="1:7" x14ac:dyDescent="0.25">
      <c r="A389" t="s">
        <v>115</v>
      </c>
      <c r="B389" t="s">
        <v>269</v>
      </c>
      <c r="C389" t="s">
        <v>270</v>
      </c>
      <c r="D389" t="s">
        <v>238</v>
      </c>
      <c r="E389" t="s">
        <v>239</v>
      </c>
      <c r="F389" s="327">
        <v>0</v>
      </c>
      <c r="G389" s="328" t="s">
        <v>240</v>
      </c>
    </row>
    <row r="390" spans="1:7" x14ac:dyDescent="0.25">
      <c r="A390" t="s">
        <v>115</v>
      </c>
      <c r="B390" t="s">
        <v>271</v>
      </c>
      <c r="C390" t="s">
        <v>272</v>
      </c>
      <c r="D390" t="s">
        <v>238</v>
      </c>
      <c r="E390" t="s">
        <v>239</v>
      </c>
      <c r="F390" s="327">
        <v>0</v>
      </c>
      <c r="G390" s="328" t="s">
        <v>240</v>
      </c>
    </row>
    <row r="391" spans="1:7" x14ac:dyDescent="0.25">
      <c r="A391" t="s">
        <v>115</v>
      </c>
      <c r="B391" t="s">
        <v>273</v>
      </c>
      <c r="C391" t="s">
        <v>274</v>
      </c>
      <c r="D391" t="s">
        <v>238</v>
      </c>
      <c r="E391" t="s">
        <v>239</v>
      </c>
      <c r="F391" s="327">
        <v>0</v>
      </c>
      <c r="G391" s="328" t="s">
        <v>240</v>
      </c>
    </row>
    <row r="392" spans="1:7" x14ac:dyDescent="0.25">
      <c r="A392" t="s">
        <v>115</v>
      </c>
      <c r="B392" t="s">
        <v>275</v>
      </c>
      <c r="C392" t="s">
        <v>276</v>
      </c>
      <c r="D392" t="s">
        <v>238</v>
      </c>
      <c r="E392" t="s">
        <v>239</v>
      </c>
      <c r="F392" s="327">
        <v>0</v>
      </c>
      <c r="G392" s="328" t="s">
        <v>240</v>
      </c>
    </row>
    <row r="393" spans="1:7" x14ac:dyDescent="0.25">
      <c r="A393" t="s">
        <v>115</v>
      </c>
      <c r="B393" t="s">
        <v>277</v>
      </c>
      <c r="C393" t="s">
        <v>278</v>
      </c>
      <c r="D393" t="s">
        <v>238</v>
      </c>
      <c r="E393" t="s">
        <v>239</v>
      </c>
      <c r="F393" s="327">
        <v>0</v>
      </c>
      <c r="G393" s="328" t="s">
        <v>240</v>
      </c>
    </row>
    <row r="394" spans="1:7" x14ac:dyDescent="0.25">
      <c r="A394" t="s">
        <v>115</v>
      </c>
      <c r="B394" t="s">
        <v>279</v>
      </c>
      <c r="C394" t="s">
        <v>280</v>
      </c>
      <c r="D394" t="s">
        <v>238</v>
      </c>
      <c r="E394" t="s">
        <v>239</v>
      </c>
      <c r="F394" s="327">
        <v>0</v>
      </c>
      <c r="G394" s="328" t="s">
        <v>240</v>
      </c>
    </row>
    <row r="395" spans="1:7" x14ac:dyDescent="0.25">
      <c r="A395" t="s">
        <v>115</v>
      </c>
      <c r="B395" t="s">
        <v>281</v>
      </c>
      <c r="C395" t="s">
        <v>282</v>
      </c>
      <c r="D395" t="s">
        <v>238</v>
      </c>
      <c r="E395" t="s">
        <v>239</v>
      </c>
      <c r="F395" s="327">
        <v>0</v>
      </c>
      <c r="G395" s="328" t="s">
        <v>240</v>
      </c>
    </row>
    <row r="396" spans="1:7" x14ac:dyDescent="0.25">
      <c r="A396" t="s">
        <v>115</v>
      </c>
      <c r="B396" t="s">
        <v>283</v>
      </c>
      <c r="C396" t="s">
        <v>284</v>
      </c>
      <c r="D396" t="s">
        <v>238</v>
      </c>
      <c r="E396" t="s">
        <v>239</v>
      </c>
      <c r="F396" s="327">
        <v>0</v>
      </c>
      <c r="G396" s="328" t="s">
        <v>240</v>
      </c>
    </row>
    <row r="397" spans="1:7" x14ac:dyDescent="0.25">
      <c r="A397" t="s">
        <v>117</v>
      </c>
      <c r="B397" t="s">
        <v>236</v>
      </c>
      <c r="C397" t="s">
        <v>237</v>
      </c>
      <c r="D397" t="s">
        <v>238</v>
      </c>
      <c r="E397" t="s">
        <v>239</v>
      </c>
      <c r="F397" s="327">
        <v>0</v>
      </c>
      <c r="G397" s="328" t="s">
        <v>240</v>
      </c>
    </row>
    <row r="398" spans="1:7" x14ac:dyDescent="0.25">
      <c r="A398" t="s">
        <v>117</v>
      </c>
      <c r="B398" t="s">
        <v>241</v>
      </c>
      <c r="C398" t="s">
        <v>242</v>
      </c>
      <c r="D398" t="s">
        <v>238</v>
      </c>
      <c r="E398" t="s">
        <v>239</v>
      </c>
      <c r="F398" s="327">
        <v>0</v>
      </c>
      <c r="G398" s="328" t="s">
        <v>240</v>
      </c>
    </row>
    <row r="399" spans="1:7" x14ac:dyDescent="0.25">
      <c r="A399" t="s">
        <v>117</v>
      </c>
      <c r="B399" t="s">
        <v>243</v>
      </c>
      <c r="C399" t="s">
        <v>244</v>
      </c>
      <c r="D399" t="s">
        <v>238</v>
      </c>
      <c r="E399" t="s">
        <v>239</v>
      </c>
      <c r="F399" s="327">
        <v>0</v>
      </c>
      <c r="G399" s="328" t="s">
        <v>240</v>
      </c>
    </row>
    <row r="400" spans="1:7" x14ac:dyDescent="0.25">
      <c r="A400" t="s">
        <v>117</v>
      </c>
      <c r="B400" t="s">
        <v>245</v>
      </c>
      <c r="C400" t="s">
        <v>246</v>
      </c>
      <c r="D400" t="s">
        <v>238</v>
      </c>
      <c r="E400" t="s">
        <v>239</v>
      </c>
      <c r="F400" s="327">
        <v>0</v>
      </c>
      <c r="G400" s="328" t="s">
        <v>240</v>
      </c>
    </row>
    <row r="401" spans="1:7" x14ac:dyDescent="0.25">
      <c r="A401" t="s">
        <v>117</v>
      </c>
      <c r="B401" t="s">
        <v>247</v>
      </c>
      <c r="C401" t="s">
        <v>248</v>
      </c>
      <c r="D401" t="s">
        <v>238</v>
      </c>
      <c r="E401" t="s">
        <v>239</v>
      </c>
      <c r="F401" s="327">
        <v>0.34462547368971003</v>
      </c>
      <c r="G401" s="328" t="s">
        <v>240</v>
      </c>
    </row>
    <row r="402" spans="1:7" x14ac:dyDescent="0.25">
      <c r="A402" t="s">
        <v>117</v>
      </c>
      <c r="B402" t="s">
        <v>249</v>
      </c>
      <c r="C402" t="s">
        <v>250</v>
      </c>
      <c r="D402" t="s">
        <v>238</v>
      </c>
      <c r="E402" t="s">
        <v>239</v>
      </c>
      <c r="F402" s="327">
        <v>0</v>
      </c>
      <c r="G402" s="328" t="s">
        <v>240</v>
      </c>
    </row>
    <row r="403" spans="1:7" x14ac:dyDescent="0.25">
      <c r="A403" t="s">
        <v>117</v>
      </c>
      <c r="B403" t="s">
        <v>251</v>
      </c>
      <c r="C403" t="s">
        <v>252</v>
      </c>
      <c r="D403" t="s">
        <v>238</v>
      </c>
      <c r="E403" t="s">
        <v>239</v>
      </c>
      <c r="F403" s="327">
        <v>0</v>
      </c>
      <c r="G403" s="328" t="s">
        <v>240</v>
      </c>
    </row>
    <row r="404" spans="1:7" x14ac:dyDescent="0.25">
      <c r="A404" t="s">
        <v>117</v>
      </c>
      <c r="B404" t="s">
        <v>253</v>
      </c>
      <c r="C404" t="s">
        <v>254</v>
      </c>
      <c r="D404" t="s">
        <v>238</v>
      </c>
      <c r="E404" t="s">
        <v>239</v>
      </c>
      <c r="F404" s="327">
        <v>0</v>
      </c>
      <c r="G404" s="328" t="s">
        <v>240</v>
      </c>
    </row>
    <row r="405" spans="1:7" x14ac:dyDescent="0.25">
      <c r="A405" t="s">
        <v>117</v>
      </c>
      <c r="B405" t="s">
        <v>255</v>
      </c>
      <c r="C405" t="s">
        <v>256</v>
      </c>
      <c r="D405" t="s">
        <v>238</v>
      </c>
      <c r="E405" t="s">
        <v>239</v>
      </c>
      <c r="F405" s="327">
        <v>0</v>
      </c>
      <c r="G405" s="328" t="s">
        <v>240</v>
      </c>
    </row>
    <row r="406" spans="1:7" x14ac:dyDescent="0.25">
      <c r="A406" t="s">
        <v>117</v>
      </c>
      <c r="B406" t="s">
        <v>257</v>
      </c>
      <c r="C406" t="s">
        <v>258</v>
      </c>
      <c r="D406" t="s">
        <v>238</v>
      </c>
      <c r="E406" t="s">
        <v>239</v>
      </c>
      <c r="F406" s="327">
        <v>0</v>
      </c>
      <c r="G406" s="328" t="s">
        <v>240</v>
      </c>
    </row>
    <row r="407" spans="1:7" x14ac:dyDescent="0.25">
      <c r="A407" t="s">
        <v>117</v>
      </c>
      <c r="B407" t="s">
        <v>259</v>
      </c>
      <c r="C407" t="s">
        <v>260</v>
      </c>
      <c r="D407" t="s">
        <v>238</v>
      </c>
      <c r="E407" t="s">
        <v>239</v>
      </c>
      <c r="F407" s="328" t="s">
        <v>240</v>
      </c>
      <c r="G407" s="327">
        <v>3.2735579364273397E-2</v>
      </c>
    </row>
    <row r="408" spans="1:7" x14ac:dyDescent="0.25">
      <c r="A408" t="s">
        <v>117</v>
      </c>
      <c r="B408" t="s">
        <v>261</v>
      </c>
      <c r="C408" t="s">
        <v>262</v>
      </c>
      <c r="D408" t="s">
        <v>238</v>
      </c>
      <c r="E408" t="s">
        <v>239</v>
      </c>
      <c r="F408" s="328" t="s">
        <v>240</v>
      </c>
      <c r="G408" s="327">
        <v>0.85999210174865204</v>
      </c>
    </row>
    <row r="409" spans="1:7" x14ac:dyDescent="0.25">
      <c r="A409" t="s">
        <v>117</v>
      </c>
      <c r="B409" t="s">
        <v>263</v>
      </c>
      <c r="C409" t="s">
        <v>264</v>
      </c>
      <c r="D409" t="s">
        <v>238</v>
      </c>
      <c r="E409" t="s">
        <v>239</v>
      </c>
      <c r="F409" s="328" t="s">
        <v>240</v>
      </c>
      <c r="G409" s="327">
        <v>0</v>
      </c>
    </row>
    <row r="410" spans="1:7" x14ac:dyDescent="0.25">
      <c r="A410" t="s">
        <v>117</v>
      </c>
      <c r="B410" t="s">
        <v>265</v>
      </c>
      <c r="C410" t="s">
        <v>266</v>
      </c>
      <c r="D410" t="s">
        <v>238</v>
      </c>
      <c r="E410" t="s">
        <v>239</v>
      </c>
      <c r="F410" s="328" t="s">
        <v>240</v>
      </c>
      <c r="G410" s="327">
        <v>0</v>
      </c>
    </row>
    <row r="411" spans="1:7" x14ac:dyDescent="0.25">
      <c r="A411" t="s">
        <v>117</v>
      </c>
      <c r="B411" t="s">
        <v>267</v>
      </c>
      <c r="C411" t="s">
        <v>268</v>
      </c>
      <c r="D411" t="s">
        <v>238</v>
      </c>
      <c r="E411" t="s">
        <v>239</v>
      </c>
      <c r="F411" s="328" t="s">
        <v>240</v>
      </c>
      <c r="G411" s="327">
        <v>0</v>
      </c>
    </row>
    <row r="412" spans="1:7" x14ac:dyDescent="0.25">
      <c r="A412" t="s">
        <v>117</v>
      </c>
      <c r="B412" t="s">
        <v>269</v>
      </c>
      <c r="C412" t="s">
        <v>270</v>
      </c>
      <c r="D412" t="s">
        <v>238</v>
      </c>
      <c r="E412" t="s">
        <v>239</v>
      </c>
      <c r="F412" s="327">
        <v>0</v>
      </c>
      <c r="G412" s="328" t="s">
        <v>240</v>
      </c>
    </row>
    <row r="413" spans="1:7" x14ac:dyDescent="0.25">
      <c r="A413" t="s">
        <v>117</v>
      </c>
      <c r="B413" t="s">
        <v>271</v>
      </c>
      <c r="C413" t="s">
        <v>272</v>
      </c>
      <c r="D413" t="s">
        <v>238</v>
      </c>
      <c r="E413" t="s">
        <v>239</v>
      </c>
      <c r="F413" s="327">
        <v>0</v>
      </c>
      <c r="G413" s="328" t="s">
        <v>240</v>
      </c>
    </row>
    <row r="414" spans="1:7" x14ac:dyDescent="0.25">
      <c r="A414" t="s">
        <v>117</v>
      </c>
      <c r="B414" t="s">
        <v>273</v>
      </c>
      <c r="C414" t="s">
        <v>274</v>
      </c>
      <c r="D414" t="s">
        <v>238</v>
      </c>
      <c r="E414" t="s">
        <v>239</v>
      </c>
      <c r="F414" s="327">
        <v>0</v>
      </c>
      <c r="G414" s="328" t="s">
        <v>240</v>
      </c>
    </row>
    <row r="415" spans="1:7" x14ac:dyDescent="0.25">
      <c r="A415" t="s">
        <v>117</v>
      </c>
      <c r="B415" t="s">
        <v>275</v>
      </c>
      <c r="C415" t="s">
        <v>276</v>
      </c>
      <c r="D415" t="s">
        <v>238</v>
      </c>
      <c r="E415" t="s">
        <v>239</v>
      </c>
      <c r="F415" s="327">
        <v>0</v>
      </c>
      <c r="G415" s="328" t="s">
        <v>240</v>
      </c>
    </row>
    <row r="416" spans="1:7" x14ac:dyDescent="0.25">
      <c r="A416" t="s">
        <v>117</v>
      </c>
      <c r="B416" t="s">
        <v>277</v>
      </c>
      <c r="C416" t="s">
        <v>278</v>
      </c>
      <c r="D416" t="s">
        <v>238</v>
      </c>
      <c r="E416" t="s">
        <v>239</v>
      </c>
      <c r="F416" s="327">
        <v>0</v>
      </c>
      <c r="G416" s="328" t="s">
        <v>240</v>
      </c>
    </row>
    <row r="417" spans="1:7" x14ac:dyDescent="0.25">
      <c r="A417" t="s">
        <v>117</v>
      </c>
      <c r="B417" t="s">
        <v>279</v>
      </c>
      <c r="C417" t="s">
        <v>280</v>
      </c>
      <c r="D417" t="s">
        <v>238</v>
      </c>
      <c r="E417" t="s">
        <v>239</v>
      </c>
      <c r="F417" s="327">
        <v>0</v>
      </c>
      <c r="G417" s="328" t="s">
        <v>240</v>
      </c>
    </row>
    <row r="418" spans="1:7" x14ac:dyDescent="0.25">
      <c r="A418" t="s">
        <v>117</v>
      </c>
      <c r="B418" t="s">
        <v>281</v>
      </c>
      <c r="C418" t="s">
        <v>282</v>
      </c>
      <c r="D418" t="s">
        <v>238</v>
      </c>
      <c r="E418" t="s">
        <v>239</v>
      </c>
      <c r="F418" s="327">
        <v>0</v>
      </c>
      <c r="G418" s="328" t="s">
        <v>240</v>
      </c>
    </row>
    <row r="419" spans="1:7" x14ac:dyDescent="0.25">
      <c r="A419" t="s">
        <v>117</v>
      </c>
      <c r="B419" t="s">
        <v>283</v>
      </c>
      <c r="C419" t="s">
        <v>284</v>
      </c>
      <c r="D419" t="s">
        <v>238</v>
      </c>
      <c r="E419" t="s">
        <v>239</v>
      </c>
      <c r="F419" s="327">
        <v>0</v>
      </c>
      <c r="G419" s="328" t="s">
        <v>240</v>
      </c>
    </row>
    <row r="420" spans="1:7" x14ac:dyDescent="0.25">
      <c r="A420" t="s">
        <v>113</v>
      </c>
      <c r="B420" t="s">
        <v>236</v>
      </c>
      <c r="C420" t="s">
        <v>237</v>
      </c>
      <c r="D420" t="s">
        <v>238</v>
      </c>
      <c r="E420" t="s">
        <v>239</v>
      </c>
      <c r="F420" s="327">
        <v>0</v>
      </c>
      <c r="G420" s="328" t="s">
        <v>240</v>
      </c>
    </row>
    <row r="421" spans="1:7" x14ac:dyDescent="0.25">
      <c r="A421" t="s">
        <v>113</v>
      </c>
      <c r="B421" t="s">
        <v>241</v>
      </c>
      <c r="C421" t="s">
        <v>242</v>
      </c>
      <c r="D421" t="s">
        <v>238</v>
      </c>
      <c r="E421" t="s">
        <v>239</v>
      </c>
      <c r="F421" s="327">
        <v>0</v>
      </c>
      <c r="G421" s="328" t="s">
        <v>240</v>
      </c>
    </row>
    <row r="422" spans="1:7" x14ac:dyDescent="0.25">
      <c r="A422" t="s">
        <v>113</v>
      </c>
      <c r="B422" t="s">
        <v>243</v>
      </c>
      <c r="C422" t="s">
        <v>244</v>
      </c>
      <c r="D422" t="s">
        <v>238</v>
      </c>
      <c r="E422" t="s">
        <v>239</v>
      </c>
      <c r="F422" s="327">
        <v>0</v>
      </c>
      <c r="G422" s="328" t="s">
        <v>240</v>
      </c>
    </row>
    <row r="423" spans="1:7" x14ac:dyDescent="0.25">
      <c r="A423" t="s">
        <v>113</v>
      </c>
      <c r="B423" t="s">
        <v>245</v>
      </c>
      <c r="C423" t="s">
        <v>246</v>
      </c>
      <c r="D423" t="s">
        <v>238</v>
      </c>
      <c r="E423" t="s">
        <v>239</v>
      </c>
      <c r="F423" s="327">
        <v>0</v>
      </c>
      <c r="G423" s="328" t="s">
        <v>240</v>
      </c>
    </row>
    <row r="424" spans="1:7" x14ac:dyDescent="0.25">
      <c r="A424" t="s">
        <v>113</v>
      </c>
      <c r="B424" t="s">
        <v>247</v>
      </c>
      <c r="C424" t="s">
        <v>248</v>
      </c>
      <c r="D424" t="s">
        <v>238</v>
      </c>
      <c r="E424" t="s">
        <v>239</v>
      </c>
      <c r="F424" s="327">
        <v>-3.9047824837260499E-2</v>
      </c>
      <c r="G424" s="328" t="s">
        <v>240</v>
      </c>
    </row>
    <row r="425" spans="1:7" x14ac:dyDescent="0.25">
      <c r="A425" t="s">
        <v>113</v>
      </c>
      <c r="B425" t="s">
        <v>249</v>
      </c>
      <c r="C425" t="s">
        <v>250</v>
      </c>
      <c r="D425" t="s">
        <v>238</v>
      </c>
      <c r="E425" t="s">
        <v>239</v>
      </c>
      <c r="F425" s="327">
        <v>0</v>
      </c>
      <c r="G425" s="328" t="s">
        <v>240</v>
      </c>
    </row>
    <row r="426" spans="1:7" x14ac:dyDescent="0.25">
      <c r="A426" t="s">
        <v>113</v>
      </c>
      <c r="B426" t="s">
        <v>251</v>
      </c>
      <c r="C426" t="s">
        <v>252</v>
      </c>
      <c r="D426" t="s">
        <v>238</v>
      </c>
      <c r="E426" t="s">
        <v>239</v>
      </c>
      <c r="F426" s="327">
        <v>0</v>
      </c>
      <c r="G426" s="328" t="s">
        <v>240</v>
      </c>
    </row>
    <row r="427" spans="1:7" x14ac:dyDescent="0.25">
      <c r="A427" t="s">
        <v>113</v>
      </c>
      <c r="B427" t="s">
        <v>253</v>
      </c>
      <c r="C427" t="s">
        <v>254</v>
      </c>
      <c r="D427" t="s">
        <v>238</v>
      </c>
      <c r="E427" t="s">
        <v>239</v>
      </c>
      <c r="F427" s="327">
        <v>-1.10809655752028E-2</v>
      </c>
      <c r="G427" s="328" t="s">
        <v>240</v>
      </c>
    </row>
    <row r="428" spans="1:7" x14ac:dyDescent="0.25">
      <c r="A428" t="s">
        <v>113</v>
      </c>
      <c r="B428" t="s">
        <v>255</v>
      </c>
      <c r="C428" t="s">
        <v>256</v>
      </c>
      <c r="D428" t="s">
        <v>238</v>
      </c>
      <c r="E428" t="s">
        <v>239</v>
      </c>
      <c r="F428" s="327">
        <v>0</v>
      </c>
      <c r="G428" s="328" t="s">
        <v>240</v>
      </c>
    </row>
    <row r="429" spans="1:7" x14ac:dyDescent="0.25">
      <c r="A429" t="s">
        <v>113</v>
      </c>
      <c r="B429" t="s">
        <v>257</v>
      </c>
      <c r="C429" t="s">
        <v>258</v>
      </c>
      <c r="D429" t="s">
        <v>238</v>
      </c>
      <c r="E429" t="s">
        <v>239</v>
      </c>
      <c r="F429" s="327">
        <v>0</v>
      </c>
      <c r="G429" s="328" t="s">
        <v>240</v>
      </c>
    </row>
    <row r="430" spans="1:7" x14ac:dyDescent="0.25">
      <c r="A430" t="s">
        <v>113</v>
      </c>
      <c r="B430" t="s">
        <v>259</v>
      </c>
      <c r="C430" t="s">
        <v>260</v>
      </c>
      <c r="D430" t="s">
        <v>238</v>
      </c>
      <c r="E430" t="s">
        <v>239</v>
      </c>
      <c r="F430" s="328" t="s">
        <v>240</v>
      </c>
      <c r="G430" s="327">
        <v>2.3683801907484901E-2</v>
      </c>
    </row>
    <row r="431" spans="1:7" x14ac:dyDescent="0.25">
      <c r="A431" t="s">
        <v>113</v>
      </c>
      <c r="B431" t="s">
        <v>261</v>
      </c>
      <c r="C431" t="s">
        <v>262</v>
      </c>
      <c r="D431" t="s">
        <v>238</v>
      </c>
      <c r="E431" t="s">
        <v>239</v>
      </c>
      <c r="F431" s="328" t="s">
        <v>240</v>
      </c>
      <c r="G431" s="327">
        <v>0.42929226203450099</v>
      </c>
    </row>
    <row r="432" spans="1:7" x14ac:dyDescent="0.25">
      <c r="A432" t="s">
        <v>113</v>
      </c>
      <c r="B432" t="s">
        <v>263</v>
      </c>
      <c r="C432" t="s">
        <v>264</v>
      </c>
      <c r="D432" t="s">
        <v>238</v>
      </c>
      <c r="E432" t="s">
        <v>239</v>
      </c>
      <c r="F432" s="328" t="s">
        <v>240</v>
      </c>
      <c r="G432" s="327">
        <v>0</v>
      </c>
    </row>
    <row r="433" spans="1:7" x14ac:dyDescent="0.25">
      <c r="A433" t="s">
        <v>113</v>
      </c>
      <c r="B433" t="s">
        <v>265</v>
      </c>
      <c r="C433" t="s">
        <v>266</v>
      </c>
      <c r="D433" t="s">
        <v>238</v>
      </c>
      <c r="E433" t="s">
        <v>239</v>
      </c>
      <c r="F433" s="328" t="s">
        <v>240</v>
      </c>
      <c r="G433" s="327">
        <v>0</v>
      </c>
    </row>
    <row r="434" spans="1:7" x14ac:dyDescent="0.25">
      <c r="A434" t="s">
        <v>113</v>
      </c>
      <c r="B434" t="s">
        <v>267</v>
      </c>
      <c r="C434" t="s">
        <v>268</v>
      </c>
      <c r="D434" t="s">
        <v>238</v>
      </c>
      <c r="E434" t="s">
        <v>239</v>
      </c>
      <c r="F434" s="328" t="s">
        <v>240</v>
      </c>
      <c r="G434" s="327">
        <v>0</v>
      </c>
    </row>
    <row r="435" spans="1:7" x14ac:dyDescent="0.25">
      <c r="A435" t="s">
        <v>113</v>
      </c>
      <c r="B435" t="s">
        <v>269</v>
      </c>
      <c r="C435" t="s">
        <v>270</v>
      </c>
      <c r="D435" t="s">
        <v>238</v>
      </c>
      <c r="E435" t="s">
        <v>239</v>
      </c>
      <c r="F435" s="327">
        <v>0</v>
      </c>
      <c r="G435" s="328" t="s">
        <v>240</v>
      </c>
    </row>
    <row r="436" spans="1:7" x14ac:dyDescent="0.25">
      <c r="A436" t="s">
        <v>113</v>
      </c>
      <c r="B436" t="s">
        <v>271</v>
      </c>
      <c r="C436" t="s">
        <v>272</v>
      </c>
      <c r="D436" t="s">
        <v>238</v>
      </c>
      <c r="E436" t="s">
        <v>239</v>
      </c>
      <c r="F436" s="327">
        <v>0</v>
      </c>
      <c r="G436" s="328" t="s">
        <v>240</v>
      </c>
    </row>
    <row r="437" spans="1:7" x14ac:dyDescent="0.25">
      <c r="A437" t="s">
        <v>113</v>
      </c>
      <c r="B437" t="s">
        <v>273</v>
      </c>
      <c r="C437" t="s">
        <v>274</v>
      </c>
      <c r="D437" t="s">
        <v>238</v>
      </c>
      <c r="E437" t="s">
        <v>239</v>
      </c>
      <c r="F437" s="327">
        <v>0</v>
      </c>
      <c r="G437" s="328" t="s">
        <v>240</v>
      </c>
    </row>
    <row r="438" spans="1:7" x14ac:dyDescent="0.25">
      <c r="A438" t="s">
        <v>113</v>
      </c>
      <c r="B438" t="s">
        <v>275</v>
      </c>
      <c r="C438" t="s">
        <v>276</v>
      </c>
      <c r="D438" t="s">
        <v>238</v>
      </c>
      <c r="E438" t="s">
        <v>239</v>
      </c>
      <c r="F438" s="327">
        <v>0</v>
      </c>
      <c r="G438" s="328" t="s">
        <v>240</v>
      </c>
    </row>
    <row r="439" spans="1:7" x14ac:dyDescent="0.25">
      <c r="A439" t="s">
        <v>113</v>
      </c>
      <c r="B439" t="s">
        <v>277</v>
      </c>
      <c r="C439" t="s">
        <v>278</v>
      </c>
      <c r="D439" t="s">
        <v>238</v>
      </c>
      <c r="E439" t="s">
        <v>239</v>
      </c>
      <c r="F439" s="327">
        <v>0</v>
      </c>
      <c r="G439" s="328" t="s">
        <v>240</v>
      </c>
    </row>
    <row r="440" spans="1:7" x14ac:dyDescent="0.25">
      <c r="A440" t="s">
        <v>113</v>
      </c>
      <c r="B440" t="s">
        <v>279</v>
      </c>
      <c r="C440" t="s">
        <v>280</v>
      </c>
      <c r="D440" t="s">
        <v>238</v>
      </c>
      <c r="E440" t="s">
        <v>239</v>
      </c>
      <c r="F440" s="327">
        <v>0</v>
      </c>
      <c r="G440" s="328" t="s">
        <v>240</v>
      </c>
    </row>
    <row r="441" spans="1:7" x14ac:dyDescent="0.25">
      <c r="A441" t="s">
        <v>113</v>
      </c>
      <c r="B441" t="s">
        <v>281</v>
      </c>
      <c r="C441" t="s">
        <v>282</v>
      </c>
      <c r="D441" t="s">
        <v>238</v>
      </c>
      <c r="E441" t="s">
        <v>239</v>
      </c>
      <c r="F441" s="327">
        <v>0</v>
      </c>
      <c r="G441" s="328" t="s">
        <v>240</v>
      </c>
    </row>
    <row r="442" spans="1:7" x14ac:dyDescent="0.25">
      <c r="A442" t="s">
        <v>113</v>
      </c>
      <c r="B442" t="s">
        <v>283</v>
      </c>
      <c r="C442" t="s">
        <v>284</v>
      </c>
      <c r="D442" t="s">
        <v>238</v>
      </c>
      <c r="E442" t="s">
        <v>239</v>
      </c>
      <c r="F442" s="327">
        <v>0</v>
      </c>
      <c r="G442" s="328" t="s">
        <v>240</v>
      </c>
    </row>
    <row r="443" spans="1:7" x14ac:dyDescent="0.25"/>
    <row r="444" spans="1:7" x14ac:dyDescent="0.25"/>
    <row r="445" spans="1:7" x14ac:dyDescent="0.25"/>
    <row r="446" spans="1:7" x14ac:dyDescent="0.25"/>
    <row r="447" spans="1:7" x14ac:dyDescent="0.25"/>
    <row r="448" spans="1:7" x14ac:dyDescent="0.25"/>
    <row r="449" x14ac:dyDescent="0.25"/>
    <row r="450" x14ac:dyDescent="0.25"/>
  </sheetData>
  <pageMargins left="0.70866141732283472" right="0.70866141732283472" top="0.74803149606299213" bottom="0.74803149606299213" header="0.31496062992125984" footer="0.31496062992125984"/>
  <pageSetup paperSize="8" scale="81" fitToHeight="0" orientation="landscape" r:id="rId1"/>
  <headerFooter>
    <oddHeader>&amp;L&amp;F&amp;CSheet: &amp;A&amp;ROFFICIAL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F89B5-458D-423D-8FC0-87C94D9960C3}">
  <sheetPr codeName="Sheet5">
    <tabColor rgb="FFFFFF99"/>
    <outlinePr summaryBelow="0" summaryRight="0"/>
    <pageSetUpPr fitToPage="1"/>
  </sheetPr>
  <dimension ref="A1:CD319"/>
  <sheetViews>
    <sheetView showGridLines="0" zoomScale="80" zoomScaleNormal="80" workbookViewId="0">
      <pane xSplit="9" ySplit="7" topLeftCell="J8" activePane="bottomRight" state="frozen"/>
      <selection pane="topRight"/>
      <selection pane="bottomLeft"/>
      <selection pane="bottomRight"/>
    </sheetView>
  </sheetViews>
  <sheetFormatPr defaultColWidth="0" defaultRowHeight="13" zeroHeight="1" outlineLevelRow="1" x14ac:dyDescent="0.25"/>
  <cols>
    <col min="1" max="1" width="1.7265625" style="5" customWidth="1"/>
    <col min="2" max="2" width="1.453125" style="9" customWidth="1"/>
    <col min="3" max="3" width="1.453125" style="117" customWidth="1"/>
    <col min="4" max="4" width="1.453125" style="6" customWidth="1"/>
    <col min="5" max="5" width="65.54296875" style="7" bestFit="1" customWidth="1"/>
    <col min="6" max="6" width="12.7265625" style="7" bestFit="1" customWidth="1"/>
    <col min="7" max="7" width="9.54296875" style="7" bestFit="1" customWidth="1"/>
    <col min="8" max="8" width="10" style="7" customWidth="1"/>
    <col min="9" max="9" width="2.54296875" style="7" customWidth="1"/>
    <col min="10" max="17" width="9.81640625" style="7" bestFit="1" customWidth="1"/>
    <col min="18" max="18" width="10.453125" style="7" bestFit="1" customWidth="1"/>
    <col min="19" max="82" width="11.54296875" style="7" hidden="1" customWidth="1"/>
    <col min="83" max="16384" width="9.1796875" style="7" hidden="1"/>
  </cols>
  <sheetData>
    <row r="1" spans="1:82" s="122" customFormat="1" ht="25" x14ac:dyDescent="0.5">
      <c r="A1" s="118" t="str">
        <f ca="1" xml:space="preserve"> RIGHT(CELL("filename", $A$1), LEN(CELL("filename", $A$1)) - SEARCH("]", CELL("filename", $A$1)))</f>
        <v>InpR</v>
      </c>
      <c r="C1" s="132"/>
    </row>
    <row r="2" spans="1:82" s="26" customFormat="1" x14ac:dyDescent="0.25">
      <c r="A2" s="62"/>
      <c r="B2" s="58"/>
      <c r="C2" s="113"/>
      <c r="D2" s="52"/>
      <c r="E2" s="26" t="str">
        <f>Time!E$22</f>
        <v>Model Period BEG</v>
      </c>
      <c r="F2" s="29">
        <f xml:space="preserve"> Checks!$F$9</f>
        <v>0</v>
      </c>
      <c r="G2" s="7" t="s">
        <v>288</v>
      </c>
      <c r="J2" s="26">
        <f>Time!J$22</f>
        <v>42826</v>
      </c>
      <c r="K2" s="26">
        <f>Time!K$22</f>
        <v>43191</v>
      </c>
      <c r="L2" s="26">
        <f>Time!L$22</f>
        <v>43556</v>
      </c>
      <c r="M2" s="26">
        <f>Time!M$22</f>
        <v>43922</v>
      </c>
      <c r="N2" s="26">
        <f>Time!N$22</f>
        <v>44287</v>
      </c>
      <c r="O2" s="26">
        <f>Time!O$22</f>
        <v>44652</v>
      </c>
      <c r="P2" s="26">
        <f>Time!P$22</f>
        <v>45017</v>
      </c>
      <c r="Q2" s="26">
        <f>Time!Q$22</f>
        <v>45383</v>
      </c>
      <c r="R2" s="26">
        <f>Time!R$22</f>
        <v>45748</v>
      </c>
    </row>
    <row r="3" spans="1:82" s="28" customFormat="1" x14ac:dyDescent="0.25">
      <c r="A3" s="62"/>
      <c r="B3" s="58"/>
      <c r="C3" s="113"/>
      <c r="D3" s="52"/>
      <c r="E3" s="26" t="str">
        <f>Time!E$23</f>
        <v>Model Period END</v>
      </c>
      <c r="F3" s="21"/>
      <c r="G3" s="226"/>
      <c r="H3" s="26"/>
      <c r="I3" s="26"/>
      <c r="J3" s="26">
        <f>Time!J$23</f>
        <v>43190</v>
      </c>
      <c r="K3" s="26">
        <f>Time!K$23</f>
        <v>43555</v>
      </c>
      <c r="L3" s="26">
        <f>Time!L$23</f>
        <v>43921</v>
      </c>
      <c r="M3" s="26">
        <f>Time!M$23</f>
        <v>44286</v>
      </c>
      <c r="N3" s="26">
        <f>Time!N$23</f>
        <v>44651</v>
      </c>
      <c r="O3" s="26">
        <f>Time!O$23</f>
        <v>45016</v>
      </c>
      <c r="P3" s="26">
        <f>Time!P$23</f>
        <v>45382</v>
      </c>
      <c r="Q3" s="26">
        <f>Time!Q$23</f>
        <v>45747</v>
      </c>
      <c r="R3" s="26">
        <f>Time!R$23</f>
        <v>46112</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row>
    <row r="4" spans="1:82" s="5" customFormat="1" x14ac:dyDescent="0.25">
      <c r="A4" s="48"/>
      <c r="B4" s="59"/>
      <c r="C4" s="114"/>
      <c r="D4" s="53"/>
      <c r="E4" s="26"/>
      <c r="F4" s="21"/>
      <c r="G4" s="226"/>
      <c r="H4" s="26"/>
      <c r="I4" s="26"/>
      <c r="J4" s="26" t="str">
        <f>Time!J$59</f>
        <v>Pre Fcst</v>
      </c>
      <c r="K4" s="26" t="str">
        <f>Time!K$59</f>
        <v>Pre Fcst</v>
      </c>
      <c r="L4" s="26" t="str">
        <f>Time!L$59</f>
        <v>Pre Fcst</v>
      </c>
      <c r="M4" s="26" t="str">
        <f>Time!M$59</f>
        <v>Forecast</v>
      </c>
      <c r="N4" s="26" t="str">
        <f>Time!N$59</f>
        <v>Forecast</v>
      </c>
      <c r="O4" s="26" t="str">
        <f>Time!O$59</f>
        <v>Forecast</v>
      </c>
      <c r="P4" s="26" t="str">
        <f>Time!P$59</f>
        <v>Forecast</v>
      </c>
      <c r="Q4" s="26" t="str">
        <f>Time!Q$59</f>
        <v>Forecast</v>
      </c>
      <c r="R4" s="26" t="str">
        <f>Time!R$59</f>
        <v>Post-Fcst</v>
      </c>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row>
    <row r="5" spans="1:82" s="24" customFormat="1" x14ac:dyDescent="0.25">
      <c r="A5" s="63"/>
      <c r="B5" s="60"/>
      <c r="C5" s="115"/>
      <c r="D5" s="54"/>
      <c r="E5" s="21" t="str">
        <f>Time!E$86</f>
        <v>Financial Year Ending</v>
      </c>
      <c r="F5" s="21"/>
      <c r="G5" s="21"/>
      <c r="H5" s="21"/>
      <c r="I5" s="21"/>
      <c r="J5" s="7">
        <f>Time!J$86</f>
        <v>2018</v>
      </c>
      <c r="K5" s="7">
        <f>Time!K$86</f>
        <v>2019</v>
      </c>
      <c r="L5" s="7">
        <f>Time!L$86</f>
        <v>2020</v>
      </c>
      <c r="M5" s="7">
        <f>Time!M$86</f>
        <v>2021</v>
      </c>
      <c r="N5" s="7">
        <f>Time!N$86</f>
        <v>2022</v>
      </c>
      <c r="O5" s="7">
        <f>Time!O$86</f>
        <v>2023</v>
      </c>
      <c r="P5" s="7">
        <f>Time!P$86</f>
        <v>2024</v>
      </c>
      <c r="Q5" s="7">
        <f>Time!Q$86</f>
        <v>2025</v>
      </c>
      <c r="R5" s="7">
        <f>Time!R$86</f>
        <v>2026</v>
      </c>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1:82" s="24" customFormat="1" x14ac:dyDescent="0.25">
      <c r="A6" s="63"/>
      <c r="B6" s="60"/>
      <c r="C6" s="115"/>
      <c r="D6" s="54"/>
      <c r="E6" s="21" t="str">
        <f>Time!E$11</f>
        <v>Model column counter</v>
      </c>
      <c r="F6" s="21"/>
      <c r="G6" s="21"/>
      <c r="H6" s="21"/>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row>
    <row r="7" spans="1:82" s="27" customFormat="1" x14ac:dyDescent="0.25">
      <c r="A7" s="48"/>
      <c r="B7" s="59"/>
      <c r="C7" s="114"/>
      <c r="D7" s="53"/>
      <c r="E7" s="9"/>
      <c r="F7" s="5" t="s">
        <v>186</v>
      </c>
      <c r="G7" s="5" t="s">
        <v>121</v>
      </c>
      <c r="H7" s="5" t="s">
        <v>289</v>
      </c>
      <c r="I7" s="5"/>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row>
    <row r="8" spans="1:82" x14ac:dyDescent="0.25">
      <c r="A8" s="232"/>
      <c r="B8" s="61"/>
      <c r="C8" s="116"/>
      <c r="D8" s="55"/>
    </row>
    <row r="9" spans="1:82" collapsed="1" x14ac:dyDescent="0.25">
      <c r="A9" s="274" t="s">
        <v>290</v>
      </c>
      <c r="B9" s="275"/>
      <c r="C9" s="276"/>
      <c r="D9" s="276"/>
      <c r="E9" s="276"/>
      <c r="F9" s="276"/>
      <c r="G9" s="276"/>
      <c r="H9" s="276"/>
      <c r="I9" s="276"/>
      <c r="J9" s="276"/>
      <c r="K9" s="276"/>
      <c r="L9" s="276"/>
      <c r="M9" s="276"/>
      <c r="N9" s="276"/>
      <c r="O9" s="276"/>
      <c r="P9" s="276"/>
      <c r="Q9" s="276"/>
      <c r="R9" s="276"/>
    </row>
    <row r="10" spans="1:82" ht="12.5" hidden="1" outlineLevel="1" x14ac:dyDescent="0.25">
      <c r="A10" s="7"/>
      <c r="C10" s="9"/>
      <c r="E10" s="91"/>
    </row>
    <row r="11" spans="1:82" ht="12.5" hidden="1" outlineLevel="1" x14ac:dyDescent="0.25">
      <c r="A11" s="7"/>
      <c r="C11" s="9"/>
      <c r="E11" s="91" t="s">
        <v>291</v>
      </c>
      <c r="F11" s="16">
        <v>42826</v>
      </c>
      <c r="G11" s="25" t="s">
        <v>292</v>
      </c>
    </row>
    <row r="12" spans="1:82" ht="12.5" hidden="1" outlineLevel="1" x14ac:dyDescent="0.25">
      <c r="A12" s="7"/>
      <c r="C12" s="9"/>
      <c r="E12" s="91"/>
      <c r="F12" s="17"/>
    </row>
    <row r="13" spans="1:82" ht="12.5" hidden="1" outlineLevel="1" x14ac:dyDescent="0.25">
      <c r="A13" s="7"/>
      <c r="C13" s="9"/>
      <c r="E13" s="91" t="s">
        <v>293</v>
      </c>
      <c r="F13" s="16">
        <v>43921</v>
      </c>
      <c r="G13" s="25" t="s">
        <v>292</v>
      </c>
    </row>
    <row r="14" spans="1:82" ht="12.5" hidden="1" outlineLevel="1" x14ac:dyDescent="0.25">
      <c r="A14" s="7"/>
      <c r="C14" s="9"/>
      <c r="E14" s="92"/>
      <c r="F14" s="17"/>
      <c r="G14" s="18"/>
    </row>
    <row r="15" spans="1:82" ht="12.5" hidden="1" outlineLevel="1" x14ac:dyDescent="0.25">
      <c r="A15" s="7"/>
      <c r="C15" s="9"/>
      <c r="E15" s="91" t="s">
        <v>294</v>
      </c>
      <c r="F15" s="16">
        <v>43921</v>
      </c>
      <c r="G15" s="25" t="s">
        <v>292</v>
      </c>
    </row>
    <row r="16" spans="1:82" ht="12.5" hidden="1" outlineLevel="1" x14ac:dyDescent="0.25">
      <c r="A16" s="21"/>
      <c r="B16" s="23"/>
      <c r="C16" s="23"/>
      <c r="D16" s="22"/>
      <c r="E16" s="92" t="s">
        <v>295</v>
      </c>
      <c r="F16" s="19">
        <v>5</v>
      </c>
      <c r="G16" s="20" t="s">
        <v>296</v>
      </c>
    </row>
    <row r="17" spans="1:19" ht="12.5" hidden="1" outlineLevel="1" x14ac:dyDescent="0.25">
      <c r="A17" s="7"/>
      <c r="C17" s="9"/>
      <c r="E17" s="92" t="s">
        <v>297</v>
      </c>
      <c r="F17" s="17">
        <f>DATE(YEAR(F15)+F16,MONTH(F15),DAY(F15))</f>
        <v>45747</v>
      </c>
      <c r="G17" s="18" t="s">
        <v>292</v>
      </c>
    </row>
    <row r="18" spans="1:19" ht="12.5" hidden="1" outlineLevel="1" x14ac:dyDescent="0.25">
      <c r="A18" s="7"/>
      <c r="C18" s="9"/>
      <c r="E18" s="91"/>
      <c r="F18" s="17"/>
    </row>
    <row r="19" spans="1:19" ht="12.5" hidden="1" outlineLevel="1" x14ac:dyDescent="0.25">
      <c r="A19" s="7"/>
      <c r="C19" s="9"/>
      <c r="E19" s="91"/>
      <c r="F19" s="17"/>
    </row>
    <row r="20" spans="1:19" ht="12.5" hidden="1" outlineLevel="1" x14ac:dyDescent="0.25">
      <c r="A20" s="7"/>
      <c r="C20" s="9"/>
      <c r="E20" s="91" t="s">
        <v>298</v>
      </c>
      <c r="F20" s="16">
        <v>44286</v>
      </c>
      <c r="G20" s="7" t="s">
        <v>292</v>
      </c>
    </row>
    <row r="21" spans="1:19" ht="12.5" hidden="1" outlineLevel="1" x14ac:dyDescent="0.25">
      <c r="A21" s="7"/>
      <c r="C21" s="9"/>
      <c r="E21" s="91" t="s">
        <v>299</v>
      </c>
      <c r="F21" s="16">
        <v>45747</v>
      </c>
      <c r="G21" s="7" t="s">
        <v>292</v>
      </c>
    </row>
    <row r="22" spans="1:19" ht="12.5" hidden="1" outlineLevel="1" x14ac:dyDescent="0.25">
      <c r="A22" s="7"/>
      <c r="C22" s="9"/>
      <c r="E22" s="91" t="s">
        <v>300</v>
      </c>
      <c r="F22" s="44">
        <v>2018</v>
      </c>
      <c r="G22" s="7" t="s">
        <v>301</v>
      </c>
    </row>
    <row r="23" spans="1:19" ht="12.5" hidden="1" outlineLevel="1" x14ac:dyDescent="0.25">
      <c r="A23" s="7"/>
      <c r="C23" s="9"/>
      <c r="E23" s="91" t="s">
        <v>302</v>
      </c>
      <c r="F23" s="19">
        <v>3</v>
      </c>
      <c r="G23" s="7" t="s">
        <v>303</v>
      </c>
    </row>
    <row r="24" spans="1:19" x14ac:dyDescent="0.25">
      <c r="A24" s="232"/>
      <c r="B24" s="61"/>
      <c r="C24" s="116"/>
      <c r="D24" s="55"/>
    </row>
    <row r="25" spans="1:19" collapsed="1" x14ac:dyDescent="0.25">
      <c r="A25" s="274" t="s">
        <v>304</v>
      </c>
      <c r="B25" s="275"/>
      <c r="C25" s="276"/>
      <c r="D25" s="276"/>
      <c r="E25" s="276"/>
      <c r="F25" s="276"/>
      <c r="G25" s="276"/>
      <c r="H25" s="276"/>
      <c r="I25" s="276"/>
      <c r="J25" s="276"/>
      <c r="K25" s="276"/>
      <c r="L25" s="276"/>
      <c r="M25" s="276"/>
      <c r="N25" s="276"/>
      <c r="O25" s="276"/>
      <c r="P25" s="276"/>
      <c r="Q25" s="276"/>
      <c r="R25" s="276"/>
    </row>
    <row r="26" spans="1:19" hidden="1" outlineLevel="1" x14ac:dyDescent="0.25">
      <c r="A26" s="232"/>
      <c r="B26" s="61" t="s">
        <v>305</v>
      </c>
      <c r="C26" s="116"/>
      <c r="D26" s="55"/>
    </row>
    <row r="27" spans="1:19" hidden="1" outlineLevel="1" x14ac:dyDescent="0.25">
      <c r="A27" s="232"/>
      <c r="B27" s="61"/>
      <c r="C27" s="116"/>
      <c r="D27" s="55"/>
      <c r="E27" s="91" t="s">
        <v>306</v>
      </c>
      <c r="G27" s="91" t="s">
        <v>307</v>
      </c>
      <c r="I27" s="6"/>
      <c r="J27" s="30"/>
      <c r="K27" s="227">
        <v>279.7</v>
      </c>
      <c r="L27" s="227">
        <v>288.2</v>
      </c>
      <c r="M27" s="227">
        <v>296.81994379694203</v>
      </c>
      <c r="N27" s="227">
        <v>305.32865399748601</v>
      </c>
      <c r="O27" s="227">
        <v>314.691934446201</v>
      </c>
      <c r="P27" s="227">
        <v>324.76207634847901</v>
      </c>
      <c r="Q27" s="227">
        <v>335.15446279163098</v>
      </c>
      <c r="R27" s="227">
        <v>345.20909667538001</v>
      </c>
      <c r="S27" s="228"/>
    </row>
    <row r="28" spans="1:19" hidden="1" outlineLevel="1" x14ac:dyDescent="0.25">
      <c r="A28" s="232"/>
      <c r="B28" s="61"/>
      <c r="C28" s="116"/>
      <c r="D28" s="55"/>
      <c r="E28" s="91" t="s">
        <v>308</v>
      </c>
      <c r="G28" s="91" t="s">
        <v>307</v>
      </c>
      <c r="I28" s="6"/>
      <c r="J28" s="30"/>
      <c r="K28" s="227">
        <v>280.7</v>
      </c>
      <c r="L28" s="227">
        <v>289.2</v>
      </c>
      <c r="M28" s="227">
        <v>297.50379137925398</v>
      </c>
      <c r="N28" s="227">
        <v>306.08167682745898</v>
      </c>
      <c r="O28" s="227">
        <v>315.51905088813697</v>
      </c>
      <c r="P28" s="227">
        <v>325.61566051655802</v>
      </c>
      <c r="Q28" s="227">
        <v>336.03536165308702</v>
      </c>
      <c r="R28" s="227">
        <v>346.11642250268</v>
      </c>
      <c r="S28" s="228"/>
    </row>
    <row r="29" spans="1:19" hidden="1" outlineLevel="1" x14ac:dyDescent="0.25">
      <c r="A29" s="232"/>
      <c r="B29" s="61"/>
      <c r="C29" s="116"/>
      <c r="D29" s="55"/>
      <c r="E29" s="91" t="s">
        <v>309</v>
      </c>
      <c r="G29" s="91" t="s">
        <v>307</v>
      </c>
      <c r="I29" s="6"/>
      <c r="J29" s="30"/>
      <c r="K29" s="227">
        <v>281.5</v>
      </c>
      <c r="L29" s="227">
        <v>289.60000000000002</v>
      </c>
      <c r="M29" s="227">
        <v>298.18921448748898</v>
      </c>
      <c r="N29" s="227">
        <v>306.83655681487397</v>
      </c>
      <c r="O29" s="227">
        <v>316.34834127078699</v>
      </c>
      <c r="P29" s="227">
        <v>326.47148819145201</v>
      </c>
      <c r="Q29" s="227">
        <v>336.91857581357903</v>
      </c>
      <c r="R29" s="227">
        <v>347.02613308798601</v>
      </c>
      <c r="S29" s="228"/>
    </row>
    <row r="30" spans="1:19" hidden="1" outlineLevel="1" x14ac:dyDescent="0.25">
      <c r="A30" s="232"/>
      <c r="B30" s="61"/>
      <c r="C30" s="116"/>
      <c r="D30" s="55"/>
      <c r="E30" s="91" t="s">
        <v>310</v>
      </c>
      <c r="G30" s="91" t="s">
        <v>307</v>
      </c>
      <c r="I30" s="6"/>
      <c r="J30" s="30"/>
      <c r="K30" s="227">
        <v>281.7</v>
      </c>
      <c r="L30" s="227">
        <v>289.5</v>
      </c>
      <c r="M30" s="227">
        <v>298.87621675152297</v>
      </c>
      <c r="N30" s="227">
        <v>307.593298539984</v>
      </c>
      <c r="O30" s="227">
        <v>317.17981130799899</v>
      </c>
      <c r="P30" s="227">
        <v>327.32956526985498</v>
      </c>
      <c r="Q30" s="227">
        <v>337.80411135849101</v>
      </c>
      <c r="R30" s="227">
        <v>347.93823469924502</v>
      </c>
      <c r="S30" s="228"/>
    </row>
    <row r="31" spans="1:19" hidden="1" outlineLevel="1" x14ac:dyDescent="0.25">
      <c r="A31" s="232"/>
      <c r="B31" s="61"/>
      <c r="C31" s="116"/>
      <c r="D31" s="55"/>
      <c r="E31" s="91" t="s">
        <v>311</v>
      </c>
      <c r="G31" s="91" t="s">
        <v>307</v>
      </c>
      <c r="I31" s="6"/>
      <c r="J31" s="30"/>
      <c r="K31" s="227">
        <v>284.2</v>
      </c>
      <c r="L31" s="227">
        <v>291.5</v>
      </c>
      <c r="M31" s="227">
        <v>299.56480180959397</v>
      </c>
      <c r="N31" s="227">
        <v>308.35190659433698</v>
      </c>
      <c r="O31" s="227">
        <v>318.01346672864003</v>
      </c>
      <c r="P31" s="227">
        <v>328.18989766395703</v>
      </c>
      <c r="Q31" s="227">
        <v>338.69197438920298</v>
      </c>
      <c r="R31" s="227">
        <v>348.85273362087997</v>
      </c>
      <c r="S31" s="228"/>
    </row>
    <row r="32" spans="1:19" hidden="1" outlineLevel="1" x14ac:dyDescent="0.25">
      <c r="A32" s="232"/>
      <c r="B32" s="61"/>
      <c r="C32" s="116"/>
      <c r="D32" s="55"/>
      <c r="E32" s="91" t="s">
        <v>312</v>
      </c>
      <c r="G32" s="91" t="s">
        <v>307</v>
      </c>
      <c r="I32" s="6"/>
      <c r="J32" s="30"/>
      <c r="K32" s="227">
        <v>284.10000000000002</v>
      </c>
      <c r="L32" s="227">
        <v>292.14789585630501</v>
      </c>
      <c r="M32" s="227">
        <v>300.254973308324</v>
      </c>
      <c r="N32" s="227">
        <v>309.11238558080299</v>
      </c>
      <c r="O32" s="227">
        <v>318.84931327663401</v>
      </c>
      <c r="P32" s="227">
        <v>329.05249130148701</v>
      </c>
      <c r="Q32" s="227">
        <v>339.58217102313398</v>
      </c>
      <c r="R32" s="227">
        <v>349.769636153828</v>
      </c>
      <c r="S32" s="228"/>
    </row>
    <row r="33" spans="1:19" hidden="1" outlineLevel="1" x14ac:dyDescent="0.25">
      <c r="A33" s="232"/>
      <c r="B33" s="61"/>
      <c r="C33" s="116"/>
      <c r="D33" s="55"/>
      <c r="E33" s="91" t="s">
        <v>313</v>
      </c>
      <c r="G33" s="91" t="s">
        <v>307</v>
      </c>
      <c r="I33" s="6"/>
      <c r="J33" s="30"/>
      <c r="K33" s="227">
        <v>284.5</v>
      </c>
      <c r="L33" s="227">
        <v>292.79723174362402</v>
      </c>
      <c r="M33" s="227">
        <v>300.94673490273601</v>
      </c>
      <c r="N33" s="227">
        <v>309.87474011360501</v>
      </c>
      <c r="O33" s="227">
        <v>319.687356711002</v>
      </c>
      <c r="P33" s="227">
        <v>329.91735212575401</v>
      </c>
      <c r="Q33" s="227">
        <v>340.474707393779</v>
      </c>
      <c r="R33" s="227">
        <v>350.68894861559198</v>
      </c>
      <c r="S33" s="228"/>
    </row>
    <row r="34" spans="1:19" hidden="1" outlineLevel="1" x14ac:dyDescent="0.25">
      <c r="A34" s="232"/>
      <c r="B34" s="61"/>
      <c r="C34" s="116"/>
      <c r="D34" s="55"/>
      <c r="E34" s="91" t="s">
        <v>314</v>
      </c>
      <c r="G34" s="91" t="s">
        <v>307</v>
      </c>
      <c r="I34" s="6"/>
      <c r="J34" s="30"/>
      <c r="K34" s="227">
        <v>284.60000000000002</v>
      </c>
      <c r="L34" s="227">
        <v>293.44801086260998</v>
      </c>
      <c r="M34" s="227">
        <v>301.640090256272</v>
      </c>
      <c r="N34" s="227">
        <v>310.638974818348</v>
      </c>
      <c r="O34" s="227">
        <v>320.52760280590201</v>
      </c>
      <c r="P34" s="227">
        <v>330.78448609569102</v>
      </c>
      <c r="Q34" s="227">
        <v>341.36958965075303</v>
      </c>
      <c r="R34" s="227">
        <v>351.61067734027603</v>
      </c>
      <c r="S34" s="228"/>
    </row>
    <row r="35" spans="1:19" hidden="1" outlineLevel="1" x14ac:dyDescent="0.25">
      <c r="A35" s="232"/>
      <c r="B35" s="61"/>
      <c r="C35" s="116"/>
      <c r="D35" s="55"/>
      <c r="E35" s="91" t="s">
        <v>315</v>
      </c>
      <c r="G35" s="91" t="s">
        <v>307</v>
      </c>
      <c r="I35" s="6"/>
      <c r="J35" s="30"/>
      <c r="K35" s="227">
        <v>285.60000000000002</v>
      </c>
      <c r="L35" s="227">
        <v>294.100236421028</v>
      </c>
      <c r="M35" s="227">
        <v>302.33504304081703</v>
      </c>
      <c r="N35" s="227">
        <v>311.40509433204198</v>
      </c>
      <c r="O35" s="227">
        <v>321.37005735066703</v>
      </c>
      <c r="P35" s="227">
        <v>331.65389918588897</v>
      </c>
      <c r="Q35" s="227">
        <v>342.26682395983698</v>
      </c>
      <c r="R35" s="227">
        <v>352.53482867863198</v>
      </c>
      <c r="S35" s="228"/>
    </row>
    <row r="36" spans="1:19" hidden="1" outlineLevel="1" x14ac:dyDescent="0.25">
      <c r="A36" s="232"/>
      <c r="B36" s="61"/>
      <c r="C36" s="116"/>
      <c r="D36" s="55"/>
      <c r="E36" s="91" t="s">
        <v>316</v>
      </c>
      <c r="G36" s="91" t="s">
        <v>307</v>
      </c>
      <c r="I36" s="6"/>
      <c r="J36" s="30"/>
      <c r="K36" s="227">
        <v>283</v>
      </c>
      <c r="L36" s="227">
        <v>294.77781803182302</v>
      </c>
      <c r="M36" s="227">
        <v>303.08068281857697</v>
      </c>
      <c r="N36" s="227">
        <v>312.22357185062901</v>
      </c>
      <c r="O36" s="227">
        <v>322.21472614984901</v>
      </c>
      <c r="P36" s="227">
        <v>332.52559738664399</v>
      </c>
      <c r="Q36" s="227">
        <v>343.16641650301699</v>
      </c>
      <c r="R36" s="227">
        <v>353.461408998107</v>
      </c>
      <c r="S36" s="228"/>
    </row>
    <row r="37" spans="1:19" hidden="1" outlineLevel="1" x14ac:dyDescent="0.25">
      <c r="A37" s="232"/>
      <c r="B37" s="61"/>
      <c r="C37" s="116"/>
      <c r="D37" s="55"/>
      <c r="E37" s="91" t="s">
        <v>317</v>
      </c>
      <c r="G37" s="91" t="s">
        <v>307</v>
      </c>
      <c r="I37" s="6"/>
      <c r="J37" s="30"/>
      <c r="K37" s="227">
        <v>285</v>
      </c>
      <c r="L37" s="227">
        <v>295.45696073228203</v>
      </c>
      <c r="M37" s="227">
        <v>303.82816154518099</v>
      </c>
      <c r="N37" s="227">
        <v>313.04420060392698</v>
      </c>
      <c r="O37" s="227">
        <v>323.06161502325301</v>
      </c>
      <c r="P37" s="227">
        <v>333.39958670399699</v>
      </c>
      <c r="Q37" s="227">
        <v>344.06837347852502</v>
      </c>
      <c r="R37" s="227">
        <v>354.39042468288102</v>
      </c>
      <c r="S37" s="228"/>
    </row>
    <row r="38" spans="1:19" hidden="1" outlineLevel="1" x14ac:dyDescent="0.25">
      <c r="A38" s="232"/>
      <c r="B38" s="61"/>
      <c r="C38" s="116"/>
      <c r="D38" s="55"/>
      <c r="E38" s="91" t="s">
        <v>318</v>
      </c>
      <c r="G38" s="91" t="s">
        <v>307</v>
      </c>
      <c r="I38" s="6"/>
      <c r="J38" s="30"/>
      <c r="K38" s="227">
        <v>285.10000000000002</v>
      </c>
      <c r="L38" s="227">
        <v>296.13766811902099</v>
      </c>
      <c r="M38" s="227">
        <v>304.57748375597498</v>
      </c>
      <c r="N38" s="227">
        <v>313.86698624610801</v>
      </c>
      <c r="O38" s="227">
        <v>323.91072980598301</v>
      </c>
      <c r="P38" s="227">
        <v>334.27587315977502</v>
      </c>
      <c r="Q38" s="227">
        <v>344.972701100888</v>
      </c>
      <c r="R38" s="227">
        <v>355.32188213391402</v>
      </c>
      <c r="S38" s="228"/>
    </row>
    <row r="39" spans="1:19" hidden="1" outlineLevel="1" x14ac:dyDescent="0.25">
      <c r="A39" s="279"/>
      <c r="B39" s="61"/>
      <c r="C39" s="116"/>
      <c r="D39" s="57"/>
      <c r="E39" s="92"/>
      <c r="F39" s="92"/>
      <c r="G39" s="92"/>
      <c r="I39" s="167"/>
      <c r="K39" s="229"/>
      <c r="L39" s="229"/>
      <c r="M39" s="229"/>
      <c r="N39" s="229"/>
      <c r="O39" s="229"/>
      <c r="P39" s="229"/>
      <c r="Q39" s="229"/>
      <c r="R39" s="229"/>
    </row>
    <row r="40" spans="1:19" hidden="1" outlineLevel="1" x14ac:dyDescent="0.25">
      <c r="A40" s="232"/>
      <c r="B40" s="61" t="s">
        <v>319</v>
      </c>
      <c r="C40" s="116"/>
      <c r="D40" s="55"/>
      <c r="I40" s="6"/>
    </row>
    <row r="41" spans="1:19" hidden="1" outlineLevel="1" x14ac:dyDescent="0.25">
      <c r="A41" s="232"/>
      <c r="B41" s="61"/>
      <c r="C41" s="116"/>
      <c r="D41" s="55"/>
      <c r="E41" s="91" t="s">
        <v>320</v>
      </c>
      <c r="G41" s="91" t="s">
        <v>307</v>
      </c>
      <c r="I41" s="6"/>
      <c r="J41" s="227">
        <v>103.2</v>
      </c>
      <c r="K41" s="227">
        <v>105.5</v>
      </c>
      <c r="L41" s="227">
        <v>107.6</v>
      </c>
      <c r="M41" s="227">
        <v>109.703354739972</v>
      </c>
      <c r="N41" s="227">
        <v>111.897421834771</v>
      </c>
      <c r="O41" s="227">
        <v>114.172657229451</v>
      </c>
      <c r="P41" s="227">
        <v>116.57028303126999</v>
      </c>
      <c r="Q41" s="227">
        <v>119.01825897492699</v>
      </c>
      <c r="R41" s="227">
        <v>121.39862415442499</v>
      </c>
      <c r="S41" s="228"/>
    </row>
    <row r="42" spans="1:19" hidden="1" outlineLevel="1" x14ac:dyDescent="0.25">
      <c r="A42" s="232"/>
      <c r="B42" s="61"/>
      <c r="C42" s="116"/>
      <c r="D42" s="55"/>
      <c r="E42" s="91" t="s">
        <v>321</v>
      </c>
      <c r="G42" s="91" t="s">
        <v>307</v>
      </c>
      <c r="I42" s="6"/>
      <c r="J42" s="227">
        <v>103.5</v>
      </c>
      <c r="K42" s="227">
        <v>105.9</v>
      </c>
      <c r="L42" s="227">
        <v>107.9</v>
      </c>
      <c r="M42" s="227">
        <v>109.884538749418</v>
      </c>
      <c r="N42" s="227">
        <v>112.082229524407</v>
      </c>
      <c r="O42" s="227">
        <v>114.370561696745</v>
      </c>
      <c r="P42" s="227">
        <v>116.772343492377</v>
      </c>
      <c r="Q42" s="227">
        <v>119.22456270571701</v>
      </c>
      <c r="R42" s="227">
        <v>121.609053959831</v>
      </c>
      <c r="S42" s="228"/>
    </row>
    <row r="43" spans="1:19" hidden="1" outlineLevel="1" x14ac:dyDescent="0.25">
      <c r="A43" s="232"/>
      <c r="B43" s="61"/>
      <c r="C43" s="116"/>
      <c r="D43" s="55"/>
      <c r="E43" s="91" t="s">
        <v>322</v>
      </c>
      <c r="G43" s="91" t="s">
        <v>307</v>
      </c>
      <c r="I43" s="6"/>
      <c r="J43" s="227">
        <v>103.5</v>
      </c>
      <c r="K43" s="227">
        <v>105.9</v>
      </c>
      <c r="L43" s="227">
        <v>107.9</v>
      </c>
      <c r="M43" s="227">
        <v>110.066021998987</v>
      </c>
      <c r="N43" s="227">
        <v>112.26734243896701</v>
      </c>
      <c r="O43" s="227">
        <v>114.568809207453</v>
      </c>
      <c r="P43" s="227">
        <v>116.97475420081</v>
      </c>
      <c r="Q43" s="227">
        <v>119.431224039027</v>
      </c>
      <c r="R43" s="227">
        <v>121.819848519807</v>
      </c>
      <c r="S43" s="228"/>
    </row>
    <row r="44" spans="1:19" hidden="1" outlineLevel="1" x14ac:dyDescent="0.25">
      <c r="A44" s="232"/>
      <c r="B44" s="61"/>
      <c r="C44" s="116"/>
      <c r="D44" s="55"/>
      <c r="E44" s="91" t="s">
        <v>323</v>
      </c>
      <c r="G44" s="91" t="s">
        <v>307</v>
      </c>
      <c r="I44" s="6"/>
      <c r="J44" s="227">
        <v>103.5</v>
      </c>
      <c r="K44" s="227">
        <v>105.9</v>
      </c>
      <c r="L44" s="227">
        <v>108</v>
      </c>
      <c r="M44" s="227">
        <v>110.24780498289699</v>
      </c>
      <c r="N44" s="227">
        <v>112.452761082555</v>
      </c>
      <c r="O44" s="227">
        <v>114.7674003562</v>
      </c>
      <c r="P44" s="227">
        <v>117.17751576368001</v>
      </c>
      <c r="Q44" s="227">
        <v>119.638243594717</v>
      </c>
      <c r="R44" s="227">
        <v>122.03100846661199</v>
      </c>
      <c r="S44" s="228"/>
    </row>
    <row r="45" spans="1:19" hidden="1" outlineLevel="1" x14ac:dyDescent="0.25">
      <c r="A45" s="232"/>
      <c r="B45" s="61"/>
      <c r="C45" s="116"/>
      <c r="D45" s="55"/>
      <c r="E45" s="91" t="s">
        <v>324</v>
      </c>
      <c r="G45" s="91" t="s">
        <v>307</v>
      </c>
      <c r="I45" s="6"/>
      <c r="J45" s="227">
        <v>104</v>
      </c>
      <c r="K45" s="227">
        <v>106.5</v>
      </c>
      <c r="L45" s="227">
        <v>108.3</v>
      </c>
      <c r="M45" s="227">
        <v>110.429888196185</v>
      </c>
      <c r="N45" s="227">
        <v>112.638485960108</v>
      </c>
      <c r="O45" s="227">
        <v>114.96633573864</v>
      </c>
      <c r="P45" s="227">
        <v>117.380628789151</v>
      </c>
      <c r="Q45" s="227">
        <v>119.845621993724</v>
      </c>
      <c r="R45" s="227">
        <v>122.242534433598</v>
      </c>
      <c r="S45" s="228"/>
    </row>
    <row r="46" spans="1:19" hidden="1" outlineLevel="1" x14ac:dyDescent="0.25">
      <c r="A46" s="232"/>
      <c r="B46" s="61"/>
      <c r="C46" s="116"/>
      <c r="D46" s="55"/>
      <c r="E46" s="91" t="s">
        <v>325</v>
      </c>
      <c r="G46" s="91" t="s">
        <v>307</v>
      </c>
      <c r="I46" s="6"/>
      <c r="J46" s="227">
        <v>104.3</v>
      </c>
      <c r="K46" s="227">
        <v>106.6</v>
      </c>
      <c r="L46" s="227">
        <v>108.469999617629</v>
      </c>
      <c r="M46" s="227">
        <v>110.61227213470301</v>
      </c>
      <c r="N46" s="227">
        <v>112.824517577397</v>
      </c>
      <c r="O46" s="227">
        <v>115.16561595146101</v>
      </c>
      <c r="P46" s="227">
        <v>117.58409388644201</v>
      </c>
      <c r="Q46" s="227">
        <v>120.05335985805699</v>
      </c>
      <c r="R46" s="227">
        <v>122.45442705521801</v>
      </c>
      <c r="S46" s="228"/>
    </row>
    <row r="47" spans="1:19" hidden="1" outlineLevel="1" x14ac:dyDescent="0.25">
      <c r="A47" s="232"/>
      <c r="B47" s="61"/>
      <c r="C47" s="116"/>
      <c r="D47" s="55"/>
      <c r="E47" s="91" t="s">
        <v>326</v>
      </c>
      <c r="G47" s="91" t="s">
        <v>307</v>
      </c>
      <c r="I47" s="6"/>
      <c r="J47" s="227">
        <v>104.4</v>
      </c>
      <c r="K47" s="227">
        <v>106.7</v>
      </c>
      <c r="L47" s="227">
        <v>108.64026608539599</v>
      </c>
      <c r="M47" s="227">
        <v>110.794957295123</v>
      </c>
      <c r="N47" s="227">
        <v>113.01085644102599</v>
      </c>
      <c r="O47" s="227">
        <v>115.365241592385</v>
      </c>
      <c r="P47" s="227">
        <v>117.78791166582501</v>
      </c>
      <c r="Q47" s="227">
        <v>120.261457810807</v>
      </c>
      <c r="R47" s="227">
        <v>122.66668696702401</v>
      </c>
      <c r="S47" s="228"/>
    </row>
    <row r="48" spans="1:19" hidden="1" outlineLevel="1" x14ac:dyDescent="0.25">
      <c r="A48" s="232"/>
      <c r="B48" s="61"/>
      <c r="C48" s="116"/>
      <c r="D48" s="55"/>
      <c r="E48" s="91" t="s">
        <v>327</v>
      </c>
      <c r="G48" s="91" t="s">
        <v>307</v>
      </c>
      <c r="I48" s="6"/>
      <c r="J48" s="227">
        <v>104.7</v>
      </c>
      <c r="K48" s="227">
        <v>106.9</v>
      </c>
      <c r="L48" s="227">
        <v>108.81079982217901</v>
      </c>
      <c r="M48" s="227">
        <v>110.977944174939</v>
      </c>
      <c r="N48" s="227">
        <v>113.197503058438</v>
      </c>
      <c r="O48" s="227">
        <v>115.565213260169</v>
      </c>
      <c r="P48" s="227">
        <v>117.992082738633</v>
      </c>
      <c r="Q48" s="227">
        <v>120.46991647614399</v>
      </c>
      <c r="R48" s="227">
        <v>122.87931480566699</v>
      </c>
      <c r="S48" s="228"/>
    </row>
    <row r="49" spans="1:19" hidden="1" outlineLevel="1" x14ac:dyDescent="0.25">
      <c r="A49" s="232"/>
      <c r="B49" s="61"/>
      <c r="C49" s="116"/>
      <c r="D49" s="55"/>
      <c r="E49" s="91" t="s">
        <v>328</v>
      </c>
      <c r="G49" s="91" t="s">
        <v>307</v>
      </c>
      <c r="I49" s="6"/>
      <c r="J49" s="227">
        <v>105</v>
      </c>
      <c r="K49" s="227">
        <v>107.1</v>
      </c>
      <c r="L49" s="227">
        <v>108.981601247513</v>
      </c>
      <c r="M49" s="227">
        <v>111.161233272464</v>
      </c>
      <c r="N49" s="227">
        <v>113.384457937913</v>
      </c>
      <c r="O49" s="227">
        <v>115.765531554609</v>
      </c>
      <c r="P49" s="227">
        <v>118.196607717256</v>
      </c>
      <c r="Q49" s="227">
        <v>120.678736479319</v>
      </c>
      <c r="R49" s="227">
        <v>123.092311208905</v>
      </c>
      <c r="S49" s="228"/>
    </row>
    <row r="50" spans="1:19" hidden="1" outlineLevel="1" x14ac:dyDescent="0.25">
      <c r="A50" s="232"/>
      <c r="B50" s="61"/>
      <c r="C50" s="116"/>
      <c r="D50" s="55"/>
      <c r="E50" s="91" t="s">
        <v>329</v>
      </c>
      <c r="G50" s="91" t="s">
        <v>307</v>
      </c>
      <c r="I50" s="6"/>
      <c r="J50" s="227">
        <v>104.5</v>
      </c>
      <c r="K50" s="227">
        <v>106.4</v>
      </c>
      <c r="L50" s="227">
        <v>109.161593222387</v>
      </c>
      <c r="M50" s="227">
        <v>111.344825086835</v>
      </c>
      <c r="N50" s="227">
        <v>113.580996157239</v>
      </c>
      <c r="O50" s="227">
        <v>115.96619707654099</v>
      </c>
      <c r="P50" s="227">
        <v>118.40148721514799</v>
      </c>
      <c r="Q50" s="227">
        <v>120.887918446667</v>
      </c>
      <c r="R50" s="227">
        <v>123.30567681559999</v>
      </c>
      <c r="S50" s="228"/>
    </row>
    <row r="51" spans="1:19" hidden="1" outlineLevel="1" x14ac:dyDescent="0.25">
      <c r="A51" s="232"/>
      <c r="B51" s="61"/>
      <c r="C51" s="116"/>
      <c r="D51" s="55"/>
      <c r="E51" s="91" t="s">
        <v>330</v>
      </c>
      <c r="G51" s="91" t="s">
        <v>307</v>
      </c>
      <c r="I51" s="6"/>
      <c r="J51" s="227">
        <v>104.9</v>
      </c>
      <c r="K51" s="227">
        <v>106.8</v>
      </c>
      <c r="L51" s="227">
        <v>109.341882468641</v>
      </c>
      <c r="M51" s="227">
        <v>111.52872011801399</v>
      </c>
      <c r="N51" s="227">
        <v>113.77787505175399</v>
      </c>
      <c r="O51" s="227">
        <v>116.167210427841</v>
      </c>
      <c r="P51" s="227">
        <v>118.606721846825</v>
      </c>
      <c r="Q51" s="227">
        <v>121.097463005609</v>
      </c>
      <c r="R51" s="227">
        <v>123.519412265721</v>
      </c>
      <c r="S51" s="228"/>
    </row>
    <row r="52" spans="1:19" hidden="1" outlineLevel="1" x14ac:dyDescent="0.25">
      <c r="A52" s="232"/>
      <c r="B52" s="61"/>
      <c r="C52" s="116"/>
      <c r="D52" s="55"/>
      <c r="E52" s="91" t="s">
        <v>331</v>
      </c>
      <c r="F52" s="91"/>
      <c r="G52" s="91" t="s">
        <v>307</v>
      </c>
      <c r="I52" s="6"/>
      <c r="J52" s="227">
        <v>105.1</v>
      </c>
      <c r="K52" s="227">
        <v>107</v>
      </c>
      <c r="L52" s="227">
        <v>109.52246947724301</v>
      </c>
      <c r="M52" s="227">
        <v>111.712918866788</v>
      </c>
      <c r="N52" s="227">
        <v>113.97509521197701</v>
      </c>
      <c r="O52" s="227">
        <v>116.368572211429</v>
      </c>
      <c r="P52" s="227">
        <v>118.812312227869</v>
      </c>
      <c r="Q52" s="227">
        <v>121.307370784654</v>
      </c>
      <c r="R52" s="227">
        <v>123.73351820034701</v>
      </c>
      <c r="S52" s="228"/>
    </row>
    <row r="53" spans="1:19" x14ac:dyDescent="0.25">
      <c r="A53" s="232"/>
      <c r="B53" s="61"/>
      <c r="C53" s="116"/>
      <c r="D53" s="55"/>
      <c r="I53" s="6"/>
    </row>
    <row r="54" spans="1:19" collapsed="1" x14ac:dyDescent="0.25">
      <c r="A54" s="274" t="s">
        <v>332</v>
      </c>
      <c r="B54" s="275"/>
      <c r="C54" s="276"/>
      <c r="D54" s="276"/>
      <c r="E54" s="276"/>
      <c r="F54" s="276"/>
      <c r="G54" s="276"/>
      <c r="H54" s="276"/>
      <c r="I54" s="276"/>
      <c r="J54" s="276"/>
      <c r="K54" s="276"/>
      <c r="L54" s="276"/>
      <c r="M54" s="276"/>
      <c r="N54" s="276"/>
      <c r="O54" s="276"/>
      <c r="P54" s="276"/>
      <c r="Q54" s="276"/>
      <c r="R54" s="276"/>
    </row>
    <row r="55" spans="1:19" hidden="1" outlineLevel="1" x14ac:dyDescent="0.25">
      <c r="A55" s="232"/>
      <c r="B55" s="61" t="s">
        <v>333</v>
      </c>
      <c r="C55" s="116"/>
      <c r="D55" s="55"/>
      <c r="I55" s="6"/>
    </row>
    <row r="56" spans="1:19" hidden="1" outlineLevel="1" x14ac:dyDescent="0.25">
      <c r="A56" s="232"/>
      <c r="B56" s="61"/>
      <c r="C56" s="116"/>
      <c r="D56" s="55"/>
      <c r="E56" s="91" t="s">
        <v>334</v>
      </c>
      <c r="G56" s="91" t="s">
        <v>307</v>
      </c>
      <c r="I56" s="6"/>
      <c r="J56" s="30"/>
      <c r="K56" s="227">
        <f xml:space="preserve"> 'Inp_active PR24'!G4</f>
        <v>279.7</v>
      </c>
      <c r="L56" s="227">
        <f xml:space="preserve"> 'Inp_active PR24'!H4</f>
        <v>288.2</v>
      </c>
      <c r="M56" s="227">
        <f xml:space="preserve"> 'Inp_active PR24'!I4</f>
        <v>292.60000000000002</v>
      </c>
      <c r="N56" s="227">
        <f xml:space="preserve"> 'Inp_active PR24'!J4</f>
        <v>301.10000000000002</v>
      </c>
      <c r="O56" s="227">
        <f xml:space="preserve"> 'Inp_active PR24'!K4</f>
        <v>334.6</v>
      </c>
      <c r="P56" s="227">
        <f xml:space="preserve"> 'Inp_active PR24'!L4</f>
        <v>372.8</v>
      </c>
      <c r="Q56" s="227">
        <f xml:space="preserve"> 'Inp_active PR24'!M4</f>
        <v>385</v>
      </c>
      <c r="R56" s="227"/>
    </row>
    <row r="57" spans="1:19" hidden="1" outlineLevel="1" x14ac:dyDescent="0.25">
      <c r="A57" s="232"/>
      <c r="B57" s="61"/>
      <c r="C57" s="116"/>
      <c r="D57" s="55"/>
      <c r="E57" s="91" t="s">
        <v>335</v>
      </c>
      <c r="G57" s="91" t="s">
        <v>307</v>
      </c>
      <c r="I57" s="6"/>
      <c r="J57" s="30"/>
      <c r="K57" s="227">
        <f xml:space="preserve"> 'Inp_active PR24'!G5</f>
        <v>280.7</v>
      </c>
      <c r="L57" s="227">
        <f xml:space="preserve"> 'Inp_active PR24'!H5</f>
        <v>289.2</v>
      </c>
      <c r="M57" s="227">
        <f xml:space="preserve"> 'Inp_active PR24'!I5</f>
        <v>292.2</v>
      </c>
      <c r="N57" s="227">
        <f xml:space="preserve"> 'Inp_active PR24'!J5</f>
        <v>301.89999999999998</v>
      </c>
      <c r="O57" s="227">
        <f xml:space="preserve"> 'Inp_active PR24'!K5</f>
        <v>337.1</v>
      </c>
      <c r="P57" s="227">
        <f xml:space="preserve"> 'Inp_active PR24'!L5</f>
        <v>375.3</v>
      </c>
      <c r="Q57" s="227">
        <f xml:space="preserve"> 'Inp_active PR24'!M5</f>
        <v>386.4</v>
      </c>
      <c r="R57" s="227"/>
    </row>
    <row r="58" spans="1:19" hidden="1" outlineLevel="1" x14ac:dyDescent="0.25">
      <c r="A58" s="232"/>
      <c r="B58" s="61"/>
      <c r="C58" s="116"/>
      <c r="D58" s="55"/>
      <c r="E58" s="91" t="s">
        <v>336</v>
      </c>
      <c r="G58" s="91" t="s">
        <v>307</v>
      </c>
      <c r="I58" s="6"/>
      <c r="J58" s="30"/>
      <c r="K58" s="227">
        <f xml:space="preserve"> 'Inp_active PR24'!G6</f>
        <v>281.5</v>
      </c>
      <c r="L58" s="227">
        <f xml:space="preserve"> 'Inp_active PR24'!H6</f>
        <v>289.60000000000002</v>
      </c>
      <c r="M58" s="227">
        <f xml:space="preserve"> 'Inp_active PR24'!I6</f>
        <v>292.7</v>
      </c>
      <c r="N58" s="227">
        <f xml:space="preserve"> 'Inp_active PR24'!J6</f>
        <v>304</v>
      </c>
      <c r="O58" s="227">
        <f xml:space="preserve"> 'Inp_active PR24'!K6</f>
        <v>340</v>
      </c>
      <c r="P58" s="227">
        <f xml:space="preserve"> 'Inp_active PR24'!L6</f>
        <v>376.4</v>
      </c>
      <c r="Q58" s="227">
        <f xml:space="preserve"> 'Inp_active PR24'!M6</f>
        <v>387.3</v>
      </c>
      <c r="R58" s="227"/>
    </row>
    <row r="59" spans="1:19" hidden="1" outlineLevel="1" x14ac:dyDescent="0.25">
      <c r="A59" s="232"/>
      <c r="B59" s="61"/>
      <c r="C59" s="116"/>
      <c r="D59" s="55"/>
      <c r="E59" s="91" t="s">
        <v>337</v>
      </c>
      <c r="G59" s="91" t="s">
        <v>307</v>
      </c>
      <c r="I59" s="6"/>
      <c r="J59" s="30"/>
      <c r="K59" s="227">
        <f xml:space="preserve"> 'Inp_active PR24'!G7</f>
        <v>281.7</v>
      </c>
      <c r="L59" s="227">
        <f xml:space="preserve"> 'Inp_active PR24'!H7</f>
        <v>289.5</v>
      </c>
      <c r="M59" s="227">
        <f xml:space="preserve"> 'Inp_active PR24'!I7</f>
        <v>294.2</v>
      </c>
      <c r="N59" s="227">
        <f xml:space="preserve"> 'Inp_active PR24'!J7</f>
        <v>305.5</v>
      </c>
      <c r="O59" s="227">
        <f xml:space="preserve"> 'Inp_active PR24'!K7</f>
        <v>343.2</v>
      </c>
      <c r="P59" s="227">
        <f xml:space="preserve"> 'Inp_active PR24'!L7</f>
        <v>374.2</v>
      </c>
      <c r="Q59" s="227">
        <f xml:space="preserve"> 'Inp_active PR24'!M7</f>
        <v>387.5</v>
      </c>
      <c r="R59" s="227"/>
    </row>
    <row r="60" spans="1:19" hidden="1" outlineLevel="1" x14ac:dyDescent="0.25">
      <c r="A60" s="232"/>
      <c r="B60" s="61"/>
      <c r="C60" s="116"/>
      <c r="D60" s="55"/>
      <c r="E60" s="91" t="s">
        <v>338</v>
      </c>
      <c r="G60" s="91" t="s">
        <v>307</v>
      </c>
      <c r="I60" s="6"/>
      <c r="J60" s="30"/>
      <c r="K60" s="227">
        <f xml:space="preserve"> 'Inp_active PR24'!G8</f>
        <v>284.2</v>
      </c>
      <c r="L60" s="227">
        <f xml:space="preserve"> 'Inp_active PR24'!H8</f>
        <v>291.7</v>
      </c>
      <c r="M60" s="227">
        <f xml:space="preserve"> 'Inp_active PR24'!I8</f>
        <v>293.3</v>
      </c>
      <c r="N60" s="227">
        <f xml:space="preserve"> 'Inp_active PR24'!J8</f>
        <v>307.39999999999998</v>
      </c>
      <c r="O60" s="227">
        <f xml:space="preserve"> 'Inp_active PR24'!K8</f>
        <v>345.2</v>
      </c>
      <c r="P60" s="227">
        <f xml:space="preserve"> 'Inp_active PR24'!L8</f>
        <v>376.6</v>
      </c>
      <c r="Q60" s="227">
        <f xml:space="preserve"> 'Inp_active PR24'!M8</f>
        <v>389.9</v>
      </c>
      <c r="R60" s="227"/>
    </row>
    <row r="61" spans="1:19" hidden="1" outlineLevel="1" x14ac:dyDescent="0.25">
      <c r="A61" s="232"/>
      <c r="B61" s="61"/>
      <c r="C61" s="116"/>
      <c r="D61" s="55"/>
      <c r="E61" s="91" t="s">
        <v>339</v>
      </c>
      <c r="G61" s="91" t="s">
        <v>307</v>
      </c>
      <c r="I61" s="6"/>
      <c r="J61" s="30"/>
      <c r="K61" s="227">
        <f xml:space="preserve"> 'Inp_active PR24'!G9</f>
        <v>284.10000000000002</v>
      </c>
      <c r="L61" s="227">
        <f xml:space="preserve"> 'Inp_active PR24'!H9</f>
        <v>291</v>
      </c>
      <c r="M61" s="227">
        <f xml:space="preserve"> 'Inp_active PR24'!I9</f>
        <v>294.3</v>
      </c>
      <c r="N61" s="227">
        <f xml:space="preserve"> 'Inp_active PR24'!J9</f>
        <v>308.60000000000002</v>
      </c>
      <c r="O61" s="227">
        <f xml:space="preserve"> 'Inp_active PR24'!K9</f>
        <v>347.6</v>
      </c>
      <c r="P61" s="227">
        <f xml:space="preserve"> 'Inp_active PR24'!L9</f>
        <v>378.4</v>
      </c>
      <c r="Q61" s="227">
        <f xml:space="preserve"> 'Inp_active PR24'!M9</f>
        <v>388.6</v>
      </c>
      <c r="R61" s="227"/>
    </row>
    <row r="62" spans="1:19" hidden="1" outlineLevel="1" x14ac:dyDescent="0.25">
      <c r="A62" s="232"/>
      <c r="B62" s="61"/>
      <c r="C62" s="116"/>
      <c r="D62" s="55"/>
      <c r="E62" s="91" t="s">
        <v>340</v>
      </c>
      <c r="G62" s="91" t="s">
        <v>307</v>
      </c>
      <c r="I62" s="6"/>
      <c r="J62" s="30"/>
      <c r="K62" s="227">
        <f xml:space="preserve"> 'Inp_active PR24'!G10</f>
        <v>284.5</v>
      </c>
      <c r="L62" s="227">
        <f xml:space="preserve"> 'Inp_active PR24'!H10</f>
        <v>290.39999999999998</v>
      </c>
      <c r="M62" s="227">
        <f xml:space="preserve"> 'Inp_active PR24'!I10</f>
        <v>294.3</v>
      </c>
      <c r="N62" s="227">
        <f xml:space="preserve"> 'Inp_active PR24'!J10</f>
        <v>312</v>
      </c>
      <c r="O62" s="227">
        <f xml:space="preserve"> 'Inp_active PR24'!K10</f>
        <v>356.2</v>
      </c>
      <c r="P62" s="227">
        <f xml:space="preserve"> 'Inp_active PR24'!L10</f>
        <v>377.8</v>
      </c>
      <c r="Q62" s="227">
        <f xml:space="preserve"> 'Inp_active PR24'!M10</f>
        <v>390.7</v>
      </c>
      <c r="R62" s="227"/>
    </row>
    <row r="63" spans="1:19" hidden="1" outlineLevel="1" x14ac:dyDescent="0.25">
      <c r="A63" s="232"/>
      <c r="B63" s="61"/>
      <c r="C63" s="116"/>
      <c r="D63" s="55"/>
      <c r="E63" s="91" t="s">
        <v>341</v>
      </c>
      <c r="G63" s="91" t="s">
        <v>307</v>
      </c>
      <c r="I63" s="6"/>
      <c r="J63" s="30"/>
      <c r="K63" s="227">
        <f xml:space="preserve"> 'Inp_active PR24'!G11</f>
        <v>284.60000000000002</v>
      </c>
      <c r="L63" s="227">
        <f xml:space="preserve"> 'Inp_active PR24'!H11</f>
        <v>291</v>
      </c>
      <c r="M63" s="227">
        <f xml:space="preserve"> 'Inp_active PR24'!I11</f>
        <v>293.5</v>
      </c>
      <c r="N63" s="227">
        <f xml:space="preserve"> 'Inp_active PR24'!J11</f>
        <v>314.3</v>
      </c>
      <c r="O63" s="227">
        <f xml:space="preserve"> 'Inp_active PR24'!K11</f>
        <v>358.3</v>
      </c>
      <c r="P63" s="227">
        <f xml:space="preserve"> 'Inp_active PR24'!L11</f>
        <v>377.3</v>
      </c>
      <c r="Q63" s="227">
        <f xml:space="preserve"> 'Inp_active PR24'!M11</f>
        <v>390.9</v>
      </c>
      <c r="R63" s="227"/>
    </row>
    <row r="64" spans="1:19" hidden="1" outlineLevel="1" x14ac:dyDescent="0.25">
      <c r="A64" s="232"/>
      <c r="B64" s="61"/>
      <c r="C64" s="116"/>
      <c r="D64" s="55"/>
      <c r="E64" s="91" t="s">
        <v>342</v>
      </c>
      <c r="G64" s="91" t="s">
        <v>307</v>
      </c>
      <c r="I64" s="6"/>
      <c r="J64" s="30"/>
      <c r="K64" s="227">
        <f xml:space="preserve"> 'Inp_active PR24'!G12</f>
        <v>285.60000000000002</v>
      </c>
      <c r="L64" s="227">
        <f xml:space="preserve"> 'Inp_active PR24'!H12</f>
        <v>291.89999999999998</v>
      </c>
      <c r="M64" s="227">
        <f xml:space="preserve"> 'Inp_active PR24'!I12</f>
        <v>295.39999999999998</v>
      </c>
      <c r="N64" s="227">
        <f xml:space="preserve"> 'Inp_active PR24'!J12</f>
        <v>317.7</v>
      </c>
      <c r="O64" s="227">
        <f xml:space="preserve"> 'Inp_active PR24'!K12</f>
        <v>360.4</v>
      </c>
      <c r="P64" s="227">
        <f xml:space="preserve"> 'Inp_active PR24'!L12</f>
        <v>379</v>
      </c>
      <c r="Q64" s="227">
        <f xml:space="preserve"> 'Inp_active PR24'!M12</f>
        <v>392.1</v>
      </c>
      <c r="R64" s="227"/>
    </row>
    <row r="65" spans="1:18" hidden="1" outlineLevel="1" x14ac:dyDescent="0.25">
      <c r="A65" s="232"/>
      <c r="B65" s="61"/>
      <c r="C65" s="116"/>
      <c r="D65" s="55"/>
      <c r="E65" s="91" t="s">
        <v>343</v>
      </c>
      <c r="G65" s="91" t="s">
        <v>307</v>
      </c>
      <c r="I65" s="6"/>
      <c r="J65" s="30"/>
      <c r="K65" s="227">
        <f xml:space="preserve"> 'Inp_active PR24'!G13</f>
        <v>283</v>
      </c>
      <c r="L65" s="227">
        <f xml:space="preserve"> 'Inp_active PR24'!H13</f>
        <v>290.60000000000002</v>
      </c>
      <c r="M65" s="227">
        <f xml:space="preserve"> 'Inp_active PR24'!I13</f>
        <v>294.60000000000002</v>
      </c>
      <c r="N65" s="227">
        <f xml:space="preserve"> 'Inp_active PR24'!J13</f>
        <v>317.7</v>
      </c>
      <c r="O65" s="227">
        <f xml:space="preserve"> 'Inp_active PR24'!K13</f>
        <v>360.3</v>
      </c>
      <c r="P65" s="227">
        <f xml:space="preserve"> 'Inp_active PR24'!L13</f>
        <v>378</v>
      </c>
      <c r="Q65" s="227">
        <f xml:space="preserve"> 'Inp_active PR24'!M13</f>
        <v>391.7</v>
      </c>
      <c r="R65" s="227"/>
    </row>
    <row r="66" spans="1:18" hidden="1" outlineLevel="1" x14ac:dyDescent="0.25">
      <c r="A66" s="232"/>
      <c r="B66" s="61"/>
      <c r="C66" s="116"/>
      <c r="D66" s="55"/>
      <c r="E66" s="91" t="s">
        <v>344</v>
      </c>
      <c r="G66" s="91" t="s">
        <v>307</v>
      </c>
      <c r="I66" s="6"/>
      <c r="J66" s="30"/>
      <c r="K66" s="227">
        <f xml:space="preserve"> 'Inp_active PR24'!G14</f>
        <v>285</v>
      </c>
      <c r="L66" s="227">
        <f xml:space="preserve"> 'Inp_active PR24'!H14</f>
        <v>292</v>
      </c>
      <c r="M66" s="227">
        <f xml:space="preserve"> 'Inp_active PR24'!I14</f>
        <v>296</v>
      </c>
      <c r="N66" s="227">
        <f xml:space="preserve"> 'Inp_active PR24'!J14</f>
        <v>320.2</v>
      </c>
      <c r="O66" s="227">
        <f xml:space="preserve"> 'Inp_active PR24'!K14</f>
        <v>364.5</v>
      </c>
      <c r="P66" s="227">
        <f xml:space="preserve"> 'Inp_active PR24'!L14</f>
        <v>381</v>
      </c>
      <c r="Q66" s="227">
        <f xml:space="preserve"> 'Inp_active PR24'!M14</f>
        <v>394</v>
      </c>
      <c r="R66" s="227"/>
    </row>
    <row r="67" spans="1:18" hidden="1" outlineLevel="1" x14ac:dyDescent="0.25">
      <c r="A67" s="232"/>
      <c r="B67" s="61"/>
      <c r="C67" s="116"/>
      <c r="D67" s="55"/>
      <c r="E67" s="91" t="s">
        <v>345</v>
      </c>
      <c r="G67" s="91" t="s">
        <v>307</v>
      </c>
      <c r="I67" s="6"/>
      <c r="J67" s="30"/>
      <c r="K67" s="227">
        <f xml:space="preserve"> 'Inp_active PR24'!G15</f>
        <v>285.10000000000002</v>
      </c>
      <c r="L67" s="227">
        <f xml:space="preserve"> 'Inp_active PR24'!H15</f>
        <v>292.60000000000002</v>
      </c>
      <c r="M67" s="227">
        <f xml:space="preserve"> 'Inp_active PR24'!I15</f>
        <v>296.89999999999998</v>
      </c>
      <c r="N67" s="227">
        <f xml:space="preserve"> 'Inp_active PR24'!J15</f>
        <v>323.5</v>
      </c>
      <c r="O67" s="227">
        <f xml:space="preserve"> 'Inp_active PR24'!K15</f>
        <v>367.2</v>
      </c>
      <c r="P67" s="227">
        <f xml:space="preserve"> 'Inp_active PR24'!L15</f>
        <v>383</v>
      </c>
      <c r="Q67" s="227">
        <f xml:space="preserve"> 'Inp_active PR24'!M15</f>
        <v>395.3</v>
      </c>
      <c r="R67" s="227"/>
    </row>
    <row r="68" spans="1:18" hidden="1" outlineLevel="1" x14ac:dyDescent="0.25">
      <c r="A68" s="232"/>
      <c r="B68" s="61"/>
      <c r="C68" s="116"/>
      <c r="D68" s="55"/>
      <c r="E68" s="91"/>
      <c r="F68" s="91"/>
      <c r="G68" s="91"/>
      <c r="I68" s="171"/>
    </row>
    <row r="69" spans="1:18" hidden="1" outlineLevel="1" x14ac:dyDescent="0.25">
      <c r="A69" s="232"/>
      <c r="B69" s="61" t="s">
        <v>346</v>
      </c>
      <c r="C69" s="116"/>
      <c r="D69" s="55"/>
      <c r="I69" s="6"/>
    </row>
    <row r="70" spans="1:18" hidden="1" outlineLevel="1" x14ac:dyDescent="0.25">
      <c r="A70" s="232"/>
      <c r="B70" s="61"/>
      <c r="C70" s="116"/>
      <c r="D70" s="55"/>
      <c r="E70" s="91" t="s">
        <v>347</v>
      </c>
      <c r="G70" s="91" t="s">
        <v>307</v>
      </c>
      <c r="I70" s="6"/>
      <c r="J70" s="227">
        <f xml:space="preserve"> 'Inp_active PR24'!F16</f>
        <v>103.2</v>
      </c>
      <c r="K70" s="227">
        <f xml:space="preserve"> 'Inp_active PR24'!G16</f>
        <v>105.5</v>
      </c>
      <c r="L70" s="227">
        <f xml:space="preserve"> 'Inp_active PR24'!H16</f>
        <v>107.6</v>
      </c>
      <c r="M70" s="227">
        <f xml:space="preserve"> 'Inp_active PR24'!I16</f>
        <v>108.6</v>
      </c>
      <c r="N70" s="227">
        <f xml:space="preserve"> 'Inp_active PR24'!J16</f>
        <v>110.4</v>
      </c>
      <c r="O70" s="227">
        <f xml:space="preserve"> 'Inp_active PR24'!K16</f>
        <v>119</v>
      </c>
      <c r="P70" s="227">
        <f xml:space="preserve"> 'Inp_active PR24'!L16</f>
        <v>128.30000000000001</v>
      </c>
      <c r="Q70" s="227">
        <f xml:space="preserve"> 'Inp_active PR24'!M16</f>
        <v>132.19999999999999</v>
      </c>
      <c r="R70" s="227"/>
    </row>
    <row r="71" spans="1:18" hidden="1" outlineLevel="1" x14ac:dyDescent="0.25">
      <c r="A71" s="232"/>
      <c r="B71" s="61"/>
      <c r="C71" s="116"/>
      <c r="D71" s="55"/>
      <c r="E71" s="91" t="s">
        <v>348</v>
      </c>
      <c r="G71" s="91" t="s">
        <v>307</v>
      </c>
      <c r="I71" s="6"/>
      <c r="J71" s="227">
        <f xml:space="preserve"> 'Inp_active PR24'!F17</f>
        <v>103.5</v>
      </c>
      <c r="K71" s="227">
        <f xml:space="preserve"> 'Inp_active PR24'!G17</f>
        <v>105.9</v>
      </c>
      <c r="L71" s="227">
        <f xml:space="preserve"> 'Inp_active PR24'!H17</f>
        <v>107.9</v>
      </c>
      <c r="M71" s="227">
        <f xml:space="preserve"> 'Inp_active PR24'!I17</f>
        <v>108.6</v>
      </c>
      <c r="N71" s="227">
        <f xml:space="preserve"> 'Inp_active PR24'!J17</f>
        <v>111</v>
      </c>
      <c r="O71" s="227">
        <f xml:space="preserve"> 'Inp_active PR24'!K17</f>
        <v>119.7</v>
      </c>
      <c r="P71" s="227">
        <f xml:space="preserve"> 'Inp_active PR24'!L17</f>
        <v>129.1</v>
      </c>
      <c r="Q71" s="227">
        <f xml:space="preserve"> 'Inp_active PR24'!M17</f>
        <v>132.69999999999999</v>
      </c>
      <c r="R71" s="227"/>
    </row>
    <row r="72" spans="1:18" hidden="1" outlineLevel="1" x14ac:dyDescent="0.25">
      <c r="A72" s="232"/>
      <c r="B72" s="61"/>
      <c r="C72" s="116"/>
      <c r="D72" s="55"/>
      <c r="E72" s="91" t="s">
        <v>349</v>
      </c>
      <c r="G72" s="91" t="s">
        <v>307</v>
      </c>
      <c r="I72" s="6"/>
      <c r="J72" s="227">
        <f xml:space="preserve"> 'Inp_active PR24'!F18</f>
        <v>103.5</v>
      </c>
      <c r="K72" s="227">
        <f xml:space="preserve"> 'Inp_active PR24'!G18</f>
        <v>105.9</v>
      </c>
      <c r="L72" s="227">
        <f xml:space="preserve"> 'Inp_active PR24'!H18</f>
        <v>107.9</v>
      </c>
      <c r="M72" s="227">
        <f xml:space="preserve"> 'Inp_active PR24'!I18</f>
        <v>108.8</v>
      </c>
      <c r="N72" s="227">
        <f xml:space="preserve"> 'Inp_active PR24'!J18</f>
        <v>111.4</v>
      </c>
      <c r="O72" s="227">
        <f xml:space="preserve"> 'Inp_active PR24'!K18</f>
        <v>120.5</v>
      </c>
      <c r="P72" s="227">
        <f xml:space="preserve"> 'Inp_active PR24'!L18</f>
        <v>129.4</v>
      </c>
      <c r="Q72" s="227">
        <f xml:space="preserve"> 'Inp_active PR24'!M18</f>
        <v>133</v>
      </c>
      <c r="R72" s="227"/>
    </row>
    <row r="73" spans="1:18" hidden="1" outlineLevel="1" x14ac:dyDescent="0.25">
      <c r="A73" s="232"/>
      <c r="B73" s="61"/>
      <c r="C73" s="116"/>
      <c r="D73" s="55"/>
      <c r="E73" s="91" t="s">
        <v>350</v>
      </c>
      <c r="G73" s="91" t="s">
        <v>307</v>
      </c>
      <c r="I73" s="6"/>
      <c r="J73" s="227">
        <f xml:space="preserve"> 'Inp_active PR24'!F19</f>
        <v>103.5</v>
      </c>
      <c r="K73" s="227">
        <f xml:space="preserve"> 'Inp_active PR24'!G19</f>
        <v>105.9</v>
      </c>
      <c r="L73" s="227">
        <f xml:space="preserve"> 'Inp_active PR24'!H19</f>
        <v>108</v>
      </c>
      <c r="M73" s="227">
        <f xml:space="preserve"> 'Inp_active PR24'!I19</f>
        <v>109.2</v>
      </c>
      <c r="N73" s="227">
        <f xml:space="preserve"> 'Inp_active PR24'!J19</f>
        <v>111.4</v>
      </c>
      <c r="O73" s="227">
        <f xml:space="preserve"> 'Inp_active PR24'!K19</f>
        <v>121.2</v>
      </c>
      <c r="P73" s="227">
        <f xml:space="preserve"> 'Inp_active PR24'!L19</f>
        <v>129</v>
      </c>
      <c r="Q73" s="227">
        <f xml:space="preserve"> 'Inp_active PR24'!M19</f>
        <v>132.9</v>
      </c>
      <c r="R73" s="227"/>
    </row>
    <row r="74" spans="1:18" hidden="1" outlineLevel="1" x14ac:dyDescent="0.25">
      <c r="A74" s="232"/>
      <c r="B74" s="61"/>
      <c r="C74" s="116"/>
      <c r="D74" s="55"/>
      <c r="E74" s="91" t="s">
        <v>351</v>
      </c>
      <c r="G74" s="91" t="s">
        <v>307</v>
      </c>
      <c r="I74" s="6"/>
      <c r="J74" s="227">
        <f xml:space="preserve"> 'Inp_active PR24'!F20</f>
        <v>104</v>
      </c>
      <c r="K74" s="227">
        <f xml:space="preserve"> 'Inp_active PR24'!G20</f>
        <v>106.5</v>
      </c>
      <c r="L74" s="227">
        <f xml:space="preserve"> 'Inp_active PR24'!H20</f>
        <v>108.3</v>
      </c>
      <c r="M74" s="227">
        <f xml:space="preserve"> 'Inp_active PR24'!I20</f>
        <v>108.8</v>
      </c>
      <c r="N74" s="227">
        <f xml:space="preserve"> 'Inp_active PR24'!J20</f>
        <v>112.1</v>
      </c>
      <c r="O74" s="227">
        <f xml:space="preserve"> 'Inp_active PR24'!K20</f>
        <v>121.8</v>
      </c>
      <c r="P74" s="227">
        <f xml:space="preserve"> 'Inp_active PR24'!L20</f>
        <v>129.4</v>
      </c>
      <c r="Q74" s="227">
        <f xml:space="preserve"> 'Inp_active PR24'!M20</f>
        <v>133.4</v>
      </c>
      <c r="R74" s="227"/>
    </row>
    <row r="75" spans="1:18" hidden="1" outlineLevel="1" x14ac:dyDescent="0.25">
      <c r="A75" s="232"/>
      <c r="B75" s="61"/>
      <c r="C75" s="116"/>
      <c r="D75" s="55"/>
      <c r="E75" s="91" t="s">
        <v>352</v>
      </c>
      <c r="G75" s="91" t="s">
        <v>307</v>
      </c>
      <c r="I75" s="6"/>
      <c r="J75" s="227">
        <f xml:space="preserve"> 'Inp_active PR24'!F21</f>
        <v>104.3</v>
      </c>
      <c r="K75" s="227">
        <f xml:space="preserve"> 'Inp_active PR24'!G21</f>
        <v>106.6</v>
      </c>
      <c r="L75" s="227">
        <f xml:space="preserve"> 'Inp_active PR24'!H21</f>
        <v>108.4</v>
      </c>
      <c r="M75" s="227">
        <f xml:space="preserve"> 'Inp_active PR24'!I21</f>
        <v>109.2</v>
      </c>
      <c r="N75" s="227">
        <f xml:space="preserve"> 'Inp_active PR24'!J21</f>
        <v>112.4</v>
      </c>
      <c r="O75" s="227">
        <f xml:space="preserve"> 'Inp_active PR24'!K21</f>
        <v>122.3</v>
      </c>
      <c r="P75" s="227">
        <f xml:space="preserve"> 'Inp_active PR24'!L21</f>
        <v>130.1</v>
      </c>
      <c r="Q75" s="227">
        <f xml:space="preserve"> 'Inp_active PR24'!M21</f>
        <v>133.5</v>
      </c>
      <c r="R75" s="227"/>
    </row>
    <row r="76" spans="1:18" hidden="1" outlineLevel="1" x14ac:dyDescent="0.25">
      <c r="A76" s="232"/>
      <c r="B76" s="61"/>
      <c r="C76" s="116"/>
      <c r="D76" s="55"/>
      <c r="E76" s="91" t="s">
        <v>353</v>
      </c>
      <c r="G76" s="91" t="s">
        <v>307</v>
      </c>
      <c r="I76" s="6"/>
      <c r="J76" s="227">
        <f xml:space="preserve"> 'Inp_active PR24'!F22</f>
        <v>104.4</v>
      </c>
      <c r="K76" s="227">
        <f xml:space="preserve"> 'Inp_active PR24'!G22</f>
        <v>106.7</v>
      </c>
      <c r="L76" s="227">
        <f xml:space="preserve"> 'Inp_active PR24'!H22</f>
        <v>108.3</v>
      </c>
      <c r="M76" s="227">
        <f xml:space="preserve"> 'Inp_active PR24'!I22</f>
        <v>109.2</v>
      </c>
      <c r="N76" s="227">
        <f xml:space="preserve"> 'Inp_active PR24'!J22</f>
        <v>113.4</v>
      </c>
      <c r="O76" s="227">
        <f xml:space="preserve"> 'Inp_active PR24'!K22</f>
        <v>124.3</v>
      </c>
      <c r="P76" s="227">
        <f xml:space="preserve"> 'Inp_active PR24'!L22</f>
        <v>130.19999999999999</v>
      </c>
      <c r="Q76" s="227">
        <f xml:space="preserve"> 'Inp_active PR24'!M22</f>
        <v>134.30000000000001</v>
      </c>
      <c r="R76" s="227"/>
    </row>
    <row r="77" spans="1:18" hidden="1" outlineLevel="1" x14ac:dyDescent="0.25">
      <c r="A77" s="232"/>
      <c r="B77" s="61"/>
      <c r="C77" s="116"/>
      <c r="D77" s="55"/>
      <c r="E77" s="91" t="s">
        <v>354</v>
      </c>
      <c r="G77" s="91" t="s">
        <v>307</v>
      </c>
      <c r="I77" s="6"/>
      <c r="J77" s="227">
        <f xml:space="preserve"> 'Inp_active PR24'!F23</f>
        <v>104.7</v>
      </c>
      <c r="K77" s="227">
        <f xml:space="preserve"> 'Inp_active PR24'!G23</f>
        <v>106.9</v>
      </c>
      <c r="L77" s="227">
        <f xml:space="preserve"> 'Inp_active PR24'!H23</f>
        <v>108.5</v>
      </c>
      <c r="M77" s="227">
        <f xml:space="preserve"> 'Inp_active PR24'!I23</f>
        <v>109.1</v>
      </c>
      <c r="N77" s="227">
        <f xml:space="preserve"> 'Inp_active PR24'!J23</f>
        <v>114.1</v>
      </c>
      <c r="O77" s="227">
        <f xml:space="preserve"> 'Inp_active PR24'!K23</f>
        <v>124.8</v>
      </c>
      <c r="P77" s="227">
        <f xml:space="preserve"> 'Inp_active PR24'!L23</f>
        <v>130</v>
      </c>
      <c r="Q77" s="227">
        <f xml:space="preserve"> 'Inp_active PR24'!M23</f>
        <v>134.6</v>
      </c>
      <c r="R77" s="227"/>
    </row>
    <row r="78" spans="1:18" hidden="1" outlineLevel="1" x14ac:dyDescent="0.25">
      <c r="A78" s="232"/>
      <c r="B78" s="61"/>
      <c r="C78" s="116"/>
      <c r="D78" s="55"/>
      <c r="E78" s="91" t="s">
        <v>355</v>
      </c>
      <c r="G78" s="91" t="s">
        <v>307</v>
      </c>
      <c r="I78" s="6"/>
      <c r="J78" s="227">
        <f xml:space="preserve"> 'Inp_active PR24'!F24</f>
        <v>105</v>
      </c>
      <c r="K78" s="227">
        <f xml:space="preserve"> 'Inp_active PR24'!G24</f>
        <v>107.1</v>
      </c>
      <c r="L78" s="227">
        <f xml:space="preserve"> 'Inp_active PR24'!H24</f>
        <v>108.5</v>
      </c>
      <c r="M78" s="227">
        <f xml:space="preserve"> 'Inp_active PR24'!I24</f>
        <v>109.4</v>
      </c>
      <c r="N78" s="227">
        <f xml:space="preserve"> 'Inp_active PR24'!J24</f>
        <v>114.7</v>
      </c>
      <c r="O78" s="227">
        <f xml:space="preserve"> 'Inp_active PR24'!K24</f>
        <v>125.3</v>
      </c>
      <c r="P78" s="227">
        <f xml:space="preserve"> 'Inp_active PR24'!L24</f>
        <v>130.5</v>
      </c>
      <c r="Q78" s="227">
        <f xml:space="preserve"> 'Inp_active PR24'!M24</f>
        <v>135.1</v>
      </c>
      <c r="R78" s="227"/>
    </row>
    <row r="79" spans="1:18" hidden="1" outlineLevel="1" x14ac:dyDescent="0.25">
      <c r="A79" s="232"/>
      <c r="B79" s="61"/>
      <c r="C79" s="116"/>
      <c r="D79" s="55"/>
      <c r="E79" s="91" t="s">
        <v>356</v>
      </c>
      <c r="G79" s="91" t="s">
        <v>307</v>
      </c>
      <c r="I79" s="6"/>
      <c r="J79" s="227">
        <f xml:space="preserve"> 'Inp_active PR24'!F25</f>
        <v>104.5</v>
      </c>
      <c r="K79" s="227">
        <f xml:space="preserve"> 'Inp_active PR24'!G25</f>
        <v>106.4</v>
      </c>
      <c r="L79" s="227">
        <f xml:space="preserve"> 'Inp_active PR24'!H25</f>
        <v>108.3</v>
      </c>
      <c r="M79" s="227">
        <f xml:space="preserve"> 'Inp_active PR24'!I25</f>
        <v>109.3</v>
      </c>
      <c r="N79" s="227">
        <f xml:space="preserve"> 'Inp_active PR24'!J25</f>
        <v>114.6</v>
      </c>
      <c r="O79" s="227">
        <f xml:space="preserve"> 'Inp_active PR24'!K25</f>
        <v>124.8</v>
      </c>
      <c r="P79" s="227">
        <f xml:space="preserve"> 'Inp_active PR24'!L25</f>
        <v>130</v>
      </c>
      <c r="Q79" s="227">
        <f xml:space="preserve"> 'Inp_active PR24'!M25</f>
        <v>135.1</v>
      </c>
      <c r="R79" s="227"/>
    </row>
    <row r="80" spans="1:18" hidden="1" outlineLevel="1" x14ac:dyDescent="0.25">
      <c r="A80" s="232"/>
      <c r="B80" s="61"/>
      <c r="C80" s="116"/>
      <c r="D80" s="55"/>
      <c r="E80" s="91" t="s">
        <v>357</v>
      </c>
      <c r="G80" s="91" t="s">
        <v>307</v>
      </c>
      <c r="I80" s="6"/>
      <c r="J80" s="227">
        <f xml:space="preserve"> 'Inp_active PR24'!F26</f>
        <v>104.9</v>
      </c>
      <c r="K80" s="227">
        <f xml:space="preserve"> 'Inp_active PR24'!G26</f>
        <v>106.8</v>
      </c>
      <c r="L80" s="227">
        <f xml:space="preserve"> 'Inp_active PR24'!H26</f>
        <v>108.6</v>
      </c>
      <c r="M80" s="227">
        <f xml:space="preserve"> 'Inp_active PR24'!I26</f>
        <v>109.4</v>
      </c>
      <c r="N80" s="227">
        <f xml:space="preserve"> 'Inp_active PR24'!J26</f>
        <v>115.4</v>
      </c>
      <c r="O80" s="227">
        <f xml:space="preserve"> 'Inp_active PR24'!K26</f>
        <v>126</v>
      </c>
      <c r="P80" s="227">
        <f xml:space="preserve"> 'Inp_active PR24'!L26</f>
        <v>130.80000000000001</v>
      </c>
      <c r="Q80" s="227">
        <f xml:space="preserve"> 'Inp_active PR24'!M26</f>
        <v>135.6</v>
      </c>
      <c r="R80" s="227"/>
    </row>
    <row r="81" spans="1:18" hidden="1" outlineLevel="1" x14ac:dyDescent="0.25">
      <c r="A81" s="232"/>
      <c r="B81" s="61"/>
      <c r="C81" s="116"/>
      <c r="D81" s="55"/>
      <c r="E81" s="91" t="s">
        <v>358</v>
      </c>
      <c r="F81" s="91"/>
      <c r="G81" s="91" t="s">
        <v>307</v>
      </c>
      <c r="I81" s="6"/>
      <c r="J81" s="227">
        <f xml:space="preserve"> 'Inp_active PR24'!F27</f>
        <v>105.1</v>
      </c>
      <c r="K81" s="227">
        <f xml:space="preserve"> 'Inp_active PR24'!G27</f>
        <v>107</v>
      </c>
      <c r="L81" s="227">
        <f xml:space="preserve"> 'Inp_active PR24'!H27</f>
        <v>108.6</v>
      </c>
      <c r="M81" s="227">
        <f xml:space="preserve"> 'Inp_active PR24'!I27</f>
        <v>109.7</v>
      </c>
      <c r="N81" s="227">
        <f xml:space="preserve"> 'Inp_active PR24'!J27</f>
        <v>116.5</v>
      </c>
      <c r="O81" s="227">
        <f xml:space="preserve"> 'Inp_active PR24'!K27</f>
        <v>126.8</v>
      </c>
      <c r="P81" s="227">
        <f xml:space="preserve"> 'Inp_active PR24'!L27</f>
        <v>131.6</v>
      </c>
      <c r="Q81" s="227">
        <f xml:space="preserve"> 'Inp_active PR24'!M27</f>
        <v>136.1</v>
      </c>
      <c r="R81" s="227"/>
    </row>
    <row r="82" spans="1:18" hidden="1" outlineLevel="1" x14ac:dyDescent="0.25">
      <c r="A82" s="232"/>
      <c r="B82" s="61"/>
      <c r="C82" s="116"/>
      <c r="D82" s="55"/>
      <c r="E82" s="91"/>
      <c r="F82" s="91"/>
      <c r="G82" s="91"/>
      <c r="I82" s="171"/>
    </row>
    <row r="83" spans="1:18" s="30" customFormat="1" hidden="1" outlineLevel="1" x14ac:dyDescent="0.25">
      <c r="A83" s="232"/>
      <c r="B83" s="61"/>
      <c r="C83" s="116"/>
      <c r="D83" s="55"/>
      <c r="E83" s="91" t="s">
        <v>359</v>
      </c>
      <c r="F83" s="91"/>
      <c r="G83" s="91" t="s">
        <v>307</v>
      </c>
      <c r="I83" s="171"/>
      <c r="K83" s="253"/>
      <c r="L83" s="253"/>
      <c r="M83" s="253">
        <v>4</v>
      </c>
      <c r="N83" s="253">
        <v>3</v>
      </c>
      <c r="O83" s="253">
        <v>2</v>
      </c>
      <c r="P83" s="253">
        <v>1</v>
      </c>
      <c r="Q83" s="253">
        <v>0</v>
      </c>
      <c r="R83" s="253"/>
    </row>
    <row r="84" spans="1:18" x14ac:dyDescent="0.25">
      <c r="A84" s="232"/>
      <c r="B84" s="61"/>
      <c r="C84" s="116"/>
      <c r="D84" s="55"/>
      <c r="I84" s="6"/>
    </row>
    <row r="85" spans="1:18" collapsed="1" x14ac:dyDescent="0.25">
      <c r="A85" s="274" t="s">
        <v>360</v>
      </c>
      <c r="B85" s="275"/>
      <c r="C85" s="276"/>
      <c r="D85" s="276"/>
      <c r="E85" s="276"/>
      <c r="F85" s="276"/>
      <c r="G85" s="276"/>
      <c r="H85" s="276"/>
      <c r="I85" s="276"/>
      <c r="J85" s="276"/>
      <c r="K85" s="276"/>
      <c r="L85" s="276"/>
      <c r="M85" s="276"/>
      <c r="N85" s="276"/>
      <c r="O85" s="276"/>
      <c r="P85" s="276"/>
      <c r="Q85" s="276"/>
      <c r="R85" s="276"/>
    </row>
    <row r="86" spans="1:18" hidden="1" outlineLevel="1" x14ac:dyDescent="0.25">
      <c r="A86" s="232"/>
      <c r="B86" s="61"/>
      <c r="C86" s="116"/>
      <c r="D86" s="55"/>
      <c r="I86" s="6"/>
      <c r="M86" s="207"/>
      <c r="N86" s="207"/>
      <c r="O86" s="207"/>
      <c r="P86" s="207"/>
      <c r="Q86" s="207"/>
      <c r="R86" s="207"/>
    </row>
    <row r="87" spans="1:18" hidden="1" outlineLevel="1" x14ac:dyDescent="0.25">
      <c r="A87" s="232"/>
      <c r="B87" s="61"/>
      <c r="C87" s="116"/>
      <c r="D87" s="55"/>
      <c r="E87" s="7" t="s">
        <v>81</v>
      </c>
      <c r="F87" s="7" t="str">
        <f>INDEX(Validation!A4:A21, MATCH($F$88, Validation!B4:B21, 0))</f>
        <v>South East Water</v>
      </c>
      <c r="G87" s="7" t="s">
        <v>361</v>
      </c>
      <c r="I87" s="6"/>
      <c r="M87" s="207"/>
      <c r="N87" s="207"/>
      <c r="O87" s="207"/>
      <c r="P87" s="207"/>
      <c r="Q87" s="207"/>
      <c r="R87" s="207"/>
    </row>
    <row r="88" spans="1:18" hidden="1" outlineLevel="1" x14ac:dyDescent="0.25">
      <c r="A88" s="232"/>
      <c r="B88" s="61"/>
      <c r="C88" s="116"/>
      <c r="D88" s="55"/>
      <c r="E88" s="7" t="s">
        <v>362</v>
      </c>
      <c r="F88" s="278" t="str">
        <f>'Inp_active PR24'!$A$4</f>
        <v>SEW</v>
      </c>
      <c r="G88" s="7" t="s">
        <v>361</v>
      </c>
      <c r="I88" s="6"/>
      <c r="M88" s="207"/>
      <c r="N88" s="207"/>
      <c r="O88" s="207"/>
      <c r="P88" s="207"/>
      <c r="Q88" s="207"/>
      <c r="R88" s="207"/>
    </row>
    <row r="89" spans="1:18" hidden="1" outlineLevel="1" x14ac:dyDescent="0.25">
      <c r="A89" s="232"/>
      <c r="B89" s="61"/>
      <c r="C89" s="116"/>
      <c r="D89" s="55"/>
      <c r="I89" s="6"/>
      <c r="M89" s="207"/>
      <c r="N89" s="207"/>
      <c r="O89" s="207"/>
      <c r="P89" s="207"/>
      <c r="Q89" s="207"/>
      <c r="R89" s="207"/>
    </row>
    <row r="90" spans="1:18" hidden="1" outlineLevel="1" x14ac:dyDescent="0.25">
      <c r="A90" s="232"/>
      <c r="B90" s="61" t="s">
        <v>363</v>
      </c>
      <c r="C90" s="272"/>
      <c r="D90" s="55"/>
      <c r="I90" s="6"/>
    </row>
    <row r="91" spans="1:18" hidden="1" outlineLevel="1" x14ac:dyDescent="0.25">
      <c r="A91" s="232"/>
      <c r="B91" s="61"/>
      <c r="C91" s="272"/>
      <c r="D91" s="55"/>
      <c r="E91" s="7" t="s">
        <v>188</v>
      </c>
      <c r="F91" s="278">
        <f>SUMIFS(InitialBalance!$D:$D, InitialBalance!$A:$A, InpR!$F$88, InitialBalance!$C:$C, InpR!$E91)</f>
        <v>34.479747463860264</v>
      </c>
      <c r="G91" s="7" t="s">
        <v>238</v>
      </c>
      <c r="I91" s="6"/>
    </row>
    <row r="92" spans="1:18" hidden="1" outlineLevel="1" x14ac:dyDescent="0.25">
      <c r="A92" s="232"/>
      <c r="B92" s="61"/>
      <c r="C92" s="272"/>
      <c r="D92" s="55"/>
      <c r="E92" s="7" t="s">
        <v>190</v>
      </c>
      <c r="F92" s="278">
        <f>SUMIFS(InitialBalance!$D:$D, InitialBalance!$A:$A, InpR!$F$88, InitialBalance!$C:$C, InpR!$E92)</f>
        <v>651.37933061226192</v>
      </c>
      <c r="G92" s="7" t="s">
        <v>238</v>
      </c>
      <c r="I92" s="6"/>
    </row>
    <row r="93" spans="1:18" hidden="1" outlineLevel="1" x14ac:dyDescent="0.25">
      <c r="A93" s="232"/>
      <c r="B93" s="61"/>
      <c r="C93" s="272"/>
      <c r="D93" s="55"/>
      <c r="E93" s="7" t="s">
        <v>192</v>
      </c>
      <c r="F93" s="278">
        <f>SUMIFS(InitialBalance!$D:$D, InitialBalance!$A:$A, InpR!$F$88, InitialBalance!$C:$C, InpR!$E93)</f>
        <v>0</v>
      </c>
      <c r="G93" s="7" t="s">
        <v>238</v>
      </c>
      <c r="I93" s="6"/>
    </row>
    <row r="94" spans="1:18" hidden="1" outlineLevel="1" x14ac:dyDescent="0.25">
      <c r="A94" s="232"/>
      <c r="B94" s="61"/>
      <c r="C94" s="272"/>
      <c r="D94" s="55"/>
      <c r="E94" s="7" t="s">
        <v>194</v>
      </c>
      <c r="F94" s="278">
        <f>SUMIFS(InitialBalance!$D:$D, InitialBalance!$A:$A, InpR!$F$88, InitialBalance!$C:$C, InpR!$E94)</f>
        <v>0</v>
      </c>
      <c r="G94" s="7" t="s">
        <v>238</v>
      </c>
      <c r="I94" s="6"/>
    </row>
    <row r="95" spans="1:18" hidden="1" outlineLevel="1" x14ac:dyDescent="0.25">
      <c r="A95" s="232"/>
      <c r="B95" s="61"/>
      <c r="C95" s="272"/>
      <c r="D95" s="55"/>
      <c r="E95" s="7" t="s">
        <v>196</v>
      </c>
      <c r="F95" s="278">
        <f>SUMIFS(InitialBalance!$D:$D, InitialBalance!$A:$A, InpR!$F$88, InitialBalance!$C:$C, InpR!$E95)</f>
        <v>0</v>
      </c>
      <c r="G95" s="7" t="s">
        <v>238</v>
      </c>
      <c r="I95" s="6"/>
    </row>
    <row r="96" spans="1:18" hidden="1" outlineLevel="1" x14ac:dyDescent="0.25">
      <c r="A96" s="232"/>
      <c r="B96" s="61"/>
      <c r="C96" s="116"/>
      <c r="D96" s="55"/>
      <c r="I96" s="6"/>
      <c r="M96" s="207"/>
      <c r="N96" s="207"/>
      <c r="O96" s="207"/>
      <c r="P96" s="207"/>
      <c r="Q96" s="207"/>
      <c r="R96" s="207"/>
    </row>
    <row r="97" spans="1:18" hidden="1" outlineLevel="1" x14ac:dyDescent="0.25">
      <c r="A97" s="232"/>
      <c r="B97" s="61" t="s">
        <v>364</v>
      </c>
      <c r="C97" s="116"/>
      <c r="D97" s="55"/>
      <c r="I97" s="6"/>
    </row>
    <row r="98" spans="1:18" hidden="1" outlineLevel="1" x14ac:dyDescent="0.25">
      <c r="A98" s="232"/>
      <c r="B98" s="61"/>
      <c r="C98" s="116"/>
      <c r="D98" s="55"/>
      <c r="E98" s="7" t="s">
        <v>198</v>
      </c>
      <c r="G98" s="7" t="s">
        <v>365</v>
      </c>
      <c r="I98" s="6"/>
      <c r="M98" s="239">
        <f>SUMIFS(RunOffRate!E:E,RunOffRate!$A:$A,InpR!$F$88,RunOffRate!$C:$C,InpR!$E98)</f>
        <v>3.94773964521715E-2</v>
      </c>
      <c r="N98" s="239">
        <f>SUMIFS(RunOffRate!F:F,RunOffRate!$A:$A,InpR!$F$88,RunOffRate!$C:$C,InpR!$E98)</f>
        <v>3.94773964521715E-2</v>
      </c>
      <c r="O98" s="239">
        <f>SUMIFS(RunOffRate!G:G,RunOffRate!$A:$A,InpR!$F$88,RunOffRate!$C:$C,InpR!$E98)</f>
        <v>3.94773964521715E-2</v>
      </c>
      <c r="P98" s="239">
        <f>SUMIFS(RunOffRate!H:H,RunOffRate!$A:$A,InpR!$F$88,RunOffRate!$C:$C,InpR!$E98)</f>
        <v>3.94773964521715E-2</v>
      </c>
      <c r="Q98" s="239">
        <f>SUMIFS(RunOffRate!I:I,RunOffRate!$A:$A,InpR!$F$88,RunOffRate!$C:$C,InpR!$E98)</f>
        <v>3.94773964521715E-2</v>
      </c>
      <c r="R98" s="239"/>
    </row>
    <row r="99" spans="1:18" hidden="1" outlineLevel="1" x14ac:dyDescent="0.25">
      <c r="A99" s="232"/>
      <c r="B99" s="61"/>
      <c r="C99" s="116"/>
      <c r="D99" s="55"/>
      <c r="E99" s="7" t="s">
        <v>200</v>
      </c>
      <c r="G99" s="7" t="s">
        <v>365</v>
      </c>
      <c r="I99" s="6"/>
      <c r="M99" s="239">
        <f>SUMIFS(RunOffRate!E:E,RunOffRate!$A:$A,InpR!$F$88,RunOffRate!$C:$C,InpR!$E99)</f>
        <v>4.04773964521715E-2</v>
      </c>
      <c r="N99" s="239">
        <f>SUMIFS(RunOffRate!F:F,RunOffRate!$A:$A,InpR!$F$88,RunOffRate!$C:$C,InpR!$E99)</f>
        <v>4.04773964521715E-2</v>
      </c>
      <c r="O99" s="239">
        <f>SUMIFS(RunOffRate!G:G,RunOffRate!$A:$A,InpR!$F$88,RunOffRate!$C:$C,InpR!$E99)</f>
        <v>4.04773964521715E-2</v>
      </c>
      <c r="P99" s="239">
        <f>SUMIFS(RunOffRate!H:H,RunOffRate!$A:$A,InpR!$F$88,RunOffRate!$C:$C,InpR!$E99)</f>
        <v>4.04773964521715E-2</v>
      </c>
      <c r="Q99" s="239">
        <f>SUMIFS(RunOffRate!I:I,RunOffRate!$A:$A,InpR!$F$88,RunOffRate!$C:$C,InpR!$E99)</f>
        <v>4.04773964521715E-2</v>
      </c>
      <c r="R99" s="239"/>
    </row>
    <row r="100" spans="1:18" hidden="1" outlineLevel="1" x14ac:dyDescent="0.25">
      <c r="A100" s="232"/>
      <c r="B100" s="61"/>
      <c r="C100" s="116"/>
      <c r="D100" s="55"/>
      <c r="E100" s="7" t="s">
        <v>202</v>
      </c>
      <c r="G100" s="7" t="s">
        <v>365</v>
      </c>
      <c r="I100" s="6"/>
      <c r="M100" s="239">
        <f>SUMIFS(RunOffRate!E:E,RunOffRate!$A:$A,InpR!$F$88,RunOffRate!$C:$C,InpR!$E100)</f>
        <v>0</v>
      </c>
      <c r="N100" s="239">
        <f>SUMIFS(RunOffRate!F:F,RunOffRate!$A:$A,InpR!$F$88,RunOffRate!$C:$C,InpR!$E100)</f>
        <v>0</v>
      </c>
      <c r="O100" s="239">
        <f>SUMIFS(RunOffRate!G:G,RunOffRate!$A:$A,InpR!$F$88,RunOffRate!$C:$C,InpR!$E100)</f>
        <v>0</v>
      </c>
      <c r="P100" s="239">
        <f>SUMIFS(RunOffRate!H:H,RunOffRate!$A:$A,InpR!$F$88,RunOffRate!$C:$C,InpR!$E100)</f>
        <v>0</v>
      </c>
      <c r="Q100" s="239">
        <f>SUMIFS(RunOffRate!I:I,RunOffRate!$A:$A,InpR!$F$88,RunOffRate!$C:$C,InpR!$E100)</f>
        <v>0</v>
      </c>
      <c r="R100" s="239"/>
    </row>
    <row r="101" spans="1:18" hidden="1" outlineLevel="1" x14ac:dyDescent="0.25">
      <c r="A101" s="232"/>
      <c r="B101" s="61"/>
      <c r="C101" s="116"/>
      <c r="D101" s="55"/>
      <c r="E101" s="7" t="s">
        <v>204</v>
      </c>
      <c r="G101" s="7" t="s">
        <v>365</v>
      </c>
      <c r="I101" s="6"/>
      <c r="M101" s="239">
        <f>SUMIFS(RunOffRate!E:E,RunOffRate!$A:$A,InpR!$F$88,RunOffRate!$C:$C,InpR!$E101)</f>
        <v>0</v>
      </c>
      <c r="N101" s="239">
        <f>SUMIFS(RunOffRate!F:F,RunOffRate!$A:$A,InpR!$F$88,RunOffRate!$C:$C,InpR!$E101)</f>
        <v>0</v>
      </c>
      <c r="O101" s="239">
        <f>SUMIFS(RunOffRate!G:G,RunOffRate!$A:$A,InpR!$F$88,RunOffRate!$C:$C,InpR!$E101)</f>
        <v>0</v>
      </c>
      <c r="P101" s="239">
        <f>SUMIFS(RunOffRate!H:H,RunOffRate!$A:$A,InpR!$F$88,RunOffRate!$C:$C,InpR!$E101)</f>
        <v>0</v>
      </c>
      <c r="Q101" s="239">
        <f>SUMIFS(RunOffRate!I:I,RunOffRate!$A:$A,InpR!$F$88,RunOffRate!$C:$C,InpR!$E101)</f>
        <v>0</v>
      </c>
      <c r="R101" s="239"/>
    </row>
    <row r="102" spans="1:18" hidden="1" outlineLevel="1" x14ac:dyDescent="0.25">
      <c r="A102" s="232"/>
      <c r="B102" s="61"/>
      <c r="C102" s="116"/>
      <c r="D102" s="55"/>
      <c r="E102" s="7" t="s">
        <v>206</v>
      </c>
      <c r="G102" s="7" t="s">
        <v>365</v>
      </c>
      <c r="I102" s="6"/>
      <c r="M102" s="239">
        <f>SUMIFS(RunOffRate!E:E,RunOffRate!$A:$A,InpR!$F$88,RunOffRate!$C:$C,InpR!$E102)</f>
        <v>0</v>
      </c>
      <c r="N102" s="239">
        <f>SUMIFS(RunOffRate!F:F,RunOffRate!$A:$A,InpR!$F$88,RunOffRate!$C:$C,InpR!$E102)</f>
        <v>0</v>
      </c>
      <c r="O102" s="239">
        <f>SUMIFS(RunOffRate!G:G,RunOffRate!$A:$A,InpR!$F$88,RunOffRate!$C:$C,InpR!$E102)</f>
        <v>0</v>
      </c>
      <c r="P102" s="239">
        <f>SUMIFS(RunOffRate!H:H,RunOffRate!$A:$A,InpR!$F$88,RunOffRate!$C:$C,InpR!$E102)</f>
        <v>0</v>
      </c>
      <c r="Q102" s="239">
        <f>SUMIFS(RunOffRate!I:I,RunOffRate!$A:$A,InpR!$F$88,RunOffRate!$C:$C,InpR!$E102)</f>
        <v>0</v>
      </c>
      <c r="R102" s="239"/>
    </row>
    <row r="103" spans="1:18" hidden="1" outlineLevel="1" x14ac:dyDescent="0.25">
      <c r="A103" s="232"/>
      <c r="B103" s="61"/>
      <c r="C103" s="116"/>
      <c r="D103" s="55"/>
      <c r="I103" s="6"/>
      <c r="M103" s="207"/>
      <c r="N103" s="207"/>
      <c r="O103" s="207"/>
      <c r="P103" s="207"/>
      <c r="Q103" s="207"/>
      <c r="R103" s="207"/>
    </row>
    <row r="104" spans="1:18" hidden="1" outlineLevel="1" x14ac:dyDescent="0.25">
      <c r="A104" s="232"/>
      <c r="B104" s="61" t="s">
        <v>366</v>
      </c>
      <c r="C104" s="272"/>
      <c r="D104" s="55"/>
      <c r="I104" s="6"/>
      <c r="M104" s="207"/>
      <c r="N104" s="207"/>
      <c r="O104" s="207"/>
      <c r="P104" s="207"/>
      <c r="Q104" s="207"/>
      <c r="R104" s="207"/>
    </row>
    <row r="105" spans="1:18" hidden="1" outlineLevel="1" x14ac:dyDescent="0.25">
      <c r="A105" s="232"/>
      <c r="B105" s="61"/>
      <c r="C105" s="272"/>
      <c r="D105" s="55"/>
      <c r="E105" s="7" t="s">
        <v>208</v>
      </c>
      <c r="G105" s="7" t="s">
        <v>365</v>
      </c>
      <c r="I105" s="6"/>
      <c r="M105" s="239">
        <f>SUMIFS(RealRPIBasedWACC!E:E,RealRPIBasedWACC!$A:$A,InpR!$F$88,RealRPIBasedWACC!$C:$C,InpR!$E105)</f>
        <v>1.920357193840716E-2</v>
      </c>
      <c r="N105" s="239">
        <f>SUMIFS(RealRPIBasedWACC!F:F,RealRPIBasedWACC!$A:$A,InpR!$F$88,RealRPIBasedWACC!$C:$C,InpR!$E105)</f>
        <v>1.920357193840716E-2</v>
      </c>
      <c r="O105" s="239">
        <f>SUMIFS(RealRPIBasedWACC!G:G,RealRPIBasedWACC!$A:$A,InpR!$F$88,RealRPIBasedWACC!$C:$C,InpR!$E105)</f>
        <v>1.920357193840716E-2</v>
      </c>
      <c r="P105" s="239">
        <f>SUMIFS(RealRPIBasedWACC!H:H,RealRPIBasedWACC!$A:$A,InpR!$F$88,RealRPIBasedWACC!$C:$C,InpR!$E105)</f>
        <v>1.920357193840716E-2</v>
      </c>
      <c r="Q105" s="239">
        <f>SUMIFS(RealRPIBasedWACC!I:I,RealRPIBasedWACC!$A:$A,InpR!$F$88,RealRPIBasedWACC!$C:$C,InpR!$E105)</f>
        <v>1.920357193840716E-2</v>
      </c>
      <c r="R105" s="239"/>
    </row>
    <row r="106" spans="1:18" hidden="1" outlineLevel="1" x14ac:dyDescent="0.25">
      <c r="A106" s="232"/>
      <c r="B106" s="61"/>
      <c r="C106" s="272"/>
      <c r="D106" s="55"/>
      <c r="E106" s="7" t="s">
        <v>210</v>
      </c>
      <c r="G106" s="7" t="s">
        <v>365</v>
      </c>
      <c r="I106" s="6"/>
      <c r="M106" s="239">
        <f>SUMIFS(RealRPIBasedWACC!E:E,RealRPIBasedWACC!$A:$A,InpR!$F$88,RealRPIBasedWACC!$C:$C,InpR!$E106)</f>
        <v>1.920357193840716E-2</v>
      </c>
      <c r="N106" s="239">
        <f>SUMIFS(RealRPIBasedWACC!F:F,RealRPIBasedWACC!$A:$A,InpR!$F$88,RealRPIBasedWACC!$C:$C,InpR!$E106)</f>
        <v>1.920357193840716E-2</v>
      </c>
      <c r="O106" s="239">
        <f>SUMIFS(RealRPIBasedWACC!G:G,RealRPIBasedWACC!$A:$A,InpR!$F$88,RealRPIBasedWACC!$C:$C,InpR!$E106)</f>
        <v>1.920357193840716E-2</v>
      </c>
      <c r="P106" s="239">
        <f>SUMIFS(RealRPIBasedWACC!H:H,RealRPIBasedWACC!$A:$A,InpR!$F$88,RealRPIBasedWACC!$C:$C,InpR!$E106)</f>
        <v>1.920357193840716E-2</v>
      </c>
      <c r="Q106" s="239">
        <f>SUMIFS(RealRPIBasedWACC!I:I,RealRPIBasedWACC!$A:$A,InpR!$F$88,RealRPIBasedWACC!$C:$C,InpR!$E106)</f>
        <v>1.920357193840716E-2</v>
      </c>
      <c r="R106" s="239"/>
    </row>
    <row r="107" spans="1:18" hidden="1" outlineLevel="1" x14ac:dyDescent="0.25">
      <c r="A107" s="232"/>
      <c r="B107" s="61"/>
      <c r="C107" s="272"/>
      <c r="D107" s="55"/>
      <c r="E107" s="7" t="s">
        <v>212</v>
      </c>
      <c r="G107" s="7" t="s">
        <v>365</v>
      </c>
      <c r="I107" s="6"/>
      <c r="M107" s="239">
        <f>SUMIFS(RealRPIBasedWACC!E:E,RealRPIBasedWACC!$A:$A,InpR!$F$88,RealRPIBasedWACC!$C:$C,InpR!$E107)</f>
        <v>1.920357193840716E-2</v>
      </c>
      <c r="N107" s="239">
        <f>SUMIFS(RealRPIBasedWACC!F:F,RealRPIBasedWACC!$A:$A,InpR!$F$88,RealRPIBasedWACC!$C:$C,InpR!$E107)</f>
        <v>1.920357193840716E-2</v>
      </c>
      <c r="O107" s="239">
        <f>SUMIFS(RealRPIBasedWACC!G:G,RealRPIBasedWACC!$A:$A,InpR!$F$88,RealRPIBasedWACC!$C:$C,InpR!$E107)</f>
        <v>1.920357193840716E-2</v>
      </c>
      <c r="P107" s="239">
        <f>SUMIFS(RealRPIBasedWACC!H:H,RealRPIBasedWACC!$A:$A,InpR!$F$88,RealRPIBasedWACC!$C:$C,InpR!$E107)</f>
        <v>1.920357193840716E-2</v>
      </c>
      <c r="Q107" s="239">
        <f>SUMIFS(RealRPIBasedWACC!I:I,RealRPIBasedWACC!$A:$A,InpR!$F$88,RealRPIBasedWACC!$C:$C,InpR!$E107)</f>
        <v>1.920357193840716E-2</v>
      </c>
      <c r="R107" s="239"/>
    </row>
    <row r="108" spans="1:18" hidden="1" outlineLevel="1" x14ac:dyDescent="0.25">
      <c r="A108" s="232"/>
      <c r="B108" s="61"/>
      <c r="C108" s="272"/>
      <c r="D108" s="55"/>
      <c r="E108" s="7" t="s">
        <v>214</v>
      </c>
      <c r="G108" s="7" t="s">
        <v>365</v>
      </c>
      <c r="I108" s="6"/>
      <c r="M108" s="239">
        <f>SUMIFS(RealRPIBasedWACC!E:E,RealRPIBasedWACC!$A:$A,InpR!$F$88,RealRPIBasedWACC!$C:$C,InpR!$E108)</f>
        <v>1.920357193840716E-2</v>
      </c>
      <c r="N108" s="239">
        <f>SUMIFS(RealRPIBasedWACC!F:F,RealRPIBasedWACC!$A:$A,InpR!$F$88,RealRPIBasedWACC!$C:$C,InpR!$E108)</f>
        <v>1.920357193840716E-2</v>
      </c>
      <c r="O108" s="239">
        <f>SUMIFS(RealRPIBasedWACC!G:G,RealRPIBasedWACC!$A:$A,InpR!$F$88,RealRPIBasedWACC!$C:$C,InpR!$E108)</f>
        <v>1.920357193840716E-2</v>
      </c>
      <c r="P108" s="239">
        <f>SUMIFS(RealRPIBasedWACC!H:H,RealRPIBasedWACC!$A:$A,InpR!$F$88,RealRPIBasedWACC!$C:$C,InpR!$E108)</f>
        <v>1.920357193840716E-2</v>
      </c>
      <c r="Q108" s="239">
        <f>SUMIFS(RealRPIBasedWACC!I:I,RealRPIBasedWACC!$A:$A,InpR!$F$88,RealRPIBasedWACC!$C:$C,InpR!$E108)</f>
        <v>1.920357193840716E-2</v>
      </c>
      <c r="R108" s="239"/>
    </row>
    <row r="109" spans="1:18" hidden="1" outlineLevel="1" x14ac:dyDescent="0.25">
      <c r="A109" s="232"/>
      <c r="B109" s="61"/>
      <c r="C109" s="272"/>
      <c r="D109" s="55"/>
      <c r="E109" s="7" t="s">
        <v>216</v>
      </c>
      <c r="G109" s="7" t="s">
        <v>365</v>
      </c>
      <c r="I109" s="6"/>
      <c r="M109" s="239">
        <f>SUMIFS(RealRPIBasedWACC!E:E,RealRPIBasedWACC!$A:$A,InpR!$F$88,RealRPIBasedWACC!$C:$C,InpR!$E109)</f>
        <v>1.920357193840716E-2</v>
      </c>
      <c r="N109" s="239">
        <f>SUMIFS(RealRPIBasedWACC!F:F,RealRPIBasedWACC!$A:$A,InpR!$F$88,RealRPIBasedWACC!$C:$C,InpR!$E109)</f>
        <v>1.920357193840716E-2</v>
      </c>
      <c r="O109" s="239">
        <f>SUMIFS(RealRPIBasedWACC!G:G,RealRPIBasedWACC!$A:$A,InpR!$F$88,RealRPIBasedWACC!$C:$C,InpR!$E109)</f>
        <v>1.920357193840716E-2</v>
      </c>
      <c r="P109" s="239">
        <f>SUMIFS(RealRPIBasedWACC!H:H,RealRPIBasedWACC!$A:$A,InpR!$F$88,RealRPIBasedWACC!$C:$C,InpR!$E109)</f>
        <v>1.920357193840716E-2</v>
      </c>
      <c r="Q109" s="239">
        <f>SUMIFS(RealRPIBasedWACC!I:I,RealRPIBasedWACC!$A:$A,InpR!$F$88,RealRPIBasedWACC!$C:$C,InpR!$E109)</f>
        <v>1.920357193840716E-2</v>
      </c>
      <c r="R109" s="239"/>
    </row>
    <row r="110" spans="1:18" hidden="1" outlineLevel="1" x14ac:dyDescent="0.25">
      <c r="A110" s="232"/>
      <c r="B110" s="61"/>
      <c r="C110" s="116"/>
      <c r="D110" s="55"/>
      <c r="I110" s="6"/>
      <c r="M110" s="207"/>
      <c r="N110" s="207"/>
      <c r="O110" s="207"/>
      <c r="P110" s="207"/>
      <c r="Q110" s="207"/>
      <c r="R110" s="207"/>
    </row>
    <row r="111" spans="1:18" hidden="1" outlineLevel="1" x14ac:dyDescent="0.25">
      <c r="A111" s="232"/>
      <c r="B111" s="61" t="s">
        <v>367</v>
      </c>
      <c r="C111" s="116"/>
      <c r="D111" s="55"/>
      <c r="I111" s="6"/>
      <c r="M111" s="207"/>
      <c r="N111" s="207"/>
      <c r="O111" s="207"/>
      <c r="P111" s="207"/>
      <c r="Q111" s="207"/>
      <c r="R111" s="207"/>
    </row>
    <row r="112" spans="1:18" hidden="1" outlineLevel="1" x14ac:dyDescent="0.25">
      <c r="A112" s="232"/>
      <c r="B112" s="61"/>
      <c r="C112" s="116"/>
      <c r="D112" s="55"/>
      <c r="E112" s="7" t="s">
        <v>218</v>
      </c>
      <c r="G112" s="7" t="s">
        <v>365</v>
      </c>
      <c r="I112" s="6"/>
      <c r="M112" s="239">
        <f>SUMIFS(RealCPIHBasedWACC!E:E,RealCPIHBasedWACC!$A:$A,InpR!$F$88,RealCPIHBasedWACC!$C:$C,InpR!$E112)</f>
        <v>2.9195763820156317E-2</v>
      </c>
      <c r="N112" s="239">
        <f>SUMIFS(RealCPIHBasedWACC!F:F,RealCPIHBasedWACC!$A:$A,InpR!$F$88,RealCPIHBasedWACC!$C:$C,InpR!$E112)</f>
        <v>2.9195763820156317E-2</v>
      </c>
      <c r="O112" s="239">
        <f>SUMIFS(RealCPIHBasedWACC!G:G,RealCPIHBasedWACC!$A:$A,InpR!$F$88,RealCPIHBasedWACC!$C:$C,InpR!$E112)</f>
        <v>2.9195763820156317E-2</v>
      </c>
      <c r="P112" s="239">
        <f>SUMIFS(RealCPIHBasedWACC!H:H,RealCPIHBasedWACC!$A:$A,InpR!$F$88,RealCPIHBasedWACC!$C:$C,InpR!$E112)</f>
        <v>2.9195763820156317E-2</v>
      </c>
      <c r="Q112" s="239">
        <f>SUMIFS(RealCPIHBasedWACC!I:I,RealCPIHBasedWACC!$A:$A,InpR!$F$88,RealCPIHBasedWACC!$C:$C,InpR!$E112)</f>
        <v>2.9195763820156317E-2</v>
      </c>
      <c r="R112" s="239"/>
    </row>
    <row r="113" spans="1:18" hidden="1" outlineLevel="1" x14ac:dyDescent="0.25">
      <c r="A113" s="232"/>
      <c r="B113" s="61"/>
      <c r="C113" s="116"/>
      <c r="D113" s="55"/>
      <c r="E113" s="7" t="s">
        <v>220</v>
      </c>
      <c r="G113" s="7" t="s">
        <v>365</v>
      </c>
      <c r="I113" s="6"/>
      <c r="M113" s="239">
        <f>SUMIFS(RealCPIHBasedWACC!E:E,RealCPIHBasedWACC!$A:$A,InpR!$F$88,RealCPIHBasedWACC!$C:$C,InpR!$E113)</f>
        <v>2.9195763820156317E-2</v>
      </c>
      <c r="N113" s="239">
        <f>SUMIFS(RealCPIHBasedWACC!F:F,RealCPIHBasedWACC!$A:$A,InpR!$F$88,RealCPIHBasedWACC!$C:$C,InpR!$E113)</f>
        <v>2.9195763820156317E-2</v>
      </c>
      <c r="O113" s="239">
        <f>SUMIFS(RealCPIHBasedWACC!G:G,RealCPIHBasedWACC!$A:$A,InpR!$F$88,RealCPIHBasedWACC!$C:$C,InpR!$E113)</f>
        <v>2.9195763820156317E-2</v>
      </c>
      <c r="P113" s="239">
        <f>SUMIFS(RealCPIHBasedWACC!H:H,RealCPIHBasedWACC!$A:$A,InpR!$F$88,RealCPIHBasedWACC!$C:$C,InpR!$E113)</f>
        <v>2.9195763820156317E-2</v>
      </c>
      <c r="Q113" s="239">
        <f>SUMIFS(RealCPIHBasedWACC!I:I,RealCPIHBasedWACC!$A:$A,InpR!$F$88,RealCPIHBasedWACC!$C:$C,InpR!$E113)</f>
        <v>2.9195763820156317E-2</v>
      </c>
      <c r="R113" s="239"/>
    </row>
    <row r="114" spans="1:18" hidden="1" outlineLevel="1" x14ac:dyDescent="0.25">
      <c r="A114" s="232"/>
      <c r="B114" s="61"/>
      <c r="C114" s="116"/>
      <c r="D114" s="55"/>
      <c r="E114" s="7" t="s">
        <v>222</v>
      </c>
      <c r="G114" s="7" t="s">
        <v>365</v>
      </c>
      <c r="I114" s="6"/>
      <c r="M114" s="239">
        <f>SUMIFS(RealCPIHBasedWACC!E:E,RealCPIHBasedWACC!$A:$A,InpR!$F$88,RealCPIHBasedWACC!$C:$C,InpR!$E114)</f>
        <v>2.9195763820156317E-2</v>
      </c>
      <c r="N114" s="239">
        <f>SUMIFS(RealCPIHBasedWACC!F:F,RealCPIHBasedWACC!$A:$A,InpR!$F$88,RealCPIHBasedWACC!$C:$C,InpR!$E114)</f>
        <v>2.9195763820156317E-2</v>
      </c>
      <c r="O114" s="239">
        <f>SUMIFS(RealCPIHBasedWACC!G:G,RealCPIHBasedWACC!$A:$A,InpR!$F$88,RealCPIHBasedWACC!$C:$C,InpR!$E114)</f>
        <v>2.9195763820156317E-2</v>
      </c>
      <c r="P114" s="239">
        <f>SUMIFS(RealCPIHBasedWACC!H:H,RealCPIHBasedWACC!$A:$A,InpR!$F$88,RealCPIHBasedWACC!$C:$C,InpR!$E114)</f>
        <v>2.9195763820156317E-2</v>
      </c>
      <c r="Q114" s="239">
        <f>SUMIFS(RealCPIHBasedWACC!I:I,RealCPIHBasedWACC!$A:$A,InpR!$F$88,RealCPIHBasedWACC!$C:$C,InpR!$E114)</f>
        <v>2.9195763820156317E-2</v>
      </c>
      <c r="R114" s="239"/>
    </row>
    <row r="115" spans="1:18" hidden="1" outlineLevel="1" x14ac:dyDescent="0.25">
      <c r="A115" s="232"/>
      <c r="B115" s="61"/>
      <c r="C115" s="116"/>
      <c r="D115" s="55"/>
      <c r="E115" s="7" t="s">
        <v>224</v>
      </c>
      <c r="G115" s="7" t="s">
        <v>365</v>
      </c>
      <c r="I115" s="6"/>
      <c r="M115" s="239">
        <f>SUMIFS(RealCPIHBasedWACC!E:E,RealCPIHBasedWACC!$A:$A,InpR!$F$88,RealCPIHBasedWACC!$C:$C,InpR!$E115)</f>
        <v>2.9195763820156317E-2</v>
      </c>
      <c r="N115" s="239">
        <f>SUMIFS(RealCPIHBasedWACC!F:F,RealCPIHBasedWACC!$A:$A,InpR!$F$88,RealCPIHBasedWACC!$C:$C,InpR!$E115)</f>
        <v>2.9195763820156317E-2</v>
      </c>
      <c r="O115" s="239">
        <f>SUMIFS(RealCPIHBasedWACC!G:G,RealCPIHBasedWACC!$A:$A,InpR!$F$88,RealCPIHBasedWACC!$C:$C,InpR!$E115)</f>
        <v>2.9195763820156317E-2</v>
      </c>
      <c r="P115" s="239">
        <f>SUMIFS(RealCPIHBasedWACC!H:H,RealCPIHBasedWACC!$A:$A,InpR!$F$88,RealCPIHBasedWACC!$C:$C,InpR!$E115)</f>
        <v>2.9195763820156317E-2</v>
      </c>
      <c r="Q115" s="239">
        <f>SUMIFS(RealCPIHBasedWACC!I:I,RealCPIHBasedWACC!$A:$A,InpR!$F$88,RealCPIHBasedWACC!$C:$C,InpR!$E115)</f>
        <v>2.9195763820156317E-2</v>
      </c>
      <c r="R115" s="239"/>
    </row>
    <row r="116" spans="1:18" hidden="1" outlineLevel="1" x14ac:dyDescent="0.25">
      <c r="A116" s="232"/>
      <c r="B116" s="61"/>
      <c r="C116" s="116"/>
      <c r="D116" s="55"/>
      <c r="E116" s="7" t="s">
        <v>226</v>
      </c>
      <c r="G116" s="7" t="s">
        <v>365</v>
      </c>
      <c r="I116" s="6"/>
      <c r="M116" s="239">
        <f>SUMIFS(RealCPIHBasedWACC!E:E,RealCPIHBasedWACC!$A:$A,InpR!$F$88,RealCPIHBasedWACC!$C:$C,InpR!$E116)</f>
        <v>2.9195763820156317E-2</v>
      </c>
      <c r="N116" s="239">
        <f>SUMIFS(RealCPIHBasedWACC!F:F,RealCPIHBasedWACC!$A:$A,InpR!$F$88,RealCPIHBasedWACC!$C:$C,InpR!$E116)</f>
        <v>2.9195763820156317E-2</v>
      </c>
      <c r="O116" s="239">
        <f>SUMIFS(RealCPIHBasedWACC!G:G,RealCPIHBasedWACC!$A:$A,InpR!$F$88,RealCPIHBasedWACC!$C:$C,InpR!$E116)</f>
        <v>2.9195763820156317E-2</v>
      </c>
      <c r="P116" s="239">
        <f>SUMIFS(RealCPIHBasedWACC!H:H,RealCPIHBasedWACC!$A:$A,InpR!$F$88,RealCPIHBasedWACC!$C:$C,InpR!$E116)</f>
        <v>2.9195763820156317E-2</v>
      </c>
      <c r="Q116" s="239">
        <f>SUMIFS(RealCPIHBasedWACC!I:I,RealCPIHBasedWACC!$A:$A,InpR!$F$88,RealCPIHBasedWACC!$C:$C,InpR!$E116)</f>
        <v>2.9195763820156317E-2</v>
      </c>
      <c r="R116" s="239"/>
    </row>
    <row r="117" spans="1:18" hidden="1" outlineLevel="1" x14ac:dyDescent="0.25">
      <c r="A117" s="232"/>
      <c r="B117" s="61"/>
      <c r="C117" s="116"/>
      <c r="D117" s="55"/>
      <c r="I117" s="6"/>
      <c r="M117" s="207"/>
      <c r="N117" s="207"/>
      <c r="O117" s="207"/>
      <c r="P117" s="207"/>
      <c r="Q117" s="207"/>
      <c r="R117" s="207"/>
    </row>
    <row r="118" spans="1:18" hidden="1" outlineLevel="1" x14ac:dyDescent="0.25">
      <c r="A118" s="232"/>
      <c r="B118" s="61" t="s">
        <v>368</v>
      </c>
      <c r="C118" s="272"/>
      <c r="D118" s="55"/>
      <c r="I118" s="6"/>
    </row>
    <row r="119" spans="1:18" hidden="1" outlineLevel="1" x14ac:dyDescent="0.25">
      <c r="A119" s="232"/>
      <c r="B119" s="61"/>
      <c r="C119" s="272"/>
      <c r="D119" s="55"/>
      <c r="E119" s="7" t="s">
        <v>260</v>
      </c>
      <c r="F119" s="278">
        <f>SUMIFS(BYR!$G:$G, BYR!$A:$A, InpR!$F$88, BYR!$C:$C, InpR!$E119)</f>
        <v>1.50857632274288E-2</v>
      </c>
      <c r="G119" s="7" t="s">
        <v>238</v>
      </c>
      <c r="I119" s="6"/>
    </row>
    <row r="120" spans="1:18" hidden="1" outlineLevel="1" x14ac:dyDescent="0.25">
      <c r="A120" s="232"/>
      <c r="B120" s="61"/>
      <c r="C120" s="272"/>
      <c r="D120" s="55"/>
      <c r="E120" s="7" t="s">
        <v>262</v>
      </c>
      <c r="F120" s="278">
        <f>SUMIFS(BYR!$G:$G, BYR!$A:$A, InpR!$F$88, BYR!$C:$C, InpR!$E120)</f>
        <v>0.28653704054866902</v>
      </c>
      <c r="G120" s="7" t="s">
        <v>238</v>
      </c>
      <c r="I120" s="6"/>
    </row>
    <row r="121" spans="1:18" hidden="1" outlineLevel="1" x14ac:dyDescent="0.25">
      <c r="A121" s="232"/>
      <c r="B121" s="61"/>
      <c r="C121" s="272"/>
      <c r="D121" s="55"/>
      <c r="E121" s="7" t="s">
        <v>264</v>
      </c>
      <c r="F121" s="278">
        <f>SUMIFS(BYR!$G:$G, BYR!$A:$A, InpR!$F$88, BYR!$C:$C, InpR!$E121)</f>
        <v>0</v>
      </c>
      <c r="G121" s="7" t="s">
        <v>238</v>
      </c>
      <c r="I121" s="6"/>
    </row>
    <row r="122" spans="1:18" hidden="1" outlineLevel="1" x14ac:dyDescent="0.25">
      <c r="A122" s="232"/>
      <c r="B122" s="61"/>
      <c r="C122" s="272"/>
      <c r="D122" s="55"/>
      <c r="E122" s="7" t="s">
        <v>266</v>
      </c>
      <c r="F122" s="278">
        <f>SUMIFS(BYR!$G:$G, BYR!$A:$A, InpR!$F$88, BYR!$C:$C, InpR!$E122)</f>
        <v>0</v>
      </c>
      <c r="G122" s="7" t="s">
        <v>238</v>
      </c>
      <c r="I122" s="6"/>
    </row>
    <row r="123" spans="1:18" hidden="1" outlineLevel="1" x14ac:dyDescent="0.25">
      <c r="A123" s="232"/>
      <c r="B123" s="61"/>
      <c r="C123" s="272"/>
      <c r="D123" s="55"/>
      <c r="E123" s="7" t="s">
        <v>268</v>
      </c>
      <c r="F123" s="278">
        <f>SUMIFS(BYR!$G:$G, BYR!$A:$A, InpR!$F$88, BYR!$C:$C, InpR!$E123)</f>
        <v>0</v>
      </c>
      <c r="G123" s="7" t="s">
        <v>238</v>
      </c>
      <c r="I123" s="6"/>
    </row>
    <row r="124" spans="1:18" x14ac:dyDescent="0.25">
      <c r="A124" s="232"/>
      <c r="B124" s="61"/>
      <c r="C124" s="116"/>
      <c r="D124" s="55"/>
    </row>
    <row r="125" spans="1:18" collapsed="1" x14ac:dyDescent="0.25">
      <c r="A125" s="274" t="s">
        <v>369</v>
      </c>
      <c r="B125" s="275"/>
      <c r="C125" s="276"/>
      <c r="D125" s="276"/>
      <c r="E125" s="276"/>
      <c r="F125" s="276"/>
      <c r="G125" s="276"/>
      <c r="H125" s="276"/>
      <c r="I125" s="276"/>
      <c r="J125" s="276"/>
      <c r="K125" s="276"/>
      <c r="L125" s="276"/>
      <c r="M125" s="276"/>
      <c r="N125" s="276"/>
      <c r="O125" s="276"/>
      <c r="P125" s="276"/>
      <c r="Q125" s="276"/>
      <c r="R125" s="276"/>
    </row>
    <row r="126" spans="1:18" hidden="1" outlineLevel="1" x14ac:dyDescent="0.25">
      <c r="A126" s="232"/>
      <c r="B126" s="61"/>
      <c r="C126" s="116"/>
      <c r="D126" s="55"/>
    </row>
    <row r="127" spans="1:18" hidden="1" outlineLevel="1" x14ac:dyDescent="0.25">
      <c r="A127" s="232"/>
      <c r="B127" s="61" t="s">
        <v>370</v>
      </c>
      <c r="C127" s="116"/>
      <c r="D127" s="55"/>
    </row>
    <row r="128" spans="1:18" hidden="1" outlineLevel="1" x14ac:dyDescent="0.25">
      <c r="A128" s="232"/>
      <c r="B128" s="61"/>
      <c r="C128" s="116"/>
      <c r="D128" s="55"/>
      <c r="E128" s="7" t="s">
        <v>371</v>
      </c>
      <c r="F128" s="100">
        <v>1E-3</v>
      </c>
      <c r="G128" s="7" t="s">
        <v>372</v>
      </c>
    </row>
    <row r="129" spans="1:27" hidden="1" outlineLevel="1" x14ac:dyDescent="0.25">
      <c r="A129" s="232"/>
      <c r="B129" s="61"/>
      <c r="C129" s="116"/>
      <c r="D129" s="55"/>
      <c r="E129" s="7" t="s">
        <v>373</v>
      </c>
      <c r="F129" s="100">
        <v>1E-3</v>
      </c>
      <c r="G129" s="7" t="s">
        <v>372</v>
      </c>
    </row>
    <row r="130" spans="1:27" hidden="1" outlineLevel="1" x14ac:dyDescent="0.25">
      <c r="A130" s="232"/>
      <c r="B130" s="61"/>
      <c r="C130" s="116"/>
      <c r="D130" s="55"/>
    </row>
    <row r="131" spans="1:27" x14ac:dyDescent="0.25">
      <c r="A131" s="232"/>
      <c r="B131" s="61"/>
      <c r="C131" s="116"/>
      <c r="D131" s="55"/>
    </row>
    <row r="132" spans="1:27" s="161" customFormat="1" x14ac:dyDescent="0.25">
      <c r="A132" s="280"/>
      <c r="B132" s="158"/>
      <c r="C132" s="159"/>
      <c r="D132" s="160"/>
    </row>
    <row r="133" spans="1:27" ht="12.65" customHeight="1" x14ac:dyDescent="0.25">
      <c r="B133" s="61"/>
      <c r="C133" s="116"/>
      <c r="D133" s="55"/>
    </row>
    <row r="134" spans="1:27" hidden="1" x14ac:dyDescent="0.25">
      <c r="A134" s="50"/>
      <c r="B134" s="188"/>
      <c r="C134" s="189"/>
      <c r="D134" s="190"/>
    </row>
    <row r="135" spans="1:27" hidden="1" x14ac:dyDescent="0.25">
      <c r="B135" s="61"/>
      <c r="C135" s="116"/>
      <c r="D135" s="55"/>
    </row>
    <row r="136" spans="1:27" hidden="1" x14ac:dyDescent="0.25">
      <c r="A136" s="50"/>
      <c r="B136" s="188"/>
      <c r="C136" s="189"/>
      <c r="D136" s="190"/>
    </row>
    <row r="137" spans="1:27" hidden="1" x14ac:dyDescent="0.25">
      <c r="B137" s="61"/>
      <c r="C137" s="116"/>
      <c r="D137" s="55"/>
      <c r="M137" s="206"/>
      <c r="N137" s="206"/>
      <c r="O137" s="206"/>
      <c r="P137" s="206"/>
      <c r="Q137" s="206"/>
    </row>
    <row r="138" spans="1:27" s="172" customFormat="1" hidden="1" x14ac:dyDescent="0.25">
      <c r="A138" s="173"/>
      <c r="B138" s="174"/>
      <c r="C138" s="175"/>
      <c r="D138" s="176"/>
      <c r="T138" s="177"/>
      <c r="U138" s="177"/>
      <c r="V138" s="177"/>
      <c r="W138" s="177"/>
      <c r="X138" s="177"/>
      <c r="Y138" s="177"/>
      <c r="Z138" s="177"/>
      <c r="AA138" s="177"/>
    </row>
    <row r="139" spans="1:27" hidden="1" x14ac:dyDescent="0.25">
      <c r="B139" s="61"/>
      <c r="C139" s="116"/>
      <c r="D139" s="55"/>
    </row>
    <row r="140" spans="1:27" hidden="1" x14ac:dyDescent="0.25">
      <c r="B140" s="61"/>
      <c r="C140" s="116"/>
      <c r="D140" s="55"/>
    </row>
    <row r="141" spans="1:27" hidden="1" x14ac:dyDescent="0.25">
      <c r="B141" s="61"/>
      <c r="C141" s="116"/>
      <c r="D141" s="55"/>
    </row>
    <row r="142" spans="1:27" hidden="1" x14ac:dyDescent="0.25">
      <c r="B142" s="61"/>
      <c r="C142" s="116"/>
      <c r="D142" s="55"/>
    </row>
    <row r="143" spans="1:27" hidden="1" x14ac:dyDescent="0.25">
      <c r="B143" s="61"/>
      <c r="C143" s="116"/>
      <c r="D143" s="55"/>
    </row>
    <row r="144" spans="1:27" hidden="1" x14ac:dyDescent="0.25">
      <c r="B144" s="61"/>
      <c r="C144" s="116"/>
      <c r="D144" s="55"/>
    </row>
    <row r="145" spans="2:4" hidden="1" x14ac:dyDescent="0.25">
      <c r="B145" s="61"/>
      <c r="C145" s="116"/>
      <c r="D145" s="55"/>
    </row>
    <row r="146" spans="2:4" hidden="1" x14ac:dyDescent="0.25">
      <c r="B146" s="61"/>
      <c r="C146" s="116"/>
      <c r="D146" s="55"/>
    </row>
    <row r="147" spans="2:4" hidden="1" x14ac:dyDescent="0.25">
      <c r="B147" s="61"/>
      <c r="C147" s="116"/>
      <c r="D147" s="55"/>
    </row>
    <row r="148" spans="2:4" hidden="1" x14ac:dyDescent="0.25">
      <c r="B148" s="61"/>
      <c r="C148" s="116"/>
      <c r="D148" s="55"/>
    </row>
    <row r="149" spans="2:4" hidden="1" x14ac:dyDescent="0.25">
      <c r="B149" s="61"/>
      <c r="C149" s="116"/>
      <c r="D149" s="55"/>
    </row>
    <row r="150" spans="2:4" hidden="1" x14ac:dyDescent="0.25">
      <c r="B150" s="61"/>
      <c r="C150" s="116"/>
      <c r="D150" s="55"/>
    </row>
    <row r="151" spans="2:4" hidden="1" x14ac:dyDescent="0.25">
      <c r="B151" s="61"/>
      <c r="C151" s="116"/>
      <c r="D151" s="55"/>
    </row>
    <row r="152" spans="2:4" hidden="1" x14ac:dyDescent="0.25">
      <c r="B152" s="61"/>
      <c r="C152" s="116"/>
      <c r="D152" s="55"/>
    </row>
    <row r="153" spans="2:4" hidden="1" x14ac:dyDescent="0.25">
      <c r="B153" s="61"/>
      <c r="C153" s="116"/>
      <c r="D153" s="55"/>
    </row>
    <row r="154" spans="2:4" hidden="1" x14ac:dyDescent="0.25">
      <c r="B154" s="61"/>
      <c r="C154" s="116"/>
      <c r="D154" s="55"/>
    </row>
    <row r="155" spans="2:4" hidden="1" x14ac:dyDescent="0.25">
      <c r="B155" s="61"/>
      <c r="C155" s="116"/>
      <c r="D155" s="55"/>
    </row>
    <row r="156" spans="2:4" hidden="1" x14ac:dyDescent="0.25">
      <c r="B156" s="61"/>
      <c r="C156" s="116"/>
      <c r="D156" s="55"/>
    </row>
    <row r="157" spans="2:4" hidden="1" x14ac:dyDescent="0.25">
      <c r="B157" s="61"/>
      <c r="C157" s="116"/>
      <c r="D157" s="55"/>
    </row>
    <row r="158" spans="2:4" hidden="1" x14ac:dyDescent="0.25">
      <c r="B158" s="61"/>
      <c r="C158" s="116"/>
      <c r="D158" s="55"/>
    </row>
    <row r="159" spans="2:4" hidden="1" x14ac:dyDescent="0.25">
      <c r="B159" s="61"/>
      <c r="C159" s="116"/>
      <c r="D159" s="55"/>
    </row>
    <row r="160" spans="2:4" hidden="1" x14ac:dyDescent="0.25">
      <c r="B160" s="61"/>
      <c r="C160" s="116"/>
      <c r="D160" s="55"/>
    </row>
    <row r="161" spans="2:4" hidden="1" x14ac:dyDescent="0.25">
      <c r="B161" s="61"/>
      <c r="C161" s="116"/>
      <c r="D161" s="55"/>
    </row>
    <row r="162" spans="2:4" hidden="1" x14ac:dyDescent="0.25">
      <c r="B162" s="61"/>
      <c r="C162" s="116"/>
      <c r="D162" s="55"/>
    </row>
    <row r="163" spans="2:4" hidden="1" x14ac:dyDescent="0.25">
      <c r="B163" s="61"/>
      <c r="C163" s="116"/>
      <c r="D163" s="55"/>
    </row>
    <row r="164" spans="2:4" hidden="1" x14ac:dyDescent="0.25">
      <c r="B164" s="61"/>
      <c r="C164" s="116"/>
      <c r="D164" s="55"/>
    </row>
    <row r="165" spans="2:4" hidden="1" x14ac:dyDescent="0.25">
      <c r="B165" s="61"/>
      <c r="C165" s="116"/>
      <c r="D165" s="55"/>
    </row>
    <row r="166" spans="2:4" hidden="1" x14ac:dyDescent="0.25">
      <c r="B166" s="61"/>
      <c r="C166" s="116"/>
      <c r="D166" s="55"/>
    </row>
    <row r="167" spans="2:4" hidden="1" x14ac:dyDescent="0.25">
      <c r="B167" s="61"/>
      <c r="C167" s="116"/>
      <c r="D167" s="55"/>
    </row>
    <row r="168" spans="2:4" hidden="1" x14ac:dyDescent="0.25">
      <c r="B168" s="61"/>
      <c r="C168" s="116"/>
      <c r="D168" s="55"/>
    </row>
    <row r="169" spans="2:4" hidden="1" x14ac:dyDescent="0.25">
      <c r="B169" s="61"/>
      <c r="C169" s="116"/>
      <c r="D169" s="55"/>
    </row>
    <row r="170" spans="2:4" hidden="1" x14ac:dyDescent="0.25">
      <c r="B170" s="61"/>
      <c r="C170" s="116"/>
      <c r="D170" s="55"/>
    </row>
    <row r="171" spans="2:4" hidden="1" x14ac:dyDescent="0.25">
      <c r="B171" s="61"/>
      <c r="C171" s="116"/>
      <c r="D171" s="55"/>
    </row>
    <row r="172" spans="2:4" hidden="1" x14ac:dyDescent="0.25">
      <c r="B172" s="61"/>
      <c r="C172" s="116"/>
      <c r="D172" s="55"/>
    </row>
    <row r="173" spans="2:4" hidden="1" x14ac:dyDescent="0.25">
      <c r="B173" s="61"/>
      <c r="C173" s="116"/>
      <c r="D173" s="55"/>
    </row>
    <row r="174" spans="2:4" hidden="1" x14ac:dyDescent="0.25">
      <c r="B174" s="61"/>
      <c r="C174" s="116"/>
      <c r="D174" s="55"/>
    </row>
    <row r="175" spans="2:4" hidden="1" x14ac:dyDescent="0.25">
      <c r="B175" s="61"/>
      <c r="C175" s="116"/>
      <c r="D175" s="55"/>
    </row>
    <row r="176" spans="2:4" hidden="1" x14ac:dyDescent="0.25">
      <c r="B176" s="61"/>
      <c r="C176" s="116"/>
      <c r="D176" s="55"/>
    </row>
    <row r="177" spans="2:4" hidden="1" x14ac:dyDescent="0.25">
      <c r="B177" s="61"/>
      <c r="C177" s="116"/>
      <c r="D177" s="55"/>
    </row>
    <row r="178" spans="2:4" hidden="1" x14ac:dyDescent="0.25">
      <c r="B178" s="61"/>
      <c r="C178" s="116"/>
      <c r="D178" s="55"/>
    </row>
    <row r="179" spans="2:4" hidden="1" x14ac:dyDescent="0.25">
      <c r="B179" s="61"/>
      <c r="C179" s="116"/>
      <c r="D179" s="55"/>
    </row>
    <row r="180" spans="2:4" hidden="1" x14ac:dyDescent="0.25">
      <c r="B180" s="61"/>
      <c r="C180" s="116"/>
      <c r="D180" s="55"/>
    </row>
    <row r="181" spans="2:4" hidden="1" x14ac:dyDescent="0.25">
      <c r="B181" s="61"/>
      <c r="C181" s="116"/>
      <c r="D181" s="55"/>
    </row>
    <row r="182" spans="2:4" hidden="1" x14ac:dyDescent="0.25">
      <c r="B182" s="61"/>
      <c r="C182" s="116"/>
      <c r="D182" s="55"/>
    </row>
    <row r="183" spans="2:4" hidden="1" x14ac:dyDescent="0.25">
      <c r="B183" s="61"/>
      <c r="C183" s="116"/>
      <c r="D183" s="55"/>
    </row>
    <row r="184" spans="2:4" hidden="1" x14ac:dyDescent="0.25">
      <c r="B184" s="61"/>
      <c r="C184" s="116"/>
      <c r="D184" s="55"/>
    </row>
    <row r="185" spans="2:4" hidden="1" x14ac:dyDescent="0.25">
      <c r="B185" s="61"/>
      <c r="C185" s="116"/>
      <c r="D185" s="55"/>
    </row>
    <row r="186" spans="2:4" hidden="1" x14ac:dyDescent="0.25">
      <c r="B186" s="61"/>
      <c r="C186" s="116"/>
      <c r="D186" s="55"/>
    </row>
    <row r="187" spans="2:4" hidden="1" x14ac:dyDescent="0.25">
      <c r="B187" s="61"/>
      <c r="C187" s="116"/>
      <c r="D187" s="55"/>
    </row>
    <row r="188" spans="2:4" hidden="1" x14ac:dyDescent="0.25">
      <c r="B188" s="61"/>
      <c r="C188" s="116"/>
      <c r="D188" s="55"/>
    </row>
    <row r="189" spans="2:4" hidden="1" x14ac:dyDescent="0.25">
      <c r="B189" s="61"/>
      <c r="C189" s="116"/>
      <c r="D189" s="55"/>
    </row>
    <row r="190" spans="2:4" hidden="1" x14ac:dyDescent="0.25">
      <c r="B190" s="61"/>
      <c r="C190" s="116"/>
      <c r="D190" s="55"/>
    </row>
    <row r="191" spans="2:4" hidden="1" x14ac:dyDescent="0.25">
      <c r="B191" s="61"/>
      <c r="C191" s="116"/>
      <c r="D191" s="55"/>
    </row>
    <row r="192" spans="2:4" hidden="1" x14ac:dyDescent="0.25">
      <c r="B192" s="61"/>
      <c r="C192" s="116"/>
      <c r="D192" s="55"/>
    </row>
    <row r="193" spans="2:4" hidden="1" x14ac:dyDescent="0.25">
      <c r="B193" s="61"/>
      <c r="C193" s="116"/>
      <c r="D193" s="55"/>
    </row>
    <row r="194" spans="2:4" hidden="1" x14ac:dyDescent="0.25">
      <c r="B194" s="61"/>
      <c r="C194" s="116"/>
      <c r="D194" s="55"/>
    </row>
    <row r="195" spans="2:4" hidden="1" x14ac:dyDescent="0.25">
      <c r="B195" s="61"/>
      <c r="C195" s="116"/>
      <c r="D195" s="55"/>
    </row>
    <row r="196" spans="2:4" hidden="1" x14ac:dyDescent="0.25">
      <c r="B196" s="61"/>
      <c r="C196" s="116"/>
      <c r="D196" s="55"/>
    </row>
    <row r="197" spans="2:4" hidden="1" x14ac:dyDescent="0.25">
      <c r="B197" s="61"/>
      <c r="C197" s="116"/>
      <c r="D197" s="55"/>
    </row>
    <row r="198" spans="2:4" hidden="1" x14ac:dyDescent="0.25">
      <c r="B198" s="61"/>
      <c r="C198" s="116"/>
      <c r="D198" s="55"/>
    </row>
    <row r="199" spans="2:4" hidden="1" x14ac:dyDescent="0.25">
      <c r="B199" s="61"/>
      <c r="C199" s="116"/>
      <c r="D199" s="55"/>
    </row>
    <row r="200" spans="2:4" hidden="1" x14ac:dyDescent="0.25">
      <c r="B200" s="61"/>
      <c r="C200" s="116"/>
      <c r="D200" s="55"/>
    </row>
    <row r="201" spans="2:4" hidden="1" x14ac:dyDescent="0.25">
      <c r="B201" s="61"/>
      <c r="C201" s="116"/>
      <c r="D201" s="55"/>
    </row>
    <row r="202" spans="2:4" hidden="1" x14ac:dyDescent="0.25">
      <c r="B202" s="61"/>
      <c r="C202" s="116"/>
      <c r="D202" s="55"/>
    </row>
    <row r="203" spans="2:4" hidden="1" x14ac:dyDescent="0.25">
      <c r="B203" s="61"/>
      <c r="C203" s="116"/>
      <c r="D203" s="55"/>
    </row>
    <row r="204" spans="2:4" hidden="1" x14ac:dyDescent="0.25">
      <c r="B204" s="61"/>
      <c r="C204" s="116"/>
      <c r="D204" s="55"/>
    </row>
    <row r="205" spans="2:4" hidden="1" x14ac:dyDescent="0.25">
      <c r="B205" s="61"/>
      <c r="C205" s="116"/>
      <c r="D205" s="55"/>
    </row>
    <row r="206" spans="2:4" hidden="1" x14ac:dyDescent="0.25">
      <c r="B206" s="61"/>
      <c r="C206" s="116"/>
      <c r="D206" s="55"/>
    </row>
    <row r="207" spans="2:4" hidden="1" x14ac:dyDescent="0.25">
      <c r="B207" s="61"/>
      <c r="C207" s="116"/>
      <c r="D207" s="55"/>
    </row>
    <row r="208" spans="2:4" hidden="1" x14ac:dyDescent="0.25">
      <c r="B208" s="61"/>
      <c r="C208" s="116"/>
      <c r="D208" s="55"/>
    </row>
    <row r="209" spans="2:5" hidden="1" x14ac:dyDescent="0.25">
      <c r="B209" s="61"/>
      <c r="C209" s="116"/>
      <c r="D209" s="55"/>
    </row>
    <row r="210" spans="2:5" hidden="1" x14ac:dyDescent="0.25">
      <c r="B210" s="61"/>
      <c r="C210" s="116"/>
      <c r="D210" s="55"/>
    </row>
    <row r="211" spans="2:5" hidden="1" x14ac:dyDescent="0.25">
      <c r="B211" s="61"/>
      <c r="C211" s="116"/>
      <c r="D211" s="55"/>
    </row>
    <row r="212" spans="2:5" hidden="1" x14ac:dyDescent="0.25">
      <c r="B212" s="61"/>
      <c r="C212" s="116"/>
      <c r="D212" s="55"/>
    </row>
    <row r="213" spans="2:5" hidden="1" x14ac:dyDescent="0.25">
      <c r="B213" s="61"/>
      <c r="C213" s="116"/>
      <c r="D213" s="55"/>
    </row>
    <row r="214" spans="2:5" hidden="1" x14ac:dyDescent="0.25">
      <c r="B214" s="61"/>
      <c r="C214" s="116"/>
      <c r="D214" s="55"/>
    </row>
    <row r="215" spans="2:5" hidden="1" x14ac:dyDescent="0.25">
      <c r="B215" s="61"/>
      <c r="C215" s="116"/>
      <c r="D215" s="55"/>
    </row>
    <row r="216" spans="2:5" hidden="1" x14ac:dyDescent="0.25">
      <c r="B216" s="61"/>
      <c r="C216" s="116"/>
      <c r="D216" s="55"/>
    </row>
    <row r="217" spans="2:5" hidden="1" x14ac:dyDescent="0.25">
      <c r="B217" s="61"/>
      <c r="C217" s="116"/>
      <c r="D217" s="55"/>
    </row>
    <row r="218" spans="2:5" hidden="1" x14ac:dyDescent="0.25">
      <c r="B218" s="61"/>
      <c r="C218" s="116"/>
      <c r="D218" s="55"/>
    </row>
    <row r="219" spans="2:5" hidden="1" x14ac:dyDescent="0.25">
      <c r="B219" s="61"/>
      <c r="C219" s="116"/>
      <c r="D219" s="55"/>
    </row>
    <row r="220" spans="2:5" hidden="1" x14ac:dyDescent="0.25">
      <c r="B220" s="61"/>
      <c r="C220" s="116"/>
      <c r="D220" s="55"/>
    </row>
    <row r="221" spans="2:5" hidden="1" x14ac:dyDescent="0.25">
      <c r="B221" s="61"/>
      <c r="C221" s="116"/>
      <c r="D221" s="55"/>
    </row>
    <row r="222" spans="2:5" hidden="1" x14ac:dyDescent="0.25">
      <c r="B222" s="61"/>
      <c r="C222" s="116"/>
      <c r="D222" s="55"/>
    </row>
    <row r="223" spans="2:5" hidden="1" x14ac:dyDescent="0.25">
      <c r="B223" s="61"/>
      <c r="C223" s="116"/>
      <c r="D223" s="55"/>
    </row>
    <row r="224" spans="2:5" hidden="1" x14ac:dyDescent="0.25">
      <c r="B224" s="61"/>
      <c r="C224" s="116"/>
      <c r="D224" s="55"/>
      <c r="E224" s="102"/>
    </row>
    <row r="225" spans="2:4" hidden="1" x14ac:dyDescent="0.25">
      <c r="B225" s="61"/>
      <c r="C225" s="116"/>
      <c r="D225" s="55"/>
    </row>
    <row r="226" spans="2:4" hidden="1" x14ac:dyDescent="0.25">
      <c r="B226" s="61"/>
      <c r="C226" s="116"/>
      <c r="D226" s="55"/>
    </row>
    <row r="227" spans="2:4" hidden="1" x14ac:dyDescent="0.25">
      <c r="B227" s="61"/>
      <c r="C227" s="116"/>
      <c r="D227" s="55"/>
    </row>
    <row r="228" spans="2:4" hidden="1" x14ac:dyDescent="0.25">
      <c r="B228" s="61"/>
      <c r="C228" s="116"/>
      <c r="D228" s="55"/>
    </row>
    <row r="229" spans="2:4" hidden="1" x14ac:dyDescent="0.25">
      <c r="B229" s="61"/>
      <c r="C229" s="116"/>
      <c r="D229" s="55"/>
    </row>
    <row r="230" spans="2:4" hidden="1" x14ac:dyDescent="0.25">
      <c r="B230" s="61"/>
      <c r="C230" s="116"/>
      <c r="D230" s="55"/>
    </row>
    <row r="231" spans="2:4" hidden="1" x14ac:dyDescent="0.25">
      <c r="B231" s="61"/>
      <c r="C231" s="116"/>
      <c r="D231" s="55"/>
    </row>
    <row r="232" spans="2:4" hidden="1" x14ac:dyDescent="0.25">
      <c r="B232" s="61"/>
      <c r="C232" s="116"/>
      <c r="D232" s="55"/>
    </row>
    <row r="233" spans="2:4" hidden="1" x14ac:dyDescent="0.25">
      <c r="B233" s="61"/>
      <c r="C233" s="116"/>
      <c r="D233" s="55"/>
    </row>
    <row r="234" spans="2:4" hidden="1" x14ac:dyDescent="0.25">
      <c r="B234" s="61"/>
      <c r="C234" s="116"/>
      <c r="D234" s="55"/>
    </row>
    <row r="235" spans="2:4" hidden="1" x14ac:dyDescent="0.25">
      <c r="B235" s="61"/>
      <c r="C235" s="116"/>
      <c r="D235" s="55"/>
    </row>
    <row r="236" spans="2:4" hidden="1" x14ac:dyDescent="0.25">
      <c r="B236" s="61"/>
      <c r="C236" s="116"/>
      <c r="D236" s="55"/>
    </row>
    <row r="237" spans="2:4" hidden="1" x14ac:dyDescent="0.25">
      <c r="B237" s="61"/>
      <c r="C237" s="116"/>
      <c r="D237" s="55"/>
    </row>
    <row r="238" spans="2:4" hidden="1" x14ac:dyDescent="0.25">
      <c r="B238" s="61"/>
      <c r="C238" s="116"/>
      <c r="D238" s="55"/>
    </row>
    <row r="239" spans="2:4" hidden="1" x14ac:dyDescent="0.25">
      <c r="B239" s="61"/>
      <c r="C239" s="116"/>
      <c r="D239" s="55"/>
    </row>
    <row r="240" spans="2:4" hidden="1" x14ac:dyDescent="0.25">
      <c r="B240" s="61"/>
      <c r="C240" s="116"/>
      <c r="D240" s="55"/>
    </row>
    <row r="241" spans="2:4" hidden="1" x14ac:dyDescent="0.25">
      <c r="B241" s="61"/>
      <c r="C241" s="116"/>
      <c r="D241" s="55"/>
    </row>
    <row r="242" spans="2:4" hidden="1" x14ac:dyDescent="0.25">
      <c r="B242" s="61"/>
      <c r="C242" s="116"/>
      <c r="D242" s="55"/>
    </row>
    <row r="243" spans="2:4" hidden="1" x14ac:dyDescent="0.25">
      <c r="B243" s="61"/>
      <c r="C243" s="116"/>
      <c r="D243" s="55"/>
    </row>
    <row r="244" spans="2:4" hidden="1" x14ac:dyDescent="0.25">
      <c r="B244" s="61"/>
      <c r="C244" s="116"/>
      <c r="D244" s="55"/>
    </row>
    <row r="245" spans="2:4" hidden="1" x14ac:dyDescent="0.25">
      <c r="B245" s="61"/>
      <c r="C245" s="116"/>
      <c r="D245" s="55"/>
    </row>
    <row r="246" spans="2:4" hidden="1" x14ac:dyDescent="0.25">
      <c r="B246" s="61"/>
      <c r="C246" s="116"/>
      <c r="D246" s="55"/>
    </row>
    <row r="247" spans="2:4" hidden="1" x14ac:dyDescent="0.25">
      <c r="B247" s="61"/>
      <c r="C247" s="116"/>
      <c r="D247" s="55"/>
    </row>
    <row r="248" spans="2:4" hidden="1" x14ac:dyDescent="0.25">
      <c r="B248" s="61"/>
      <c r="C248" s="116"/>
      <c r="D248" s="55"/>
    </row>
    <row r="249" spans="2:4" hidden="1" x14ac:dyDescent="0.25">
      <c r="B249" s="61"/>
      <c r="C249" s="116"/>
      <c r="D249" s="55"/>
    </row>
    <row r="250" spans="2:4" hidden="1" x14ac:dyDescent="0.25">
      <c r="B250" s="61"/>
      <c r="C250" s="116"/>
      <c r="D250" s="55"/>
    </row>
    <row r="251" spans="2:4" hidden="1" x14ac:dyDescent="0.25">
      <c r="B251" s="61"/>
      <c r="C251" s="116"/>
      <c r="D251" s="55"/>
    </row>
    <row r="252" spans="2:4" hidden="1" x14ac:dyDescent="0.25">
      <c r="B252" s="61"/>
      <c r="C252" s="116"/>
      <c r="D252" s="55"/>
    </row>
    <row r="253" spans="2:4" hidden="1" x14ac:dyDescent="0.25">
      <c r="B253" s="61"/>
      <c r="C253" s="116"/>
      <c r="D253" s="55"/>
    </row>
    <row r="254" spans="2:4" hidden="1" x14ac:dyDescent="0.25">
      <c r="B254" s="61"/>
      <c r="C254" s="116"/>
      <c r="D254" s="55"/>
    </row>
    <row r="255" spans="2:4" hidden="1" x14ac:dyDescent="0.25">
      <c r="B255" s="61"/>
      <c r="C255" s="116"/>
      <c r="D255" s="55"/>
    </row>
    <row r="256" spans="2:4" hidden="1" x14ac:dyDescent="0.25">
      <c r="B256" s="61"/>
      <c r="C256" s="116"/>
      <c r="D256" s="55"/>
    </row>
    <row r="257" spans="2:4" hidden="1" x14ac:dyDescent="0.25">
      <c r="B257" s="61"/>
      <c r="C257" s="116"/>
      <c r="D257" s="55"/>
    </row>
    <row r="258" spans="2:4" hidden="1" x14ac:dyDescent="0.25">
      <c r="B258" s="61"/>
      <c r="C258" s="116"/>
      <c r="D258" s="55"/>
    </row>
    <row r="259" spans="2:4" hidden="1" x14ac:dyDescent="0.25">
      <c r="B259" s="61"/>
      <c r="C259" s="116"/>
      <c r="D259" s="55"/>
    </row>
    <row r="260" spans="2:4" hidden="1" x14ac:dyDescent="0.25">
      <c r="B260" s="61"/>
      <c r="C260" s="116"/>
      <c r="D260" s="55"/>
    </row>
    <row r="261" spans="2:4" hidden="1" x14ac:dyDescent="0.25">
      <c r="B261" s="61"/>
      <c r="C261" s="116"/>
      <c r="D261" s="55"/>
    </row>
    <row r="262" spans="2:4" hidden="1" x14ac:dyDescent="0.25">
      <c r="B262" s="61"/>
      <c r="C262" s="116"/>
      <c r="D262" s="55"/>
    </row>
    <row r="263" spans="2:4" hidden="1" x14ac:dyDescent="0.25">
      <c r="B263" s="61"/>
      <c r="C263" s="116"/>
      <c r="D263" s="55"/>
    </row>
    <row r="264" spans="2:4" hidden="1" x14ac:dyDescent="0.25">
      <c r="B264" s="61"/>
      <c r="C264" s="116"/>
      <c r="D264" s="55"/>
    </row>
    <row r="265" spans="2:4" hidden="1" x14ac:dyDescent="0.25">
      <c r="B265" s="61"/>
      <c r="C265" s="116"/>
      <c r="D265" s="55"/>
    </row>
    <row r="266" spans="2:4" hidden="1" x14ac:dyDescent="0.25">
      <c r="B266" s="61"/>
      <c r="C266" s="116"/>
      <c r="D266" s="55"/>
    </row>
    <row r="267" spans="2:4" hidden="1" x14ac:dyDescent="0.25">
      <c r="B267" s="61"/>
      <c r="C267" s="116"/>
      <c r="D267" s="55"/>
    </row>
    <row r="268" spans="2:4" hidden="1" x14ac:dyDescent="0.25">
      <c r="B268" s="61"/>
      <c r="C268" s="116"/>
      <c r="D268" s="55"/>
    </row>
    <row r="269" spans="2:4" hidden="1" x14ac:dyDescent="0.25">
      <c r="B269" s="61"/>
      <c r="C269" s="116"/>
      <c r="D269" s="55"/>
    </row>
    <row r="270" spans="2:4" hidden="1" x14ac:dyDescent="0.25">
      <c r="B270" s="61"/>
      <c r="C270" s="116"/>
      <c r="D270" s="55"/>
    </row>
    <row r="271" spans="2:4" hidden="1" x14ac:dyDescent="0.25">
      <c r="B271" s="61"/>
      <c r="C271" s="116"/>
      <c r="D271" s="55"/>
    </row>
    <row r="272" spans="2:4" hidden="1" x14ac:dyDescent="0.25">
      <c r="B272" s="61"/>
      <c r="C272" s="116"/>
      <c r="D272" s="55"/>
    </row>
    <row r="273" spans="2:4" hidden="1" x14ac:dyDescent="0.25">
      <c r="B273" s="61"/>
      <c r="C273" s="116"/>
      <c r="D273" s="55"/>
    </row>
    <row r="274" spans="2:4" hidden="1" x14ac:dyDescent="0.25">
      <c r="B274" s="61"/>
      <c r="C274" s="116"/>
      <c r="D274" s="55"/>
    </row>
    <row r="275" spans="2:4" hidden="1" x14ac:dyDescent="0.25">
      <c r="B275" s="61"/>
      <c r="C275" s="116"/>
      <c r="D275" s="55"/>
    </row>
    <row r="276" spans="2:4" hidden="1" x14ac:dyDescent="0.25">
      <c r="B276" s="61"/>
      <c r="C276" s="116"/>
      <c r="D276" s="55"/>
    </row>
    <row r="277" spans="2:4" hidden="1" x14ac:dyDescent="0.25">
      <c r="B277" s="61"/>
      <c r="C277" s="116"/>
      <c r="D277" s="55"/>
    </row>
    <row r="278" spans="2:4" hidden="1" x14ac:dyDescent="0.25">
      <c r="B278" s="61"/>
      <c r="C278" s="116"/>
      <c r="D278" s="55"/>
    </row>
    <row r="279" spans="2:4" hidden="1" x14ac:dyDescent="0.25">
      <c r="B279" s="61"/>
      <c r="C279" s="116"/>
      <c r="D279" s="55"/>
    </row>
    <row r="280" spans="2:4" hidden="1" x14ac:dyDescent="0.25">
      <c r="B280" s="61"/>
      <c r="C280" s="116"/>
      <c r="D280" s="55"/>
    </row>
    <row r="281" spans="2:4" hidden="1" x14ac:dyDescent="0.25">
      <c r="B281" s="61"/>
      <c r="C281" s="116"/>
      <c r="D281" s="55"/>
    </row>
    <row r="282" spans="2:4" hidden="1" x14ac:dyDescent="0.25">
      <c r="B282" s="61"/>
      <c r="C282" s="116"/>
      <c r="D282" s="55"/>
    </row>
    <row r="283" spans="2:4" hidden="1" x14ac:dyDescent="0.25">
      <c r="B283" s="61"/>
      <c r="C283" s="116"/>
      <c r="D283" s="55"/>
    </row>
    <row r="284" spans="2:4" hidden="1" x14ac:dyDescent="0.25">
      <c r="B284" s="61"/>
      <c r="C284" s="116"/>
      <c r="D284" s="55"/>
    </row>
    <row r="285" spans="2:4" hidden="1" x14ac:dyDescent="0.25">
      <c r="B285" s="61"/>
      <c r="C285" s="116"/>
      <c r="D285" s="55"/>
    </row>
    <row r="286" spans="2:4" hidden="1" x14ac:dyDescent="0.25">
      <c r="B286" s="61"/>
      <c r="C286" s="116"/>
      <c r="D286" s="55"/>
    </row>
    <row r="287" spans="2:4" hidden="1" x14ac:dyDescent="0.25">
      <c r="B287" s="61"/>
      <c r="C287" s="116"/>
      <c r="D287" s="55"/>
    </row>
    <row r="288" spans="2:4" hidden="1" x14ac:dyDescent="0.25">
      <c r="B288" s="61"/>
      <c r="C288" s="116"/>
      <c r="D288" s="55"/>
    </row>
    <row r="289" spans="2:4" hidden="1" x14ac:dyDescent="0.25">
      <c r="B289" s="61"/>
      <c r="C289" s="116"/>
      <c r="D289" s="55"/>
    </row>
    <row r="290" spans="2:4" hidden="1" x14ac:dyDescent="0.25">
      <c r="B290" s="61"/>
      <c r="C290" s="116"/>
      <c r="D290" s="55"/>
    </row>
    <row r="291" spans="2:4" hidden="1" x14ac:dyDescent="0.25">
      <c r="B291" s="61"/>
      <c r="C291" s="116"/>
      <c r="D291" s="55"/>
    </row>
    <row r="292" spans="2:4" hidden="1" x14ac:dyDescent="0.25">
      <c r="B292" s="61"/>
      <c r="C292" s="116"/>
      <c r="D292" s="55"/>
    </row>
    <row r="293" spans="2:4" hidden="1" x14ac:dyDescent="0.25">
      <c r="B293" s="61"/>
      <c r="C293" s="116"/>
      <c r="D293" s="55"/>
    </row>
    <row r="294" spans="2:4" hidden="1" x14ac:dyDescent="0.25">
      <c r="B294" s="61"/>
      <c r="C294" s="116"/>
      <c r="D294" s="55"/>
    </row>
    <row r="295" spans="2:4" hidden="1" x14ac:dyDescent="0.25">
      <c r="B295" s="61"/>
      <c r="C295" s="116"/>
      <c r="D295" s="55"/>
    </row>
    <row r="296" spans="2:4" hidden="1" x14ac:dyDescent="0.25">
      <c r="B296" s="61"/>
      <c r="C296" s="116"/>
      <c r="D296" s="55"/>
    </row>
    <row r="297" spans="2:4" hidden="1" x14ac:dyDescent="0.25">
      <c r="B297" s="61"/>
      <c r="C297" s="116"/>
      <c r="D297" s="55"/>
    </row>
    <row r="298" spans="2:4" hidden="1" x14ac:dyDescent="0.25">
      <c r="B298" s="61"/>
      <c r="C298" s="116"/>
      <c r="D298" s="55"/>
    </row>
    <row r="299" spans="2:4" hidden="1" x14ac:dyDescent="0.25">
      <c r="B299" s="61"/>
      <c r="C299" s="116"/>
      <c r="D299" s="55"/>
    </row>
    <row r="300" spans="2:4" hidden="1" x14ac:dyDescent="0.25">
      <c r="B300" s="61"/>
      <c r="C300" s="116"/>
      <c r="D300" s="55"/>
    </row>
    <row r="301" spans="2:4" hidden="1" x14ac:dyDescent="0.25">
      <c r="B301" s="61"/>
      <c r="C301" s="116"/>
      <c r="D301" s="55"/>
    </row>
    <row r="302" spans="2:4" hidden="1" x14ac:dyDescent="0.25">
      <c r="B302" s="61"/>
      <c r="C302" s="116"/>
      <c r="D302" s="55"/>
    </row>
    <row r="303" spans="2:4" hidden="1" x14ac:dyDescent="0.25">
      <c r="B303" s="61"/>
      <c r="C303" s="116"/>
      <c r="D303" s="55"/>
    </row>
    <row r="304" spans="2:4" hidden="1" x14ac:dyDescent="0.25">
      <c r="B304" s="61"/>
      <c r="C304" s="116"/>
      <c r="D304" s="55"/>
    </row>
    <row r="305" spans="2:4" hidden="1" x14ac:dyDescent="0.25">
      <c r="B305" s="61"/>
      <c r="C305" s="116"/>
      <c r="D305" s="55"/>
    </row>
    <row r="306" spans="2:4" hidden="1" x14ac:dyDescent="0.25">
      <c r="B306" s="61"/>
      <c r="C306" s="116"/>
      <c r="D306" s="55"/>
    </row>
    <row r="307" spans="2:4" hidden="1" x14ac:dyDescent="0.25">
      <c r="B307" s="61"/>
      <c r="C307" s="116"/>
      <c r="D307" s="55"/>
    </row>
    <row r="308" spans="2:4" hidden="1" x14ac:dyDescent="0.25">
      <c r="B308" s="61"/>
      <c r="C308" s="116"/>
      <c r="D308" s="55"/>
    </row>
    <row r="309" spans="2:4" hidden="1" x14ac:dyDescent="0.25">
      <c r="B309" s="61"/>
      <c r="C309" s="116"/>
      <c r="D309" s="55"/>
    </row>
    <row r="310" spans="2:4" hidden="1" x14ac:dyDescent="0.25">
      <c r="B310" s="61"/>
      <c r="C310" s="116"/>
      <c r="D310" s="55"/>
    </row>
    <row r="311" spans="2:4" hidden="1" x14ac:dyDescent="0.25">
      <c r="B311" s="61"/>
      <c r="C311" s="116"/>
      <c r="D311" s="55"/>
    </row>
    <row r="312" spans="2:4" hidden="1" x14ac:dyDescent="0.25">
      <c r="B312" s="61"/>
      <c r="C312" s="116"/>
      <c r="D312" s="55"/>
    </row>
    <row r="313" spans="2:4" hidden="1" x14ac:dyDescent="0.25">
      <c r="B313" s="61"/>
      <c r="C313" s="116"/>
      <c r="D313" s="55"/>
    </row>
    <row r="314" spans="2:4" hidden="1" x14ac:dyDescent="0.25">
      <c r="B314" s="61"/>
      <c r="C314" s="116"/>
      <c r="D314" s="55"/>
    </row>
    <row r="315" spans="2:4" hidden="1" x14ac:dyDescent="0.25">
      <c r="B315" s="61"/>
      <c r="C315" s="116"/>
      <c r="D315" s="55"/>
    </row>
    <row r="316" spans="2:4" hidden="1" x14ac:dyDescent="0.25">
      <c r="B316" s="61"/>
      <c r="C316" s="116"/>
      <c r="D316" s="55"/>
    </row>
    <row r="317" spans="2:4" hidden="1" x14ac:dyDescent="0.25">
      <c r="B317" s="61"/>
      <c r="C317" s="116"/>
      <c r="D317" s="55"/>
    </row>
    <row r="318" spans="2:4" hidden="1" x14ac:dyDescent="0.25">
      <c r="B318" s="61"/>
      <c r="C318" s="116"/>
      <c r="D318" s="55"/>
    </row>
    <row r="319" spans="2:4" hidden="1" x14ac:dyDescent="0.25">
      <c r="B319" s="61"/>
      <c r="C319" s="116"/>
      <c r="D319" s="55"/>
    </row>
  </sheetData>
  <phoneticPr fontId="48" type="noConversion"/>
  <conditionalFormatting sqref="F2">
    <cfRule type="cellIs" dxfId="75" priority="8" stopIfTrue="1" operator="notEqual">
      <formula>0</formula>
    </cfRule>
    <cfRule type="cellIs" dxfId="74" priority="9" stopIfTrue="1" operator="equal">
      <formula>""</formula>
    </cfRule>
  </conditionalFormatting>
  <conditionalFormatting sqref="J4:CA4">
    <cfRule type="cellIs" dxfId="73" priority="10" operator="equal">
      <formula>"Post-Fcst"</formula>
    </cfRule>
    <cfRule type="cellIs" dxfId="72" priority="11" operator="equal">
      <formula>"Forecast"</formula>
    </cfRule>
    <cfRule type="cellIs" dxfId="71" priority="12" operator="equal">
      <formula>"Pre Fcst"</formula>
    </cfRule>
  </conditionalFormatting>
  <pageMargins left="0.70866141732283472" right="0.70866141732283472" top="0.74803149606299213" bottom="0.74803149606299213" header="0.31496062992125984" footer="0.31496062992125984"/>
  <pageSetup paperSize="8" scale="70" fitToHeight="0" orientation="landscape" r:id="rId1"/>
  <headerFooter>
    <oddHeader>&amp;L&amp;F&amp;CSheet: &amp;A&amp;ROFFICIAL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36D6-835A-40D2-BF16-4C9BDF444DB4}">
  <sheetPr codeName="Sheet6">
    <outlinePr summaryBelow="0" summaryRight="0"/>
    <pageSetUpPr fitToPage="1"/>
  </sheetPr>
  <dimension ref="A1:DB90"/>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453125" style="50" customWidth="1"/>
    <col min="2" max="2" width="1.453125" style="61" customWidth="1"/>
    <col min="3" max="3" width="1.453125" style="110" customWidth="1"/>
    <col min="4" max="4" width="1.453125" style="55" customWidth="1"/>
    <col min="5" max="5" width="40.54296875" style="91" customWidth="1"/>
    <col min="6" max="6" width="12.54296875" style="7" customWidth="1"/>
    <col min="7" max="8" width="11.54296875" style="7" customWidth="1"/>
    <col min="9" max="9" width="2.54296875" style="7" customWidth="1"/>
    <col min="10" max="18" width="11.54296875" style="7" customWidth="1"/>
    <col min="19" max="78" width="11.54296875" style="7" hidden="1" customWidth="1"/>
    <col min="79" max="106" width="0" style="7" hidden="1" customWidth="1"/>
    <col min="107" max="16384" width="9.1796875" style="7" hidden="1"/>
  </cols>
  <sheetData>
    <row r="1" spans="1:78" s="122" customFormat="1" ht="25" x14ac:dyDescent="0.5">
      <c r="A1" s="118" t="str">
        <f ca="1" xml:space="preserve"> RIGHT(CELL("filename", $A$1), LEN(CELL("filename", $A$1)) - SEARCH("]", CELL("filename", $A$1)))</f>
        <v>Time</v>
      </c>
      <c r="C1" s="132"/>
      <c r="E1" s="131"/>
    </row>
    <row r="2" spans="1:78" s="28" customFormat="1" x14ac:dyDescent="0.25">
      <c r="A2" s="62"/>
      <c r="B2" s="58"/>
      <c r="C2" s="107"/>
      <c r="D2" s="52"/>
      <c r="E2" s="45"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25">
      <c r="A3" s="48"/>
      <c r="B3" s="59"/>
      <c r="C3" s="108"/>
      <c r="D3" s="53"/>
      <c r="E3" s="45" t="str">
        <f>Time!E$59</f>
        <v>Pre Forecast vs Forecast</v>
      </c>
      <c r="F3" s="90"/>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25">
      <c r="A4" s="50"/>
      <c r="B4" s="64"/>
      <c r="C4" s="124"/>
      <c r="D4" s="55"/>
      <c r="E4" s="90"/>
      <c r="F4" s="90"/>
      <c r="G4" s="226"/>
      <c r="H4" s="21"/>
      <c r="J4" s="11">
        <f>Time!J$86</f>
        <v>2018</v>
      </c>
      <c r="K4" s="11">
        <f>Time!K$86</f>
        <v>2019</v>
      </c>
      <c r="L4" s="11">
        <f>Time!L$86</f>
        <v>2020</v>
      </c>
      <c r="M4" s="11">
        <f>Time!M$86</f>
        <v>2021</v>
      </c>
      <c r="N4" s="11">
        <f>Time!N$86</f>
        <v>2022</v>
      </c>
      <c r="O4" s="11">
        <f>Time!O$86</f>
        <v>2023</v>
      </c>
      <c r="P4" s="11">
        <f>Time!P$86</f>
        <v>2024</v>
      </c>
      <c r="Q4" s="11">
        <f>Time!Q$86</f>
        <v>2025</v>
      </c>
      <c r="R4" s="11">
        <f>Time!R$86</f>
        <v>2026</v>
      </c>
    </row>
    <row r="5" spans="1:78" s="11" customFormat="1" x14ac:dyDescent="0.25">
      <c r="A5" s="50"/>
      <c r="B5" s="64"/>
      <c r="C5" s="124"/>
      <c r="D5" s="55"/>
      <c r="E5" s="90"/>
      <c r="F5" s="90"/>
      <c r="G5" s="226"/>
      <c r="H5" s="21"/>
    </row>
    <row r="6" spans="1:78" s="24" customFormat="1" x14ac:dyDescent="0.25">
      <c r="A6" s="63"/>
      <c r="B6" s="60"/>
      <c r="C6" s="109"/>
      <c r="D6" s="54"/>
      <c r="E6" s="45"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7" spans="1:78" x14ac:dyDescent="0.25"/>
    <row r="8" spans="1:78" x14ac:dyDescent="0.25">
      <c r="A8" s="49" t="s">
        <v>374</v>
      </c>
      <c r="D8" s="57"/>
      <c r="E8" s="92"/>
    </row>
    <row r="9" spans="1:78" x14ac:dyDescent="0.25">
      <c r="A9" s="49"/>
      <c r="D9" s="57"/>
      <c r="E9" s="92"/>
    </row>
    <row r="10" spans="1:78" s="65" customFormat="1" x14ac:dyDescent="0.25">
      <c r="A10" s="48"/>
      <c r="B10" s="59" t="s">
        <v>375</v>
      </c>
      <c r="C10" s="108"/>
      <c r="D10" s="53"/>
      <c r="E10" s="93"/>
      <c r="G10" s="37"/>
    </row>
    <row r="11" spans="1:78" s="42" customFormat="1" x14ac:dyDescent="0.25">
      <c r="A11" s="66"/>
      <c r="B11" s="67"/>
      <c r="C11" s="125"/>
      <c r="D11" s="68"/>
      <c r="E11" s="91" t="s">
        <v>376</v>
      </c>
      <c r="G11" s="42" t="s">
        <v>377</v>
      </c>
      <c r="I11" s="43"/>
      <c r="J11" s="42">
        <f t="shared" ref="J11:R11" si="0" xml:space="preserve"> I11 + 1</f>
        <v>1</v>
      </c>
      <c r="K11" s="42">
        <f t="shared" si="0"/>
        <v>2</v>
      </c>
      <c r="L11" s="42">
        <f t="shared" si="0"/>
        <v>3</v>
      </c>
      <c r="M11" s="42">
        <f t="shared" si="0"/>
        <v>4</v>
      </c>
      <c r="N11" s="42">
        <f t="shared" si="0"/>
        <v>5</v>
      </c>
      <c r="O11" s="42">
        <f t="shared" si="0"/>
        <v>6</v>
      </c>
      <c r="P11" s="42">
        <f t="shared" si="0"/>
        <v>7</v>
      </c>
      <c r="Q11" s="42">
        <f t="shared" si="0"/>
        <v>8</v>
      </c>
      <c r="R11" s="42">
        <f t="shared" si="0"/>
        <v>9</v>
      </c>
    </row>
    <row r="12" spans="1:78" x14ac:dyDescent="0.25">
      <c r="A12" s="49"/>
      <c r="D12" s="57"/>
      <c r="E12" s="92" t="s">
        <v>378</v>
      </c>
      <c r="F12" s="7">
        <f xml:space="preserve"> MAX(J11:BZ11)</f>
        <v>9</v>
      </c>
      <c r="G12" s="7" t="s">
        <v>379</v>
      </c>
    </row>
    <row r="13" spans="1:78" x14ac:dyDescent="0.25">
      <c r="A13" s="49"/>
      <c r="D13" s="57"/>
      <c r="E13" s="92"/>
    </row>
    <row r="14" spans="1:78" s="41" customFormat="1" x14ac:dyDescent="0.25">
      <c r="A14" s="69"/>
      <c r="B14" s="70"/>
      <c r="C14" s="112"/>
      <c r="D14" s="71"/>
      <c r="E14" s="92" t="str">
        <f t="shared" ref="E14:R14" si="1" xml:space="preserve"> E$11</f>
        <v>Model column counter</v>
      </c>
      <c r="F14" s="41">
        <f t="shared" si="1"/>
        <v>0</v>
      </c>
      <c r="G14" s="41" t="str">
        <f t="shared" si="1"/>
        <v>counter</v>
      </c>
      <c r="H14" s="41">
        <f t="shared" si="1"/>
        <v>0</v>
      </c>
      <c r="I14" s="41">
        <f t="shared" si="1"/>
        <v>0</v>
      </c>
      <c r="J14" s="41">
        <f t="shared" si="1"/>
        <v>1</v>
      </c>
      <c r="K14" s="41">
        <f t="shared" si="1"/>
        <v>2</v>
      </c>
      <c r="L14" s="41">
        <f t="shared" si="1"/>
        <v>3</v>
      </c>
      <c r="M14" s="41">
        <f t="shared" si="1"/>
        <v>4</v>
      </c>
      <c r="N14" s="41">
        <f t="shared" si="1"/>
        <v>5</v>
      </c>
      <c r="O14" s="41">
        <f t="shared" si="1"/>
        <v>6</v>
      </c>
      <c r="P14" s="41">
        <f t="shared" si="1"/>
        <v>7</v>
      </c>
      <c r="Q14" s="41">
        <f t="shared" si="1"/>
        <v>8</v>
      </c>
      <c r="R14" s="41">
        <f t="shared" si="1"/>
        <v>9</v>
      </c>
    </row>
    <row r="15" spans="1:78" x14ac:dyDescent="0.25">
      <c r="A15" s="49"/>
      <c r="B15" s="64"/>
      <c r="C15" s="124"/>
      <c r="E15" s="91" t="s">
        <v>380</v>
      </c>
      <c r="G15" s="7" t="s">
        <v>381</v>
      </c>
      <c r="H15" s="7">
        <f xml:space="preserve"> SUM(J15:BZ15)</f>
        <v>1</v>
      </c>
      <c r="J15" s="7">
        <f t="shared" ref="J15:R15" si="2" xml:space="preserve"> IF( J14 = 1, 1, 0)</f>
        <v>1</v>
      </c>
      <c r="K15" s="7">
        <f t="shared" si="2"/>
        <v>0</v>
      </c>
      <c r="L15" s="7">
        <f t="shared" si="2"/>
        <v>0</v>
      </c>
      <c r="M15" s="7">
        <f t="shared" si="2"/>
        <v>0</v>
      </c>
      <c r="N15" s="7">
        <f t="shared" si="2"/>
        <v>0</v>
      </c>
      <c r="O15" s="7">
        <f t="shared" si="2"/>
        <v>0</v>
      </c>
      <c r="P15" s="7">
        <f t="shared" si="2"/>
        <v>0</v>
      </c>
      <c r="Q15" s="7">
        <f t="shared" si="2"/>
        <v>0</v>
      </c>
      <c r="R15" s="7">
        <f t="shared" si="2"/>
        <v>0</v>
      </c>
    </row>
    <row r="16" spans="1:78" x14ac:dyDescent="0.25">
      <c r="A16" s="49"/>
      <c r="B16" s="64"/>
      <c r="C16" s="124"/>
    </row>
    <row r="17" spans="1:78" s="36" customFormat="1" x14ac:dyDescent="0.25">
      <c r="A17" s="72"/>
      <c r="B17" s="73"/>
      <c r="C17" s="126"/>
      <c r="D17" s="74"/>
      <c r="E17" s="94" t="str">
        <f xml:space="preserve"> InpR!E$11</f>
        <v>First date of time ruler</v>
      </c>
      <c r="F17" s="36">
        <f xml:space="preserve"> InpR!F$11</f>
        <v>42826</v>
      </c>
      <c r="G17" s="36" t="str">
        <f xml:space="preserve"> InpR!G$11</f>
        <v>date</v>
      </c>
      <c r="I17" s="32"/>
    </row>
    <row r="18" spans="1:78" s="25" customFormat="1" x14ac:dyDescent="0.25">
      <c r="A18" s="72"/>
      <c r="B18" s="73"/>
      <c r="C18" s="126"/>
      <c r="D18" s="74"/>
      <c r="E18" s="91" t="s">
        <v>382</v>
      </c>
      <c r="F18" s="25">
        <f xml:space="preserve"> DATE(YEAR(F17), MONTH(F17), 1)</f>
        <v>42826</v>
      </c>
      <c r="G18" s="25" t="s">
        <v>383</v>
      </c>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row>
    <row r="19" spans="1:78" s="36" customFormat="1" x14ac:dyDescent="0.25">
      <c r="A19" s="72"/>
      <c r="B19" s="73"/>
      <c r="C19" s="126"/>
      <c r="D19" s="74"/>
      <c r="E19" s="94"/>
      <c r="I19" s="32"/>
    </row>
    <row r="20" spans="1:78" s="25" customFormat="1" x14ac:dyDescent="0.25">
      <c r="A20" s="72"/>
      <c r="B20" s="73"/>
      <c r="C20" s="126"/>
      <c r="D20" s="74"/>
      <c r="E20" s="91" t="str">
        <f xml:space="preserve"> E$18</f>
        <v>First model period BEG</v>
      </c>
      <c r="F20" s="25">
        <f xml:space="preserve"> F$18</f>
        <v>42826</v>
      </c>
      <c r="G20" s="25" t="str">
        <f xml:space="preserve"> G$18</f>
        <v>month</v>
      </c>
      <c r="I20" s="18"/>
    </row>
    <row r="21" spans="1:78" x14ac:dyDescent="0.25">
      <c r="A21" s="49"/>
      <c r="B21" s="64"/>
      <c r="C21" s="124"/>
      <c r="E21" s="91" t="str">
        <f t="shared" ref="E21:R21" si="3" xml:space="preserve"> E$15</f>
        <v>First model column flag</v>
      </c>
      <c r="F21" s="7">
        <f t="shared" si="3"/>
        <v>0</v>
      </c>
      <c r="G21" s="7" t="str">
        <f t="shared" si="3"/>
        <v>flag</v>
      </c>
      <c r="H21" s="7">
        <f t="shared" si="3"/>
        <v>1</v>
      </c>
      <c r="I21" s="7">
        <f t="shared" si="3"/>
        <v>0</v>
      </c>
      <c r="J21" s="7">
        <f t="shared" si="3"/>
        <v>1</v>
      </c>
      <c r="K21" s="7">
        <f t="shared" si="3"/>
        <v>0</v>
      </c>
      <c r="L21" s="7">
        <f t="shared" si="3"/>
        <v>0</v>
      </c>
      <c r="M21" s="7">
        <f t="shared" si="3"/>
        <v>0</v>
      </c>
      <c r="N21" s="7">
        <f t="shared" si="3"/>
        <v>0</v>
      </c>
      <c r="O21" s="7">
        <f t="shared" si="3"/>
        <v>0</v>
      </c>
      <c r="P21" s="7">
        <f t="shared" si="3"/>
        <v>0</v>
      </c>
      <c r="Q21" s="7">
        <f t="shared" si="3"/>
        <v>0</v>
      </c>
      <c r="R21" s="7">
        <f t="shared" si="3"/>
        <v>0</v>
      </c>
    </row>
    <row r="22" spans="1:78" s="17" customFormat="1" x14ac:dyDescent="0.25">
      <c r="A22" s="75"/>
      <c r="B22" s="76"/>
      <c r="C22" s="127"/>
      <c r="D22" s="77"/>
      <c r="E22" s="91" t="s">
        <v>384</v>
      </c>
      <c r="G22" s="17" t="s">
        <v>292</v>
      </c>
      <c r="J22" s="17">
        <f t="shared" ref="J22:R22" si="4" xml:space="preserve"> IF( J21 = 1, $F20, I23 + 1)</f>
        <v>42826</v>
      </c>
      <c r="K22" s="17">
        <f t="shared" si="4"/>
        <v>43191</v>
      </c>
      <c r="L22" s="17">
        <f t="shared" si="4"/>
        <v>43556</v>
      </c>
      <c r="M22" s="17">
        <f t="shared" si="4"/>
        <v>43922</v>
      </c>
      <c r="N22" s="17">
        <f t="shared" si="4"/>
        <v>44287</v>
      </c>
      <c r="O22" s="17">
        <f t="shared" si="4"/>
        <v>44652</v>
      </c>
      <c r="P22" s="17">
        <f t="shared" si="4"/>
        <v>45017</v>
      </c>
      <c r="Q22" s="17">
        <f t="shared" si="4"/>
        <v>45383</v>
      </c>
      <c r="R22" s="17">
        <f t="shared" si="4"/>
        <v>45748</v>
      </c>
    </row>
    <row r="23" spans="1:78" s="39" customFormat="1" x14ac:dyDescent="0.25">
      <c r="A23" s="75"/>
      <c r="B23" s="78"/>
      <c r="C23" s="128"/>
      <c r="D23" s="79"/>
      <c r="E23" s="95" t="s">
        <v>385</v>
      </c>
      <c r="F23" s="34"/>
      <c r="G23" s="39" t="s">
        <v>292</v>
      </c>
      <c r="I23" s="40"/>
      <c r="J23" s="39">
        <f t="shared" ref="J23:R23" si="5" xml:space="preserve"> DATE(YEAR(J22), MONTH(J22) + 12, DAY(1) - 1)</f>
        <v>43190</v>
      </c>
      <c r="K23" s="39">
        <f t="shared" si="5"/>
        <v>43555</v>
      </c>
      <c r="L23" s="39">
        <f t="shared" si="5"/>
        <v>43921</v>
      </c>
      <c r="M23" s="39">
        <f t="shared" si="5"/>
        <v>44286</v>
      </c>
      <c r="N23" s="39">
        <f t="shared" si="5"/>
        <v>44651</v>
      </c>
      <c r="O23" s="39">
        <f t="shared" si="5"/>
        <v>45016</v>
      </c>
      <c r="P23" s="39">
        <f t="shared" si="5"/>
        <v>45382</v>
      </c>
      <c r="Q23" s="39">
        <f t="shared" si="5"/>
        <v>45747</v>
      </c>
      <c r="R23" s="39">
        <f t="shared" si="5"/>
        <v>46112</v>
      </c>
    </row>
    <row r="24" spans="1:78" s="31" customFormat="1" x14ac:dyDescent="0.25">
      <c r="A24" s="75"/>
      <c r="B24" s="78"/>
      <c r="C24" s="128"/>
      <c r="D24" s="79"/>
      <c r="E24" s="92"/>
    </row>
    <row r="25" spans="1:78" s="31" customFormat="1" x14ac:dyDescent="0.25">
      <c r="A25" s="75"/>
      <c r="B25" s="78"/>
      <c r="C25" s="128"/>
      <c r="D25" s="79"/>
      <c r="E25" s="92" t="str">
        <f t="shared" ref="E25:R25" si="6" xml:space="preserve"> E$23</f>
        <v>Model Period END</v>
      </c>
      <c r="F25" s="31">
        <f t="shared" si="6"/>
        <v>0</v>
      </c>
      <c r="G25" s="31" t="str">
        <f t="shared" si="6"/>
        <v>date</v>
      </c>
      <c r="H25" s="31">
        <f t="shared" si="6"/>
        <v>0</v>
      </c>
      <c r="I25" s="31">
        <f t="shared" si="6"/>
        <v>0</v>
      </c>
      <c r="J25" s="31">
        <f t="shared" si="6"/>
        <v>43190</v>
      </c>
      <c r="K25" s="31">
        <f t="shared" si="6"/>
        <v>43555</v>
      </c>
      <c r="L25" s="31">
        <f t="shared" si="6"/>
        <v>43921</v>
      </c>
      <c r="M25" s="31">
        <f t="shared" si="6"/>
        <v>44286</v>
      </c>
      <c r="N25" s="31">
        <f t="shared" si="6"/>
        <v>44651</v>
      </c>
      <c r="O25" s="31">
        <f t="shared" si="6"/>
        <v>45016</v>
      </c>
      <c r="P25" s="31">
        <f t="shared" si="6"/>
        <v>45382</v>
      </c>
      <c r="Q25" s="31">
        <f t="shared" si="6"/>
        <v>45747</v>
      </c>
      <c r="R25" s="31">
        <f t="shared" si="6"/>
        <v>46112</v>
      </c>
    </row>
    <row r="26" spans="1:78" s="31" customFormat="1" x14ac:dyDescent="0.25">
      <c r="A26" s="75"/>
      <c r="B26" s="78"/>
      <c r="C26" s="128"/>
      <c r="D26" s="79" t="s">
        <v>386</v>
      </c>
      <c r="E26" s="92" t="str">
        <f t="shared" ref="E26:R26" si="7" xml:space="preserve"> E$22</f>
        <v>Model Period BEG</v>
      </c>
      <c r="F26" s="31">
        <f t="shared" si="7"/>
        <v>0</v>
      </c>
      <c r="G26" s="31" t="str">
        <f t="shared" si="7"/>
        <v>date</v>
      </c>
      <c r="H26" s="31">
        <f t="shared" si="7"/>
        <v>0</v>
      </c>
      <c r="I26" s="31">
        <f t="shared" si="7"/>
        <v>0</v>
      </c>
      <c r="J26" s="31">
        <f t="shared" si="7"/>
        <v>42826</v>
      </c>
      <c r="K26" s="31">
        <f t="shared" si="7"/>
        <v>43191</v>
      </c>
      <c r="L26" s="31">
        <f t="shared" si="7"/>
        <v>43556</v>
      </c>
      <c r="M26" s="31">
        <f t="shared" si="7"/>
        <v>43922</v>
      </c>
      <c r="N26" s="31">
        <f t="shared" si="7"/>
        <v>44287</v>
      </c>
      <c r="O26" s="31">
        <f t="shared" si="7"/>
        <v>44652</v>
      </c>
      <c r="P26" s="31">
        <f t="shared" si="7"/>
        <v>45017</v>
      </c>
      <c r="Q26" s="31">
        <f t="shared" si="7"/>
        <v>45383</v>
      </c>
      <c r="R26" s="31">
        <f t="shared" si="7"/>
        <v>45748</v>
      </c>
    </row>
    <row r="27" spans="1:78" s="38" customFormat="1" x14ac:dyDescent="0.25">
      <c r="A27" s="80"/>
      <c r="B27" s="81"/>
      <c r="C27" s="129"/>
      <c r="D27" s="82"/>
      <c r="E27" s="92" t="s">
        <v>387</v>
      </c>
      <c r="G27" s="38" t="s">
        <v>388</v>
      </c>
      <c r="H27" s="21">
        <f xml:space="preserve"> SUM(J27:BZ27)</f>
        <v>3287</v>
      </c>
      <c r="J27" s="21">
        <f t="shared" ref="J27:R27" si="8" xml:space="preserve"> J25 - J26 + 1</f>
        <v>365</v>
      </c>
      <c r="K27" s="21">
        <f t="shared" si="8"/>
        <v>365</v>
      </c>
      <c r="L27" s="21">
        <f t="shared" si="8"/>
        <v>366</v>
      </c>
      <c r="M27" s="21">
        <f t="shared" si="8"/>
        <v>365</v>
      </c>
      <c r="N27" s="21">
        <f t="shared" si="8"/>
        <v>365</v>
      </c>
      <c r="O27" s="21">
        <f t="shared" si="8"/>
        <v>365</v>
      </c>
      <c r="P27" s="21">
        <f t="shared" si="8"/>
        <v>366</v>
      </c>
      <c r="Q27" s="21">
        <f t="shared" si="8"/>
        <v>365</v>
      </c>
      <c r="R27" s="21">
        <f t="shared" si="8"/>
        <v>365</v>
      </c>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row>
    <row r="28" spans="1:78" s="65" customFormat="1" x14ac:dyDescent="0.25">
      <c r="A28" s="47"/>
      <c r="B28" s="59"/>
      <c r="C28" s="108"/>
      <c r="D28" s="53"/>
      <c r="E28" s="93"/>
      <c r="G28" s="37"/>
    </row>
    <row r="29" spans="1:78" s="65" customFormat="1" x14ac:dyDescent="0.25">
      <c r="A29" s="47"/>
      <c r="B29" s="59"/>
      <c r="C29" s="108"/>
      <c r="D29" s="53"/>
      <c r="E29" s="93"/>
      <c r="G29" s="37"/>
    </row>
    <row r="30" spans="1:78" s="31" customFormat="1" x14ac:dyDescent="0.25">
      <c r="A30" s="75" t="s">
        <v>389</v>
      </c>
      <c r="B30" s="78"/>
      <c r="C30" s="128"/>
      <c r="D30" s="79"/>
      <c r="E30" s="92"/>
    </row>
    <row r="31" spans="1:78" s="31" customFormat="1" x14ac:dyDescent="0.25">
      <c r="A31" s="75"/>
      <c r="B31" s="78"/>
      <c r="C31" s="128"/>
      <c r="D31" s="79"/>
      <c r="E31" s="92"/>
    </row>
    <row r="32" spans="1:78" s="32" customFormat="1" x14ac:dyDescent="0.25">
      <c r="A32" s="72"/>
      <c r="B32" s="83"/>
      <c r="C32" s="130"/>
      <c r="D32" s="84"/>
      <c r="E32" s="96" t="str">
        <f xml:space="preserve"> InpR!E$13</f>
        <v>Last Pre Forecast Date</v>
      </c>
      <c r="F32" s="32">
        <f xml:space="preserve"> InpR!F$13</f>
        <v>43921</v>
      </c>
      <c r="G32" s="32" t="str">
        <f xml:space="preserve"> InpR!G$13</f>
        <v>date</v>
      </c>
    </row>
    <row r="33" spans="1:18" s="85" customFormat="1" x14ac:dyDescent="0.25">
      <c r="A33" s="75"/>
      <c r="B33" s="76"/>
      <c r="C33" s="127"/>
      <c r="D33" s="77"/>
      <c r="E33" s="97" t="str">
        <f t="shared" ref="E33:R33" si="9" xml:space="preserve"> E$23</f>
        <v>Model Period END</v>
      </c>
      <c r="F33" s="85">
        <f t="shared" si="9"/>
        <v>0</v>
      </c>
      <c r="G33" s="85" t="str">
        <f t="shared" si="9"/>
        <v>date</v>
      </c>
      <c r="H33" s="85">
        <f t="shared" si="9"/>
        <v>0</v>
      </c>
      <c r="I33" s="85">
        <f t="shared" si="9"/>
        <v>0</v>
      </c>
      <c r="J33" s="85">
        <f t="shared" si="9"/>
        <v>43190</v>
      </c>
      <c r="K33" s="85">
        <f t="shared" si="9"/>
        <v>43555</v>
      </c>
      <c r="L33" s="85">
        <f t="shared" si="9"/>
        <v>43921</v>
      </c>
      <c r="M33" s="85">
        <f t="shared" si="9"/>
        <v>44286</v>
      </c>
      <c r="N33" s="85">
        <f t="shared" si="9"/>
        <v>44651</v>
      </c>
      <c r="O33" s="85">
        <f t="shared" si="9"/>
        <v>45016</v>
      </c>
      <c r="P33" s="85">
        <f t="shared" si="9"/>
        <v>45382</v>
      </c>
      <c r="Q33" s="85">
        <f t="shared" si="9"/>
        <v>45747</v>
      </c>
      <c r="R33" s="85">
        <f t="shared" si="9"/>
        <v>46112</v>
      </c>
    </row>
    <row r="34" spans="1:18" x14ac:dyDescent="0.25">
      <c r="A34" s="49"/>
      <c r="B34" s="64"/>
      <c r="C34" s="124"/>
      <c r="E34" s="91" t="s">
        <v>390</v>
      </c>
      <c r="G34" s="7" t="s">
        <v>381</v>
      </c>
      <c r="H34" s="7">
        <f xml:space="preserve"> SUM(J34:BZ34)</f>
        <v>1</v>
      </c>
      <c r="J34" s="7">
        <f t="shared" ref="J34:R34" si="10" xml:space="preserve"> IF(J33 = $F32, 1, 0)</f>
        <v>0</v>
      </c>
      <c r="K34" s="7">
        <f t="shared" si="10"/>
        <v>0</v>
      </c>
      <c r="L34" s="7">
        <f t="shared" si="10"/>
        <v>1</v>
      </c>
      <c r="M34" s="7">
        <f t="shared" si="10"/>
        <v>0</v>
      </c>
      <c r="N34" s="7">
        <f t="shared" si="10"/>
        <v>0</v>
      </c>
      <c r="O34" s="7">
        <f t="shared" si="10"/>
        <v>0</v>
      </c>
      <c r="P34" s="7">
        <f t="shared" si="10"/>
        <v>0</v>
      </c>
      <c r="Q34" s="7">
        <f t="shared" si="10"/>
        <v>0</v>
      </c>
      <c r="R34" s="7">
        <f t="shared" si="10"/>
        <v>0</v>
      </c>
    </row>
    <row r="35" spans="1:18" x14ac:dyDescent="0.25">
      <c r="A35" s="49"/>
      <c r="B35" s="64"/>
      <c r="C35" s="124"/>
      <c r="E35" s="91" t="s">
        <v>391</v>
      </c>
      <c r="G35" s="7" t="s">
        <v>381</v>
      </c>
      <c r="H35" s="7">
        <f xml:space="preserve"> SUM(J35:BZ35)</f>
        <v>3</v>
      </c>
      <c r="J35" s="7">
        <f t="shared" ref="J35:R35" si="11" xml:space="preserve"> IF($F32 &gt;= J33, 1, 0)</f>
        <v>1</v>
      </c>
      <c r="K35" s="7">
        <f t="shared" si="11"/>
        <v>1</v>
      </c>
      <c r="L35" s="7">
        <f t="shared" si="11"/>
        <v>1</v>
      </c>
      <c r="M35" s="7">
        <f t="shared" si="11"/>
        <v>0</v>
      </c>
      <c r="N35" s="7">
        <f t="shared" si="11"/>
        <v>0</v>
      </c>
      <c r="O35" s="7">
        <f t="shared" si="11"/>
        <v>0</v>
      </c>
      <c r="P35" s="7">
        <f t="shared" si="11"/>
        <v>0</v>
      </c>
      <c r="Q35" s="7">
        <f t="shared" si="11"/>
        <v>0</v>
      </c>
      <c r="R35" s="7">
        <f t="shared" si="11"/>
        <v>0</v>
      </c>
    </row>
    <row r="36" spans="1:18" x14ac:dyDescent="0.25">
      <c r="A36" s="49"/>
      <c r="D36" s="57"/>
      <c r="E36" s="92" t="s">
        <v>392</v>
      </c>
      <c r="F36" s="21">
        <f xml:space="preserve"> SUM(J35:BZ35)</f>
        <v>3</v>
      </c>
      <c r="G36" s="7" t="s">
        <v>393</v>
      </c>
    </row>
    <row r="37" spans="1:18" x14ac:dyDescent="0.25">
      <c r="A37" s="49"/>
      <c r="D37" s="57"/>
      <c r="E37" s="92"/>
    </row>
    <row r="38" spans="1:18" s="36" customFormat="1" x14ac:dyDescent="0.25">
      <c r="A38" s="86"/>
      <c r="B38" s="73"/>
      <c r="C38" s="126"/>
      <c r="D38" s="74"/>
      <c r="E38" s="94" t="str">
        <f xml:space="preserve"> InpR!E$15</f>
        <v>Acquisition date (midnight)</v>
      </c>
      <c r="F38" s="36">
        <f xml:space="preserve"> InpR!F$15</f>
        <v>43921</v>
      </c>
      <c r="G38" s="36" t="str">
        <f xml:space="preserve"> InpR!G$15</f>
        <v>date</v>
      </c>
    </row>
    <row r="39" spans="1:18" s="85" customFormat="1" x14ac:dyDescent="0.25">
      <c r="A39" s="75"/>
      <c r="B39" s="76"/>
      <c r="C39" s="127"/>
      <c r="D39" s="77"/>
      <c r="E39" s="97" t="str">
        <f t="shared" ref="E39:R39" si="12" xml:space="preserve"> E$23</f>
        <v>Model Period END</v>
      </c>
      <c r="F39" s="85">
        <f t="shared" si="12"/>
        <v>0</v>
      </c>
      <c r="G39" s="85" t="str">
        <f t="shared" si="12"/>
        <v>date</v>
      </c>
      <c r="H39" s="85">
        <f t="shared" si="12"/>
        <v>0</v>
      </c>
      <c r="I39" s="85">
        <f t="shared" si="12"/>
        <v>0</v>
      </c>
      <c r="J39" s="85">
        <f t="shared" si="12"/>
        <v>43190</v>
      </c>
      <c r="K39" s="85">
        <f t="shared" si="12"/>
        <v>43555</v>
      </c>
      <c r="L39" s="85">
        <f t="shared" si="12"/>
        <v>43921</v>
      </c>
      <c r="M39" s="85">
        <f t="shared" si="12"/>
        <v>44286</v>
      </c>
      <c r="N39" s="85">
        <f t="shared" si="12"/>
        <v>44651</v>
      </c>
      <c r="O39" s="85">
        <f t="shared" si="12"/>
        <v>45016</v>
      </c>
      <c r="P39" s="85">
        <f t="shared" si="12"/>
        <v>45382</v>
      </c>
      <c r="Q39" s="85">
        <f t="shared" si="12"/>
        <v>45747</v>
      </c>
      <c r="R39" s="85">
        <f t="shared" si="12"/>
        <v>46112</v>
      </c>
    </row>
    <row r="40" spans="1:18" s="2" customFormat="1" x14ac:dyDescent="0.25">
      <c r="A40" s="49"/>
      <c r="B40" s="64"/>
      <c r="C40" s="124"/>
      <c r="D40" s="55"/>
      <c r="E40" s="98" t="s">
        <v>394</v>
      </c>
      <c r="G40" s="2" t="s">
        <v>381</v>
      </c>
      <c r="H40" s="2">
        <f xml:space="preserve"> SUM(J40:BZ40)</f>
        <v>1</v>
      </c>
      <c r="J40" s="2">
        <f t="shared" ref="J40:R40" si="13" xml:space="preserve"> IF(J39 = $F38, 1, 0)</f>
        <v>0</v>
      </c>
      <c r="K40" s="2">
        <f t="shared" si="13"/>
        <v>0</v>
      </c>
      <c r="L40" s="2">
        <f t="shared" si="13"/>
        <v>1</v>
      </c>
      <c r="M40" s="2">
        <f t="shared" si="13"/>
        <v>0</v>
      </c>
      <c r="N40" s="2">
        <f t="shared" si="13"/>
        <v>0</v>
      </c>
      <c r="O40" s="2">
        <f t="shared" si="13"/>
        <v>0</v>
      </c>
      <c r="P40" s="2">
        <f t="shared" si="13"/>
        <v>0</v>
      </c>
      <c r="Q40" s="2">
        <f t="shared" si="13"/>
        <v>0</v>
      </c>
      <c r="R40" s="2">
        <f t="shared" si="13"/>
        <v>0</v>
      </c>
    </row>
    <row r="41" spans="1:18" s="31" customFormat="1" x14ac:dyDescent="0.25">
      <c r="A41" s="75"/>
      <c r="B41" s="78"/>
      <c r="C41" s="128"/>
      <c r="D41" s="79"/>
      <c r="E41" s="92"/>
    </row>
    <row r="42" spans="1:18" s="31" customFormat="1" x14ac:dyDescent="0.25">
      <c r="A42" s="75"/>
      <c r="B42" s="78"/>
      <c r="C42" s="128"/>
      <c r="D42" s="79"/>
      <c r="E42" s="92"/>
    </row>
    <row r="43" spans="1:18" x14ac:dyDescent="0.25">
      <c r="A43" s="49" t="s">
        <v>395</v>
      </c>
      <c r="D43" s="57"/>
      <c r="E43" s="92"/>
    </row>
    <row r="44" spans="1:18" x14ac:dyDescent="0.25">
      <c r="A44" s="49"/>
      <c r="D44" s="57"/>
      <c r="E44" s="92"/>
    </row>
    <row r="45" spans="1:18" x14ac:dyDescent="0.25">
      <c r="E45" s="91" t="str">
        <f t="shared" ref="E45:R45" si="14" xml:space="preserve"> E$34</f>
        <v>Last Pre Forecast Flag</v>
      </c>
      <c r="F45" s="7">
        <f t="shared" si="14"/>
        <v>0</v>
      </c>
      <c r="G45" s="7" t="str">
        <f t="shared" si="14"/>
        <v>flag</v>
      </c>
      <c r="H45" s="7">
        <f t="shared" si="14"/>
        <v>1</v>
      </c>
      <c r="I45" s="7">
        <f t="shared" si="14"/>
        <v>0</v>
      </c>
      <c r="J45" s="7">
        <f t="shared" si="14"/>
        <v>0</v>
      </c>
      <c r="K45" s="7">
        <f t="shared" si="14"/>
        <v>0</v>
      </c>
      <c r="L45" s="7">
        <f t="shared" si="14"/>
        <v>1</v>
      </c>
      <c r="M45" s="7">
        <f t="shared" si="14"/>
        <v>0</v>
      </c>
      <c r="N45" s="7">
        <f t="shared" si="14"/>
        <v>0</v>
      </c>
      <c r="O45" s="7">
        <f t="shared" si="14"/>
        <v>0</v>
      </c>
      <c r="P45" s="7">
        <f t="shared" si="14"/>
        <v>0</v>
      </c>
      <c r="Q45" s="7">
        <f t="shared" si="14"/>
        <v>0</v>
      </c>
      <c r="R45" s="7">
        <f t="shared" si="14"/>
        <v>0</v>
      </c>
    </row>
    <row r="46" spans="1:18" x14ac:dyDescent="0.25">
      <c r="E46" s="91" t="s">
        <v>396</v>
      </c>
      <c r="G46" s="7" t="s">
        <v>381</v>
      </c>
      <c r="H46" s="7">
        <f xml:space="preserve"> SUM(J46:BZ46)</f>
        <v>1</v>
      </c>
      <c r="J46" s="7">
        <f t="shared" ref="J46:R46" si="15" xml:space="preserve"> I45</f>
        <v>0</v>
      </c>
      <c r="K46" s="7">
        <f t="shared" si="15"/>
        <v>0</v>
      </c>
      <c r="L46" s="7">
        <f t="shared" si="15"/>
        <v>0</v>
      </c>
      <c r="M46" s="7">
        <f t="shared" si="15"/>
        <v>1</v>
      </c>
      <c r="N46" s="7">
        <f t="shared" si="15"/>
        <v>0</v>
      </c>
      <c r="O46" s="7">
        <f t="shared" si="15"/>
        <v>0</v>
      </c>
      <c r="P46" s="7">
        <f t="shared" si="15"/>
        <v>0</v>
      </c>
      <c r="Q46" s="7">
        <f t="shared" si="15"/>
        <v>0</v>
      </c>
      <c r="R46" s="7">
        <f t="shared" si="15"/>
        <v>0</v>
      </c>
    </row>
    <row r="47" spans="1:18" x14ac:dyDescent="0.25"/>
    <row r="48" spans="1:18" s="32" customFormat="1" x14ac:dyDescent="0.25">
      <c r="A48" s="72"/>
      <c r="B48" s="83"/>
      <c r="C48" s="130"/>
      <c r="D48" s="84"/>
      <c r="E48" s="96" t="str">
        <f>InpR!E$17</f>
        <v>Last forecast date</v>
      </c>
      <c r="F48" s="32">
        <f>InpR!F$17</f>
        <v>45747</v>
      </c>
      <c r="G48" s="32" t="str">
        <f>InpR!G$17</f>
        <v>date</v>
      </c>
    </row>
    <row r="49" spans="1:78" x14ac:dyDescent="0.25">
      <c r="E49" s="99" t="str">
        <f t="shared" ref="E49:R49" si="16" xml:space="preserve"> E$23</f>
        <v>Model Period END</v>
      </c>
      <c r="F49" s="87">
        <f t="shared" si="16"/>
        <v>0</v>
      </c>
      <c r="G49" s="87" t="str">
        <f t="shared" si="16"/>
        <v>date</v>
      </c>
      <c r="H49" s="87">
        <f t="shared" si="16"/>
        <v>0</v>
      </c>
      <c r="I49" s="88">
        <f t="shared" si="16"/>
        <v>0</v>
      </c>
      <c r="J49" s="87">
        <f t="shared" si="16"/>
        <v>43190</v>
      </c>
      <c r="K49" s="87">
        <f t="shared" si="16"/>
        <v>43555</v>
      </c>
      <c r="L49" s="87">
        <f t="shared" si="16"/>
        <v>43921</v>
      </c>
      <c r="M49" s="87">
        <f t="shared" si="16"/>
        <v>44286</v>
      </c>
      <c r="N49" s="87">
        <f t="shared" si="16"/>
        <v>44651</v>
      </c>
      <c r="O49" s="87">
        <f t="shared" si="16"/>
        <v>45016</v>
      </c>
      <c r="P49" s="87">
        <f t="shared" si="16"/>
        <v>45382</v>
      </c>
      <c r="Q49" s="87">
        <f t="shared" si="16"/>
        <v>45747</v>
      </c>
      <c r="R49" s="87">
        <f t="shared" si="16"/>
        <v>46112</v>
      </c>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row>
    <row r="50" spans="1:78" x14ac:dyDescent="0.25">
      <c r="E50" s="92" t="s">
        <v>397</v>
      </c>
      <c r="G50" s="7" t="s">
        <v>381</v>
      </c>
      <c r="H50" s="7">
        <f xml:space="preserve"> SUM(J50:BZ50)</f>
        <v>1</v>
      </c>
      <c r="J50" s="7">
        <f t="shared" ref="J50:R50" si="17" xml:space="preserve"> IF(AND($F48 &gt; I49, $F48 &lt;= J49), 1, 0)</f>
        <v>0</v>
      </c>
      <c r="K50" s="7">
        <f t="shared" si="17"/>
        <v>0</v>
      </c>
      <c r="L50" s="7">
        <f t="shared" si="17"/>
        <v>0</v>
      </c>
      <c r="M50" s="7">
        <f t="shared" si="17"/>
        <v>0</v>
      </c>
      <c r="N50" s="7">
        <f t="shared" si="17"/>
        <v>0</v>
      </c>
      <c r="O50" s="7">
        <f t="shared" si="17"/>
        <v>0</v>
      </c>
      <c r="P50" s="7">
        <f t="shared" si="17"/>
        <v>0</v>
      </c>
      <c r="Q50" s="7">
        <f t="shared" si="17"/>
        <v>1</v>
      </c>
      <c r="R50" s="7">
        <f t="shared" si="17"/>
        <v>0</v>
      </c>
    </row>
    <row r="51" spans="1:78" x14ac:dyDescent="0.25">
      <c r="E51" s="92"/>
    </row>
    <row r="52" spans="1:78" x14ac:dyDescent="0.25">
      <c r="E52" s="92" t="str">
        <f t="shared" ref="E52:R52" si="18" xml:space="preserve"> E$46</f>
        <v>1st Forecast Period Flag</v>
      </c>
      <c r="F52" s="7">
        <f t="shared" si="18"/>
        <v>0</v>
      </c>
      <c r="G52" s="7" t="str">
        <f t="shared" si="18"/>
        <v>flag</v>
      </c>
      <c r="H52" s="7">
        <f t="shared" si="18"/>
        <v>1</v>
      </c>
      <c r="I52" s="7">
        <f t="shared" si="18"/>
        <v>0</v>
      </c>
      <c r="J52" s="7">
        <f t="shared" si="18"/>
        <v>0</v>
      </c>
      <c r="K52" s="7">
        <f t="shared" si="18"/>
        <v>0</v>
      </c>
      <c r="L52" s="7">
        <f t="shared" si="18"/>
        <v>0</v>
      </c>
      <c r="M52" s="7">
        <f t="shared" si="18"/>
        <v>1</v>
      </c>
      <c r="N52" s="7">
        <f t="shared" si="18"/>
        <v>0</v>
      </c>
      <c r="O52" s="7">
        <f t="shared" si="18"/>
        <v>0</v>
      </c>
      <c r="P52" s="7">
        <f t="shared" si="18"/>
        <v>0</v>
      </c>
      <c r="Q52" s="7">
        <f t="shared" si="18"/>
        <v>0</v>
      </c>
      <c r="R52" s="7">
        <f t="shared" si="18"/>
        <v>0</v>
      </c>
    </row>
    <row r="53" spans="1:78" x14ac:dyDescent="0.25">
      <c r="E53" s="92" t="str">
        <f t="shared" ref="E53:R53" si="19" xml:space="preserve"> E$50</f>
        <v>Last Forecast Period Flag</v>
      </c>
      <c r="F53" s="7">
        <f t="shared" si="19"/>
        <v>0</v>
      </c>
      <c r="G53" s="7" t="str">
        <f t="shared" si="19"/>
        <v>flag</v>
      </c>
      <c r="H53" s="7">
        <f t="shared" si="19"/>
        <v>1</v>
      </c>
      <c r="I53" s="12">
        <f t="shared" si="19"/>
        <v>0</v>
      </c>
      <c r="J53" s="7">
        <f t="shared" si="19"/>
        <v>0</v>
      </c>
      <c r="K53" s="7">
        <f t="shared" si="19"/>
        <v>0</v>
      </c>
      <c r="L53" s="7">
        <f t="shared" si="19"/>
        <v>0</v>
      </c>
      <c r="M53" s="7">
        <f t="shared" si="19"/>
        <v>0</v>
      </c>
      <c r="N53" s="7">
        <f t="shared" si="19"/>
        <v>0</v>
      </c>
      <c r="O53" s="7">
        <f t="shared" si="19"/>
        <v>0</v>
      </c>
      <c r="P53" s="7">
        <f t="shared" si="19"/>
        <v>0</v>
      </c>
      <c r="Q53" s="7">
        <f t="shared" si="19"/>
        <v>1</v>
      </c>
      <c r="R53" s="7">
        <f t="shared" si="19"/>
        <v>0</v>
      </c>
    </row>
    <row r="54" spans="1:78" s="34" customFormat="1" x14ac:dyDescent="0.25">
      <c r="A54" s="50"/>
      <c r="B54" s="61"/>
      <c r="C54" s="110"/>
      <c r="D54" s="55"/>
      <c r="E54" s="95" t="s">
        <v>398</v>
      </c>
      <c r="G54" s="34" t="s">
        <v>381</v>
      </c>
      <c r="H54" s="34">
        <f xml:space="preserve"> SUM(J54:BZ54)</f>
        <v>5</v>
      </c>
      <c r="I54" s="35"/>
      <c r="J54" s="34">
        <f t="shared" ref="J54:R54" si="20" xml:space="preserve"> J52 - I53 + I54</f>
        <v>0</v>
      </c>
      <c r="K54" s="34">
        <f t="shared" si="20"/>
        <v>0</v>
      </c>
      <c r="L54" s="34">
        <f t="shared" si="20"/>
        <v>0</v>
      </c>
      <c r="M54" s="34">
        <f t="shared" si="20"/>
        <v>1</v>
      </c>
      <c r="N54" s="34">
        <f t="shared" si="20"/>
        <v>1</v>
      </c>
      <c r="O54" s="34">
        <f t="shared" si="20"/>
        <v>1</v>
      </c>
      <c r="P54" s="34">
        <f t="shared" si="20"/>
        <v>1</v>
      </c>
      <c r="Q54" s="34">
        <f t="shared" si="20"/>
        <v>1</v>
      </c>
      <c r="R54" s="34">
        <f t="shared" si="20"/>
        <v>0</v>
      </c>
    </row>
    <row r="55" spans="1:78" x14ac:dyDescent="0.25">
      <c r="A55" s="49"/>
      <c r="D55" s="57"/>
      <c r="E55" s="92" t="s">
        <v>399</v>
      </c>
      <c r="F55" s="7">
        <f xml:space="preserve"> SUM(J54:BZ54)</f>
        <v>5</v>
      </c>
      <c r="G55" s="7" t="s">
        <v>393</v>
      </c>
    </row>
    <row r="56" spans="1:78" x14ac:dyDescent="0.25">
      <c r="A56" s="49"/>
      <c r="D56" s="57"/>
      <c r="E56" s="92"/>
    </row>
    <row r="57" spans="1:78" x14ac:dyDescent="0.25">
      <c r="A57" s="49"/>
      <c r="D57" s="57"/>
      <c r="E57" s="92" t="str">
        <f t="shared" ref="E57:R57" si="21" xml:space="preserve"> E$35</f>
        <v>Pre Forecast Period Flag</v>
      </c>
      <c r="F57" s="7">
        <f t="shared" si="21"/>
        <v>0</v>
      </c>
      <c r="G57" s="7" t="str">
        <f t="shared" si="21"/>
        <v>flag</v>
      </c>
      <c r="H57" s="7">
        <f t="shared" si="21"/>
        <v>3</v>
      </c>
      <c r="I57" s="7">
        <f t="shared" si="21"/>
        <v>0</v>
      </c>
      <c r="J57" s="7">
        <f t="shared" si="21"/>
        <v>1</v>
      </c>
      <c r="K57" s="7">
        <f t="shared" si="21"/>
        <v>1</v>
      </c>
      <c r="L57" s="7">
        <f t="shared" si="21"/>
        <v>1</v>
      </c>
      <c r="M57" s="7">
        <f t="shared" si="21"/>
        <v>0</v>
      </c>
      <c r="N57" s="7">
        <f t="shared" si="21"/>
        <v>0</v>
      </c>
      <c r="O57" s="7">
        <f t="shared" si="21"/>
        <v>0</v>
      </c>
      <c r="P57" s="7">
        <f t="shared" si="21"/>
        <v>0</v>
      </c>
      <c r="Q57" s="7">
        <f t="shared" si="21"/>
        <v>0</v>
      </c>
      <c r="R57" s="7">
        <f t="shared" si="21"/>
        <v>0</v>
      </c>
    </row>
    <row r="58" spans="1:78" x14ac:dyDescent="0.25">
      <c r="A58" s="49"/>
      <c r="D58" s="57"/>
      <c r="E58" s="92" t="str">
        <f t="shared" ref="E58:R58" si="22" xml:space="preserve"> E$54</f>
        <v>Forecast Period Flag</v>
      </c>
      <c r="F58" s="7">
        <f t="shared" si="22"/>
        <v>0</v>
      </c>
      <c r="G58" s="7" t="str">
        <f t="shared" si="22"/>
        <v>flag</v>
      </c>
      <c r="H58" s="7">
        <f t="shared" si="22"/>
        <v>5</v>
      </c>
      <c r="I58" s="7">
        <f t="shared" si="22"/>
        <v>0</v>
      </c>
      <c r="J58" s="7">
        <f t="shared" si="22"/>
        <v>0</v>
      </c>
      <c r="K58" s="7">
        <f t="shared" si="22"/>
        <v>0</v>
      </c>
      <c r="L58" s="7">
        <f t="shared" si="22"/>
        <v>0</v>
      </c>
      <c r="M58" s="7">
        <f t="shared" si="22"/>
        <v>1</v>
      </c>
      <c r="N58" s="7">
        <f t="shared" si="22"/>
        <v>1</v>
      </c>
      <c r="O58" s="7">
        <f t="shared" si="22"/>
        <v>1</v>
      </c>
      <c r="P58" s="7">
        <f t="shared" si="22"/>
        <v>1</v>
      </c>
      <c r="Q58" s="7">
        <f t="shared" si="22"/>
        <v>1</v>
      </c>
      <c r="R58" s="7">
        <f t="shared" si="22"/>
        <v>0</v>
      </c>
    </row>
    <row r="59" spans="1:78" x14ac:dyDescent="0.25">
      <c r="A59" s="49"/>
      <c r="D59" s="57"/>
      <c r="E59" s="92" t="s">
        <v>400</v>
      </c>
      <c r="G59" s="7" t="s">
        <v>381</v>
      </c>
      <c r="J59" s="7" t="str">
        <f t="shared" ref="J59:R59" si="23" xml:space="preserve"> IF(J57 = 1, "Pre Fcst", IF(J58 = 1, "Forecast", "Post-Fcst"))</f>
        <v>Pre Fcst</v>
      </c>
      <c r="K59" s="7" t="str">
        <f t="shared" si="23"/>
        <v>Pre Fcst</v>
      </c>
      <c r="L59" s="7" t="str">
        <f t="shared" si="23"/>
        <v>Pre Fcst</v>
      </c>
      <c r="M59" s="7" t="str">
        <f t="shared" si="23"/>
        <v>Forecast</v>
      </c>
      <c r="N59" s="7" t="str">
        <f t="shared" si="23"/>
        <v>Forecast</v>
      </c>
      <c r="O59" s="7" t="str">
        <f t="shared" si="23"/>
        <v>Forecast</v>
      </c>
      <c r="P59" s="7" t="str">
        <f t="shared" si="23"/>
        <v>Forecast</v>
      </c>
      <c r="Q59" s="7" t="str">
        <f t="shared" si="23"/>
        <v>Forecast</v>
      </c>
      <c r="R59" s="7" t="str">
        <f t="shared" si="23"/>
        <v>Post-Fcst</v>
      </c>
    </row>
    <row r="60" spans="1:78" x14ac:dyDescent="0.25">
      <c r="A60" s="49"/>
      <c r="D60" s="57"/>
      <c r="E60" s="92"/>
    </row>
    <row r="61" spans="1:78" x14ac:dyDescent="0.25">
      <c r="A61" s="49"/>
      <c r="D61" s="57"/>
      <c r="E61" s="92"/>
    </row>
    <row r="62" spans="1:78" x14ac:dyDescent="0.25">
      <c r="A62" s="49" t="s">
        <v>401</v>
      </c>
      <c r="D62" s="57"/>
      <c r="E62" s="92"/>
    </row>
    <row r="63" spans="1:78" x14ac:dyDescent="0.25">
      <c r="A63" s="49"/>
      <c r="D63" s="57"/>
      <c r="E63" s="92"/>
    </row>
    <row r="64" spans="1:78" x14ac:dyDescent="0.25">
      <c r="E64" s="95" t="str">
        <f t="shared" ref="E64:R64" si="24" xml:space="preserve"> E$50</f>
        <v>Last Forecast Period Flag</v>
      </c>
      <c r="F64" s="34">
        <f t="shared" si="24"/>
        <v>0</v>
      </c>
      <c r="G64" s="34" t="str">
        <f t="shared" si="24"/>
        <v>flag</v>
      </c>
      <c r="H64" s="34">
        <f t="shared" si="24"/>
        <v>1</v>
      </c>
      <c r="I64" s="12">
        <f t="shared" si="24"/>
        <v>0</v>
      </c>
      <c r="J64" s="34">
        <f t="shared" si="24"/>
        <v>0</v>
      </c>
      <c r="K64" s="34">
        <f t="shared" si="24"/>
        <v>0</v>
      </c>
      <c r="L64" s="34">
        <f t="shared" si="24"/>
        <v>0</v>
      </c>
      <c r="M64" s="34">
        <f t="shared" si="24"/>
        <v>0</v>
      </c>
      <c r="N64" s="34">
        <f t="shared" si="24"/>
        <v>0</v>
      </c>
      <c r="O64" s="34">
        <f t="shared" si="24"/>
        <v>0</v>
      </c>
      <c r="P64" s="34">
        <f t="shared" si="24"/>
        <v>0</v>
      </c>
      <c r="Q64" s="34">
        <f t="shared" si="24"/>
        <v>1</v>
      </c>
      <c r="R64" s="34">
        <f t="shared" si="24"/>
        <v>0</v>
      </c>
    </row>
    <row r="65" spans="1:18" x14ac:dyDescent="0.25">
      <c r="A65" s="49"/>
      <c r="D65" s="57"/>
      <c r="E65" s="92" t="s">
        <v>402</v>
      </c>
      <c r="G65" s="7" t="s">
        <v>381</v>
      </c>
      <c r="H65" s="7">
        <f xml:space="preserve"> SUM(J65:BZ65)</f>
        <v>1</v>
      </c>
      <c r="J65" s="7">
        <f t="shared" ref="J65:R65" si="25" xml:space="preserve"> I64</f>
        <v>0</v>
      </c>
      <c r="K65" s="7">
        <f t="shared" si="25"/>
        <v>0</v>
      </c>
      <c r="L65" s="7">
        <f t="shared" si="25"/>
        <v>0</v>
      </c>
      <c r="M65" s="7">
        <f t="shared" si="25"/>
        <v>0</v>
      </c>
      <c r="N65" s="7">
        <f t="shared" si="25"/>
        <v>0</v>
      </c>
      <c r="O65" s="7">
        <f t="shared" si="25"/>
        <v>0</v>
      </c>
      <c r="P65" s="7">
        <f t="shared" si="25"/>
        <v>0</v>
      </c>
      <c r="Q65" s="7">
        <f t="shared" si="25"/>
        <v>0</v>
      </c>
      <c r="R65" s="7">
        <f t="shared" si="25"/>
        <v>1</v>
      </c>
    </row>
    <row r="66" spans="1:18" x14ac:dyDescent="0.25">
      <c r="A66" s="49"/>
      <c r="D66" s="57"/>
      <c r="E66" s="92"/>
    </row>
    <row r="67" spans="1:18" x14ac:dyDescent="0.25">
      <c r="A67" s="49"/>
      <c r="D67" s="57"/>
      <c r="E67" s="92" t="str">
        <f t="shared" ref="E67:R67" si="26" xml:space="preserve"> E$65</f>
        <v>1st Post Last Forecast Period Flag</v>
      </c>
      <c r="F67" s="7">
        <f t="shared" si="26"/>
        <v>0</v>
      </c>
      <c r="G67" s="7" t="str">
        <f t="shared" si="26"/>
        <v>flag</v>
      </c>
      <c r="H67" s="7">
        <f t="shared" si="26"/>
        <v>1</v>
      </c>
      <c r="I67" s="7">
        <f t="shared" si="26"/>
        <v>0</v>
      </c>
      <c r="J67" s="7">
        <f t="shared" si="26"/>
        <v>0</v>
      </c>
      <c r="K67" s="7">
        <f t="shared" si="26"/>
        <v>0</v>
      </c>
      <c r="L67" s="7">
        <f t="shared" si="26"/>
        <v>0</v>
      </c>
      <c r="M67" s="7">
        <f t="shared" si="26"/>
        <v>0</v>
      </c>
      <c r="N67" s="7">
        <f t="shared" si="26"/>
        <v>0</v>
      </c>
      <c r="O67" s="7">
        <f t="shared" si="26"/>
        <v>0</v>
      </c>
      <c r="P67" s="7">
        <f t="shared" si="26"/>
        <v>0</v>
      </c>
      <c r="Q67" s="7">
        <f t="shared" si="26"/>
        <v>0</v>
      </c>
      <c r="R67" s="7">
        <f t="shared" si="26"/>
        <v>1</v>
      </c>
    </row>
    <row r="68" spans="1:18" x14ac:dyDescent="0.25">
      <c r="A68" s="49"/>
      <c r="D68" s="57"/>
      <c r="E68" s="92" t="s">
        <v>403</v>
      </c>
      <c r="G68" s="7" t="s">
        <v>381</v>
      </c>
      <c r="H68" s="7">
        <f xml:space="preserve"> SUM(J68:BZ68)</f>
        <v>1</v>
      </c>
      <c r="I68" s="12"/>
      <c r="J68" s="7">
        <f t="shared" ref="J68:R68" si="27" xml:space="preserve"> I68 + J67</f>
        <v>0</v>
      </c>
      <c r="K68" s="7">
        <f t="shared" si="27"/>
        <v>0</v>
      </c>
      <c r="L68" s="7">
        <f t="shared" si="27"/>
        <v>0</v>
      </c>
      <c r="M68" s="7">
        <f t="shared" si="27"/>
        <v>0</v>
      </c>
      <c r="N68" s="7">
        <f t="shared" si="27"/>
        <v>0</v>
      </c>
      <c r="O68" s="7">
        <f t="shared" si="27"/>
        <v>0</v>
      </c>
      <c r="P68" s="7">
        <f t="shared" si="27"/>
        <v>0</v>
      </c>
      <c r="Q68" s="7">
        <f t="shared" si="27"/>
        <v>0</v>
      </c>
      <c r="R68" s="7">
        <f t="shared" si="27"/>
        <v>1</v>
      </c>
    </row>
    <row r="69" spans="1:18" x14ac:dyDescent="0.25">
      <c r="A69" s="49"/>
      <c r="D69" s="57"/>
      <c r="E69" s="92" t="s">
        <v>404</v>
      </c>
      <c r="F69" s="7">
        <f xml:space="preserve"> SUM(J68:BZ68)</f>
        <v>1</v>
      </c>
      <c r="G69" s="7" t="s">
        <v>393</v>
      </c>
    </row>
    <row r="70" spans="1:18" x14ac:dyDescent="0.25"/>
    <row r="71" spans="1:18" x14ac:dyDescent="0.25"/>
    <row r="72" spans="1:18" x14ac:dyDescent="0.25">
      <c r="A72" s="49" t="s">
        <v>405</v>
      </c>
      <c r="D72" s="57"/>
      <c r="E72" s="92"/>
    </row>
    <row r="73" spans="1:18" x14ac:dyDescent="0.25"/>
    <row r="74" spans="1:18" x14ac:dyDescent="0.25">
      <c r="E74" s="91" t="str">
        <f xml:space="preserve"> E$12</f>
        <v>Model Column Total</v>
      </c>
      <c r="F74" s="7">
        <f xml:space="preserve"> F$12</f>
        <v>9</v>
      </c>
      <c r="G74" s="7" t="str">
        <f xml:space="preserve"> G$12</f>
        <v>column</v>
      </c>
    </row>
    <row r="75" spans="1:18" x14ac:dyDescent="0.25">
      <c r="D75" s="55" t="s">
        <v>386</v>
      </c>
      <c r="E75" s="91" t="str">
        <f xml:space="preserve"> E$36</f>
        <v>Pre Forecast Period Total</v>
      </c>
      <c r="F75" s="7">
        <f xml:space="preserve"> F$36</f>
        <v>3</v>
      </c>
      <c r="G75" s="7" t="str">
        <f xml:space="preserve"> G$36</f>
        <v>columns</v>
      </c>
    </row>
    <row r="76" spans="1:18" x14ac:dyDescent="0.25">
      <c r="D76" s="55" t="s">
        <v>386</v>
      </c>
      <c r="E76" s="91" t="str">
        <f xml:space="preserve"> E$55</f>
        <v xml:space="preserve">Forecast Period Total </v>
      </c>
      <c r="F76" s="7">
        <f xml:space="preserve"> F$55</f>
        <v>5</v>
      </c>
      <c r="G76" s="7" t="str">
        <f xml:space="preserve"> G$55</f>
        <v>columns</v>
      </c>
    </row>
    <row r="77" spans="1:18" x14ac:dyDescent="0.25">
      <c r="D77" s="55" t="s">
        <v>386</v>
      </c>
      <c r="E77" s="91" t="str">
        <f xml:space="preserve"> E$69</f>
        <v>Post Forecast Period Total</v>
      </c>
      <c r="F77" s="7">
        <f xml:space="preserve"> F$69</f>
        <v>1</v>
      </c>
      <c r="G77" s="7" t="str">
        <f xml:space="preserve"> G$69</f>
        <v>columns</v>
      </c>
    </row>
    <row r="78" spans="1:18" x14ac:dyDescent="0.25">
      <c r="A78" s="49"/>
      <c r="D78" s="57"/>
      <c r="E78" s="92" t="s">
        <v>406</v>
      </c>
      <c r="F78" s="33">
        <f xml:space="preserve"> IF(F74 - SUM(F75:F77) &lt;&gt; 0, 1, 0)</f>
        <v>0</v>
      </c>
      <c r="G78" s="7" t="s">
        <v>407</v>
      </c>
    </row>
    <row r="79" spans="1:18" x14ac:dyDescent="0.25"/>
    <row r="80" spans="1:18" x14ac:dyDescent="0.25">
      <c r="A80" s="133" t="s">
        <v>408</v>
      </c>
      <c r="D80" s="57"/>
      <c r="E80" s="92"/>
    </row>
    <row r="81" spans="1:18" x14ac:dyDescent="0.25"/>
    <row r="82" spans="1:18" x14ac:dyDescent="0.25">
      <c r="E82" s="96" t="str">
        <f>InpR!E$22</f>
        <v>First Modelling Column Financial Year Number</v>
      </c>
      <c r="F82" s="4">
        <f>InpR!F$22</f>
        <v>2018</v>
      </c>
      <c r="G82" s="101" t="str">
        <f>InpR!G$22</f>
        <v>year</v>
      </c>
    </row>
    <row r="83" spans="1:18" x14ac:dyDescent="0.25">
      <c r="E83" s="96" t="str">
        <f>InpR!E$23</f>
        <v>Financial Year End Month Number</v>
      </c>
      <c r="F83" s="273">
        <f>InpR!F$23</f>
        <v>3</v>
      </c>
      <c r="G83" s="101" t="str">
        <f>InpR!G$23</f>
        <v>month #</v>
      </c>
    </row>
    <row r="84" spans="1:18" s="17" customFormat="1" x14ac:dyDescent="0.25">
      <c r="A84" s="89"/>
      <c r="B84" s="78"/>
      <c r="C84" s="128"/>
      <c r="D84" s="77"/>
      <c r="E84" s="91" t="str">
        <f t="shared" ref="E84:R84" si="28" xml:space="preserve"> E$23</f>
        <v>Model Period END</v>
      </c>
      <c r="F84" s="17">
        <f t="shared" si="28"/>
        <v>0</v>
      </c>
      <c r="G84" s="17" t="str">
        <f t="shared" si="28"/>
        <v>date</v>
      </c>
      <c r="H84" s="17">
        <f t="shared" si="28"/>
        <v>0</v>
      </c>
      <c r="I84" s="17">
        <f t="shared" si="28"/>
        <v>0</v>
      </c>
      <c r="J84" s="17">
        <f t="shared" si="28"/>
        <v>43190</v>
      </c>
      <c r="K84" s="17">
        <f t="shared" si="28"/>
        <v>43555</v>
      </c>
      <c r="L84" s="17">
        <f t="shared" si="28"/>
        <v>43921</v>
      </c>
      <c r="M84" s="17">
        <f t="shared" si="28"/>
        <v>44286</v>
      </c>
      <c r="N84" s="17">
        <f t="shared" si="28"/>
        <v>44651</v>
      </c>
      <c r="O84" s="17">
        <f t="shared" si="28"/>
        <v>45016</v>
      </c>
      <c r="P84" s="17">
        <f t="shared" si="28"/>
        <v>45382</v>
      </c>
      <c r="Q84" s="17">
        <f t="shared" si="28"/>
        <v>45747</v>
      </c>
      <c r="R84" s="17">
        <f t="shared" si="28"/>
        <v>46112</v>
      </c>
    </row>
    <row r="85" spans="1:18" x14ac:dyDescent="0.25">
      <c r="E85" s="91" t="str">
        <f t="shared" ref="E85:R85" si="29" xml:space="preserve"> E$15</f>
        <v>First model column flag</v>
      </c>
      <c r="F85" s="7">
        <f t="shared" si="29"/>
        <v>0</v>
      </c>
      <c r="G85" s="7" t="str">
        <f t="shared" si="29"/>
        <v>flag</v>
      </c>
      <c r="H85" s="7">
        <f t="shared" si="29"/>
        <v>1</v>
      </c>
      <c r="I85" s="7">
        <f t="shared" si="29"/>
        <v>0</v>
      </c>
      <c r="J85" s="7">
        <f t="shared" si="29"/>
        <v>1</v>
      </c>
      <c r="K85" s="7">
        <f t="shared" si="29"/>
        <v>0</v>
      </c>
      <c r="L85" s="7">
        <f t="shared" si="29"/>
        <v>0</v>
      </c>
      <c r="M85" s="7">
        <f t="shared" si="29"/>
        <v>0</v>
      </c>
      <c r="N85" s="7">
        <f t="shared" si="29"/>
        <v>0</v>
      </c>
      <c r="O85" s="7">
        <f t="shared" si="29"/>
        <v>0</v>
      </c>
      <c r="P85" s="7">
        <f t="shared" si="29"/>
        <v>0</v>
      </c>
      <c r="Q85" s="7">
        <f t="shared" si="29"/>
        <v>0</v>
      </c>
      <c r="R85" s="7">
        <f t="shared" si="29"/>
        <v>0</v>
      </c>
    </row>
    <row r="86" spans="1:18" x14ac:dyDescent="0.25">
      <c r="E86" s="91" t="s">
        <v>409</v>
      </c>
      <c r="G86" s="7" t="s">
        <v>410</v>
      </c>
      <c r="I86" s="12"/>
      <c r="J86" s="7">
        <f xml:space="preserve"> IF(J85 = 1, $F82, IF(J84 &gt; (DATE(I86, $F83 + 1, 1) - 1), I86 + 1, I86))</f>
        <v>2018</v>
      </c>
      <c r="K86" s="7">
        <f t="shared" ref="K86:R86" si="30" xml:space="preserve"> IF(K85 = 1, $F82, IF(K84 &gt; (DATE(J86, $F83 + 1, 1) - 1), J86 + 1, J86))</f>
        <v>2019</v>
      </c>
      <c r="L86" s="7">
        <f t="shared" si="30"/>
        <v>2020</v>
      </c>
      <c r="M86" s="7">
        <f t="shared" si="30"/>
        <v>2021</v>
      </c>
      <c r="N86" s="7">
        <f t="shared" si="30"/>
        <v>2022</v>
      </c>
      <c r="O86" s="7">
        <f t="shared" si="30"/>
        <v>2023</v>
      </c>
      <c r="P86" s="7">
        <f t="shared" si="30"/>
        <v>2024</v>
      </c>
      <c r="Q86" s="7">
        <f t="shared" si="30"/>
        <v>2025</v>
      </c>
      <c r="R86" s="7">
        <f t="shared" si="30"/>
        <v>2026</v>
      </c>
    </row>
    <row r="87" spans="1:18" x14ac:dyDescent="0.25"/>
    <row r="88" spans="1:18" x14ac:dyDescent="0.25"/>
    <row r="89" spans="1:18" s="1" customFormat="1" x14ac:dyDescent="0.3">
      <c r="A89" s="10" t="s">
        <v>62</v>
      </c>
    </row>
    <row r="90" spans="1:18" x14ac:dyDescent="0.25"/>
  </sheetData>
  <conditionalFormatting sqref="F2">
    <cfRule type="cellIs" dxfId="70" priority="2" stopIfTrue="1" operator="notEqual">
      <formula>0</formula>
    </cfRule>
    <cfRule type="cellIs" dxfId="69" priority="3" stopIfTrue="1" operator="equal">
      <formula>""</formula>
    </cfRule>
  </conditionalFormatting>
  <conditionalFormatting sqref="F78">
    <cfRule type="cellIs" dxfId="68" priority="13" stopIfTrue="1" operator="notEqual">
      <formula>0</formula>
    </cfRule>
    <cfRule type="cellIs" dxfId="67" priority="14" stopIfTrue="1" operator="equal">
      <formula>""</formula>
    </cfRule>
  </conditionalFormatting>
  <conditionalFormatting sqref="J3:BZ3">
    <cfRule type="cellIs" dxfId="66" priority="10" operator="equal">
      <formula>"Post-Fcst"</formula>
    </cfRule>
    <cfRule type="cellIs" dxfId="65" priority="11" operator="equal">
      <formula>"Forecast"</formula>
    </cfRule>
    <cfRule type="cellIs" dxfId="64" priority="12" operator="equal">
      <formula>"Pre Fcst"</formula>
    </cfRule>
  </conditionalFormatting>
  <pageMargins left="0.70866141732283472" right="0.70866141732283472" top="0.74803149606299213" bottom="0.74803149606299213" header="0.31496062992125984" footer="0.31496062992125984"/>
  <pageSetup paperSize="8" scale="79" fitToHeight="0" orientation="landscape" r:id="rId1"/>
  <headerFooter>
    <oddHeader>&amp;L&amp;F&amp;CSheet: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4433C-E8EF-45D3-A3E8-A1440EF442E0}">
  <sheetPr codeName="Sheet10">
    <outlinePr summaryBelow="0" summaryRight="0"/>
    <pageSetUpPr fitToPage="1"/>
  </sheetPr>
  <dimension ref="A1:DB139"/>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453125" style="50" customWidth="1"/>
    <col min="2" max="2" width="1.453125" style="61" customWidth="1"/>
    <col min="3" max="3" width="1.453125" style="110" customWidth="1"/>
    <col min="4" max="4" width="1.453125" style="55" customWidth="1"/>
    <col min="5" max="5" width="40.54296875" style="91" customWidth="1"/>
    <col min="6" max="6" width="12.54296875" style="7" customWidth="1"/>
    <col min="7" max="7" width="11.54296875" style="7" customWidth="1"/>
    <col min="8" max="8" width="51.81640625" style="7" bestFit="1" customWidth="1"/>
    <col min="9" max="9" width="2.54296875" style="7" customWidth="1"/>
    <col min="10" max="18" width="11.54296875" style="7" customWidth="1"/>
    <col min="19" max="78" width="11.54296875" style="7" hidden="1" customWidth="1"/>
    <col min="79" max="106" width="0" style="7" hidden="1" customWidth="1"/>
    <col min="107" max="16384" width="9.1796875" style="7" hidden="1"/>
  </cols>
  <sheetData>
    <row r="1" spans="1:78" s="122" customFormat="1" ht="25" x14ac:dyDescent="0.5">
      <c r="A1" s="118" t="str">
        <f ca="1" xml:space="preserve"> RIGHT(CELL("filename", $A$1), LEN(CELL("filename", $A$1)) - SEARCH("]", CELL("filename", $A$1)))</f>
        <v>Index</v>
      </c>
      <c r="C1" s="132"/>
      <c r="E1" s="131"/>
    </row>
    <row r="2" spans="1:78"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25">
      <c r="A4" s="24"/>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row>
    <row r="5" spans="1:78" s="11" customFormat="1" x14ac:dyDescent="0.25">
      <c r="A5" s="24"/>
      <c r="B5" s="60"/>
      <c r="C5" s="109"/>
      <c r="D5" s="54"/>
      <c r="E5" s="21"/>
      <c r="F5" s="21"/>
      <c r="G5" s="226"/>
      <c r="H5" s="21"/>
      <c r="I5" s="21"/>
      <c r="J5" s="7"/>
      <c r="K5" s="7"/>
      <c r="L5" s="7"/>
      <c r="M5" s="7"/>
      <c r="N5" s="7"/>
      <c r="O5" s="7"/>
      <c r="P5" s="7"/>
      <c r="Q5" s="7"/>
      <c r="R5" s="7"/>
    </row>
    <row r="6" spans="1:78"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7" spans="1:78" x14ac:dyDescent="0.25"/>
    <row r="8" spans="1:78" x14ac:dyDescent="0.25"/>
    <row r="9" spans="1:78" x14ac:dyDescent="0.25">
      <c r="A9" s="274" t="s">
        <v>411</v>
      </c>
      <c r="B9" s="275"/>
      <c r="C9" s="276"/>
      <c r="D9" s="276"/>
      <c r="E9" s="276"/>
      <c r="F9" s="276"/>
      <c r="G9" s="276"/>
      <c r="H9" s="276"/>
      <c r="I9" s="276"/>
      <c r="J9" s="276"/>
      <c r="K9" s="276"/>
      <c r="L9" s="276"/>
      <c r="M9" s="276"/>
      <c r="N9" s="276"/>
      <c r="O9" s="276"/>
      <c r="P9" s="276"/>
      <c r="Q9" s="276"/>
      <c r="R9" s="276"/>
    </row>
    <row r="10" spans="1:78" x14ac:dyDescent="0.25">
      <c r="B10" s="61" t="s">
        <v>305</v>
      </c>
      <c r="C10" s="116"/>
      <c r="E10" s="92"/>
    </row>
    <row r="11" spans="1:78" s="65" customFormat="1" x14ac:dyDescent="0.25">
      <c r="A11" s="50"/>
      <c r="B11" s="61"/>
      <c r="C11" s="116"/>
      <c r="D11" s="53"/>
      <c r="E11" s="230" t="str">
        <f xml:space="preserve"> InpR!E$27</f>
        <v>RPI: April - index - final determination</v>
      </c>
      <c r="F11" s="230"/>
      <c r="G11" s="230" t="str">
        <f xml:space="preserve"> InpR!G$27</f>
        <v>index</v>
      </c>
      <c r="H11" s="230"/>
      <c r="I11" s="230"/>
      <c r="J11" s="230">
        <f xml:space="preserve"> InpR!J$27</f>
        <v>0</v>
      </c>
      <c r="K11" s="230">
        <f xml:space="preserve"> InpR!K$27</f>
        <v>279.7</v>
      </c>
      <c r="L11" s="230">
        <f xml:space="preserve"> InpR!L$27</f>
        <v>288.2</v>
      </c>
      <c r="M11" s="230">
        <f xml:space="preserve"> InpR!M$27</f>
        <v>296.81994379694203</v>
      </c>
      <c r="N11" s="230">
        <f xml:space="preserve"> InpR!N$27</f>
        <v>305.32865399748601</v>
      </c>
      <c r="O11" s="230">
        <f xml:space="preserve"> InpR!O$27</f>
        <v>314.691934446201</v>
      </c>
      <c r="P11" s="230">
        <f xml:space="preserve"> InpR!P$27</f>
        <v>324.76207634847901</v>
      </c>
      <c r="Q11" s="230">
        <f xml:space="preserve"> InpR!Q$27</f>
        <v>335.15446279163098</v>
      </c>
      <c r="R11" s="230">
        <f xml:space="preserve"> InpR!R$27</f>
        <v>345.20909667538001</v>
      </c>
    </row>
    <row r="12" spans="1:78" s="65" customFormat="1" x14ac:dyDescent="0.25">
      <c r="A12" s="50"/>
      <c r="B12" s="61"/>
      <c r="C12" s="116"/>
      <c r="D12" s="53"/>
      <c r="E12" s="230" t="str">
        <f xml:space="preserve"> InpR!E$28</f>
        <v>RPI: May - index - final determination</v>
      </c>
      <c r="F12" s="230"/>
      <c r="G12" s="230" t="str">
        <f xml:space="preserve"> InpR!G$28</f>
        <v>index</v>
      </c>
      <c r="H12" s="230"/>
      <c r="I12" s="230"/>
      <c r="J12" s="230">
        <f xml:space="preserve"> InpR!J$28</f>
        <v>0</v>
      </c>
      <c r="K12" s="230">
        <f xml:space="preserve"> InpR!K$28</f>
        <v>280.7</v>
      </c>
      <c r="L12" s="230">
        <f xml:space="preserve"> InpR!L$28</f>
        <v>289.2</v>
      </c>
      <c r="M12" s="230">
        <f xml:space="preserve"> InpR!M$28</f>
        <v>297.50379137925398</v>
      </c>
      <c r="N12" s="230">
        <f xml:space="preserve"> InpR!N$28</f>
        <v>306.08167682745898</v>
      </c>
      <c r="O12" s="230">
        <f xml:space="preserve"> InpR!O$28</f>
        <v>315.51905088813697</v>
      </c>
      <c r="P12" s="230">
        <f xml:space="preserve"> InpR!P$28</f>
        <v>325.61566051655802</v>
      </c>
      <c r="Q12" s="230">
        <f xml:space="preserve"> InpR!Q$28</f>
        <v>336.03536165308702</v>
      </c>
      <c r="R12" s="230">
        <f xml:space="preserve"> InpR!R$28</f>
        <v>346.11642250268</v>
      </c>
    </row>
    <row r="13" spans="1:78" s="65" customFormat="1" x14ac:dyDescent="0.25">
      <c r="A13" s="50"/>
      <c r="B13" s="61"/>
      <c r="C13" s="116"/>
      <c r="D13" s="53"/>
      <c r="E13" s="230" t="str">
        <f xml:space="preserve"> InpR!E$29</f>
        <v>RPI: June - index - final determination</v>
      </c>
      <c r="F13" s="230"/>
      <c r="G13" s="230" t="str">
        <f xml:space="preserve"> InpR!G$29</f>
        <v>index</v>
      </c>
      <c r="H13" s="230"/>
      <c r="I13" s="230"/>
      <c r="J13" s="230">
        <f xml:space="preserve"> InpR!J$29</f>
        <v>0</v>
      </c>
      <c r="K13" s="230">
        <f xml:space="preserve"> InpR!K$29</f>
        <v>281.5</v>
      </c>
      <c r="L13" s="230">
        <f xml:space="preserve"> InpR!L$29</f>
        <v>289.60000000000002</v>
      </c>
      <c r="M13" s="230">
        <f xml:space="preserve"> InpR!M$29</f>
        <v>298.18921448748898</v>
      </c>
      <c r="N13" s="230">
        <f xml:space="preserve"> InpR!N$29</f>
        <v>306.83655681487397</v>
      </c>
      <c r="O13" s="230">
        <f xml:space="preserve"> InpR!O$29</f>
        <v>316.34834127078699</v>
      </c>
      <c r="P13" s="230">
        <f xml:space="preserve"> InpR!P$29</f>
        <v>326.47148819145201</v>
      </c>
      <c r="Q13" s="230">
        <f xml:space="preserve"> InpR!Q$29</f>
        <v>336.91857581357903</v>
      </c>
      <c r="R13" s="230">
        <f xml:space="preserve"> InpR!R$29</f>
        <v>347.02613308798601</v>
      </c>
    </row>
    <row r="14" spans="1:78" s="65" customFormat="1" x14ac:dyDescent="0.25">
      <c r="A14" s="50"/>
      <c r="B14" s="61"/>
      <c r="C14" s="116"/>
      <c r="D14" s="53"/>
      <c r="E14" s="230" t="str">
        <f xml:space="preserve"> InpR!E$30</f>
        <v>RPI: July - index - final determination</v>
      </c>
      <c r="F14" s="230"/>
      <c r="G14" s="230" t="str">
        <f xml:space="preserve"> InpR!G$30</f>
        <v>index</v>
      </c>
      <c r="H14" s="230"/>
      <c r="I14" s="230"/>
      <c r="J14" s="230">
        <f xml:space="preserve"> InpR!J$30</f>
        <v>0</v>
      </c>
      <c r="K14" s="230">
        <f xml:space="preserve"> InpR!K$30</f>
        <v>281.7</v>
      </c>
      <c r="L14" s="230">
        <f xml:space="preserve"> InpR!L$30</f>
        <v>289.5</v>
      </c>
      <c r="M14" s="230">
        <f xml:space="preserve"> InpR!M$30</f>
        <v>298.87621675152297</v>
      </c>
      <c r="N14" s="230">
        <f xml:space="preserve"> InpR!N$30</f>
        <v>307.593298539984</v>
      </c>
      <c r="O14" s="230">
        <f xml:space="preserve"> InpR!O$30</f>
        <v>317.17981130799899</v>
      </c>
      <c r="P14" s="230">
        <f xml:space="preserve"> InpR!P$30</f>
        <v>327.32956526985498</v>
      </c>
      <c r="Q14" s="230">
        <f xml:space="preserve"> InpR!Q$30</f>
        <v>337.80411135849101</v>
      </c>
      <c r="R14" s="230">
        <f xml:space="preserve"> InpR!R$30</f>
        <v>347.93823469924502</v>
      </c>
    </row>
    <row r="15" spans="1:78" s="65" customFormat="1" x14ac:dyDescent="0.25">
      <c r="A15" s="50"/>
      <c r="B15" s="61"/>
      <c r="C15" s="116"/>
      <c r="D15" s="53"/>
      <c r="E15" s="230" t="str">
        <f xml:space="preserve"> InpR!E$31</f>
        <v>RPI: August - index - final determination</v>
      </c>
      <c r="F15" s="230"/>
      <c r="G15" s="230" t="str">
        <f xml:space="preserve"> InpR!G$31</f>
        <v>index</v>
      </c>
      <c r="H15" s="230"/>
      <c r="I15" s="230"/>
      <c r="J15" s="230">
        <f xml:space="preserve"> InpR!J$31</f>
        <v>0</v>
      </c>
      <c r="K15" s="230">
        <f xml:space="preserve"> InpR!K$31</f>
        <v>284.2</v>
      </c>
      <c r="L15" s="230">
        <f xml:space="preserve"> InpR!L$31</f>
        <v>291.5</v>
      </c>
      <c r="M15" s="230">
        <f xml:space="preserve"> InpR!M$31</f>
        <v>299.56480180959397</v>
      </c>
      <c r="N15" s="230">
        <f xml:space="preserve"> InpR!N$31</f>
        <v>308.35190659433698</v>
      </c>
      <c r="O15" s="230">
        <f xml:space="preserve"> InpR!O$31</f>
        <v>318.01346672864003</v>
      </c>
      <c r="P15" s="230">
        <f xml:space="preserve"> InpR!P$31</f>
        <v>328.18989766395703</v>
      </c>
      <c r="Q15" s="230">
        <f xml:space="preserve"> InpR!Q$31</f>
        <v>338.69197438920298</v>
      </c>
      <c r="R15" s="230">
        <f xml:space="preserve"> InpR!R$31</f>
        <v>348.85273362087997</v>
      </c>
    </row>
    <row r="16" spans="1:78" s="65" customFormat="1" x14ac:dyDescent="0.25">
      <c r="A16" s="50"/>
      <c r="B16" s="61"/>
      <c r="C16" s="116"/>
      <c r="D16" s="53"/>
      <c r="E16" s="230" t="str">
        <f xml:space="preserve"> InpR!E$32</f>
        <v>RPI: September - index - final determination</v>
      </c>
      <c r="F16" s="230"/>
      <c r="G16" s="230" t="str">
        <f xml:space="preserve"> InpR!G$32</f>
        <v>index</v>
      </c>
      <c r="H16" s="230"/>
      <c r="I16" s="230"/>
      <c r="J16" s="230">
        <f xml:space="preserve"> InpR!J$32</f>
        <v>0</v>
      </c>
      <c r="K16" s="230">
        <f xml:space="preserve"> InpR!K$32</f>
        <v>284.10000000000002</v>
      </c>
      <c r="L16" s="230">
        <f xml:space="preserve"> InpR!L$32</f>
        <v>292.14789585630501</v>
      </c>
      <c r="M16" s="230">
        <f xml:space="preserve"> InpR!M$32</f>
        <v>300.254973308324</v>
      </c>
      <c r="N16" s="230">
        <f xml:space="preserve"> InpR!N$32</f>
        <v>309.11238558080299</v>
      </c>
      <c r="O16" s="230">
        <f xml:space="preserve"> InpR!O$32</f>
        <v>318.84931327663401</v>
      </c>
      <c r="P16" s="230">
        <f xml:space="preserve"> InpR!P$32</f>
        <v>329.05249130148701</v>
      </c>
      <c r="Q16" s="230">
        <f xml:space="preserve"> InpR!Q$32</f>
        <v>339.58217102313398</v>
      </c>
      <c r="R16" s="230">
        <f xml:space="preserve"> InpR!R$32</f>
        <v>349.769636153828</v>
      </c>
    </row>
    <row r="17" spans="1:18" s="65" customFormat="1" x14ac:dyDescent="0.25">
      <c r="A17" s="50"/>
      <c r="B17" s="61"/>
      <c r="C17" s="116"/>
      <c r="D17" s="53"/>
      <c r="E17" s="230" t="str">
        <f xml:space="preserve"> InpR!E$33</f>
        <v>RPI: October - index - final determination</v>
      </c>
      <c r="F17" s="230"/>
      <c r="G17" s="230" t="str">
        <f xml:space="preserve"> InpR!G$33</f>
        <v>index</v>
      </c>
      <c r="H17" s="230"/>
      <c r="I17" s="230"/>
      <c r="J17" s="230">
        <f xml:space="preserve"> InpR!J$33</f>
        <v>0</v>
      </c>
      <c r="K17" s="230">
        <f xml:space="preserve"> InpR!K$33</f>
        <v>284.5</v>
      </c>
      <c r="L17" s="230">
        <f xml:space="preserve"> InpR!L$33</f>
        <v>292.79723174362402</v>
      </c>
      <c r="M17" s="230">
        <f xml:space="preserve"> InpR!M$33</f>
        <v>300.94673490273601</v>
      </c>
      <c r="N17" s="230">
        <f xml:space="preserve"> InpR!N$33</f>
        <v>309.87474011360501</v>
      </c>
      <c r="O17" s="230">
        <f xml:space="preserve"> InpR!O$33</f>
        <v>319.687356711002</v>
      </c>
      <c r="P17" s="230">
        <f xml:space="preserve"> InpR!P$33</f>
        <v>329.91735212575401</v>
      </c>
      <c r="Q17" s="230">
        <f xml:space="preserve"> InpR!Q$33</f>
        <v>340.474707393779</v>
      </c>
      <c r="R17" s="230">
        <f xml:space="preserve"> InpR!R$33</f>
        <v>350.68894861559198</v>
      </c>
    </row>
    <row r="18" spans="1:18" s="65" customFormat="1" x14ac:dyDescent="0.25">
      <c r="A18" s="50"/>
      <c r="B18" s="61"/>
      <c r="C18" s="116"/>
      <c r="D18" s="53"/>
      <c r="E18" s="230" t="str">
        <f xml:space="preserve"> InpR!E$34</f>
        <v>RPI: November - index - final determination</v>
      </c>
      <c r="F18" s="230"/>
      <c r="G18" s="230" t="str">
        <f xml:space="preserve"> InpR!G$34</f>
        <v>index</v>
      </c>
      <c r="H18" s="230"/>
      <c r="I18" s="230"/>
      <c r="J18" s="230">
        <f xml:space="preserve"> InpR!J$34</f>
        <v>0</v>
      </c>
      <c r="K18" s="230">
        <f xml:space="preserve"> InpR!K$34</f>
        <v>284.60000000000002</v>
      </c>
      <c r="L18" s="230">
        <f xml:space="preserve"> InpR!L$34</f>
        <v>293.44801086260998</v>
      </c>
      <c r="M18" s="230">
        <f xml:space="preserve"> InpR!M$34</f>
        <v>301.640090256272</v>
      </c>
      <c r="N18" s="230">
        <f xml:space="preserve"> InpR!N$34</f>
        <v>310.638974818348</v>
      </c>
      <c r="O18" s="230">
        <f xml:space="preserve"> InpR!O$34</f>
        <v>320.52760280590201</v>
      </c>
      <c r="P18" s="230">
        <f xml:space="preserve"> InpR!P$34</f>
        <v>330.78448609569102</v>
      </c>
      <c r="Q18" s="230">
        <f xml:space="preserve"> InpR!Q$34</f>
        <v>341.36958965075303</v>
      </c>
      <c r="R18" s="230">
        <f xml:space="preserve"> InpR!R$34</f>
        <v>351.61067734027603</v>
      </c>
    </row>
    <row r="19" spans="1:18" s="65" customFormat="1" x14ac:dyDescent="0.25">
      <c r="A19" s="50"/>
      <c r="B19" s="61"/>
      <c r="C19" s="116"/>
      <c r="D19" s="53"/>
      <c r="E19" s="230" t="str">
        <f xml:space="preserve"> InpR!E$35</f>
        <v>RPI: December - index - final determination</v>
      </c>
      <c r="F19" s="230"/>
      <c r="G19" s="230" t="str">
        <f xml:space="preserve"> InpR!G$35</f>
        <v>index</v>
      </c>
      <c r="H19" s="230"/>
      <c r="I19" s="230"/>
      <c r="J19" s="230">
        <f xml:space="preserve"> InpR!J$35</f>
        <v>0</v>
      </c>
      <c r="K19" s="230">
        <f xml:space="preserve"> InpR!K$35</f>
        <v>285.60000000000002</v>
      </c>
      <c r="L19" s="230">
        <f xml:space="preserve"> InpR!L$35</f>
        <v>294.100236421028</v>
      </c>
      <c r="M19" s="230">
        <f xml:space="preserve"> InpR!M$35</f>
        <v>302.33504304081703</v>
      </c>
      <c r="N19" s="230">
        <f xml:space="preserve"> InpR!N$35</f>
        <v>311.40509433204198</v>
      </c>
      <c r="O19" s="230">
        <f xml:space="preserve"> InpR!O$35</f>
        <v>321.37005735066703</v>
      </c>
      <c r="P19" s="230">
        <f xml:space="preserve"> InpR!P$35</f>
        <v>331.65389918588897</v>
      </c>
      <c r="Q19" s="230">
        <f xml:space="preserve"> InpR!Q$35</f>
        <v>342.26682395983698</v>
      </c>
      <c r="R19" s="230">
        <f xml:space="preserve"> InpR!R$35</f>
        <v>352.53482867863198</v>
      </c>
    </row>
    <row r="20" spans="1:18" s="65" customFormat="1" x14ac:dyDescent="0.25">
      <c r="A20" s="50"/>
      <c r="B20" s="61"/>
      <c r="C20" s="116"/>
      <c r="D20" s="53"/>
      <c r="E20" s="230" t="str">
        <f xml:space="preserve"> InpR!E$36</f>
        <v>RPI: January - index - final determination</v>
      </c>
      <c r="F20" s="230"/>
      <c r="G20" s="230" t="str">
        <f xml:space="preserve"> InpR!G$36</f>
        <v>index</v>
      </c>
      <c r="H20" s="230"/>
      <c r="I20" s="230"/>
      <c r="J20" s="230">
        <f xml:space="preserve"> InpR!J$36</f>
        <v>0</v>
      </c>
      <c r="K20" s="230">
        <f xml:space="preserve"> InpR!K$36</f>
        <v>283</v>
      </c>
      <c r="L20" s="230">
        <f xml:space="preserve"> InpR!L$36</f>
        <v>294.77781803182302</v>
      </c>
      <c r="M20" s="230">
        <f xml:space="preserve"> InpR!M$36</f>
        <v>303.08068281857697</v>
      </c>
      <c r="N20" s="230">
        <f xml:space="preserve"> InpR!N$36</f>
        <v>312.22357185062901</v>
      </c>
      <c r="O20" s="230">
        <f xml:space="preserve"> InpR!O$36</f>
        <v>322.21472614984901</v>
      </c>
      <c r="P20" s="230">
        <f xml:space="preserve"> InpR!P$36</f>
        <v>332.52559738664399</v>
      </c>
      <c r="Q20" s="230">
        <f xml:space="preserve"> InpR!Q$36</f>
        <v>343.16641650301699</v>
      </c>
      <c r="R20" s="230">
        <f xml:space="preserve"> InpR!R$36</f>
        <v>353.461408998107</v>
      </c>
    </row>
    <row r="21" spans="1:18" s="65" customFormat="1" x14ac:dyDescent="0.25">
      <c r="A21" s="50"/>
      <c r="B21" s="61"/>
      <c r="C21" s="116"/>
      <c r="D21" s="53"/>
      <c r="E21" s="230" t="str">
        <f xml:space="preserve"> InpR!E$37</f>
        <v>RPI: February - index - final determination</v>
      </c>
      <c r="F21" s="230"/>
      <c r="G21" s="230" t="str">
        <f xml:space="preserve"> InpR!G$37</f>
        <v>index</v>
      </c>
      <c r="H21" s="230"/>
      <c r="I21" s="230"/>
      <c r="J21" s="230">
        <f xml:space="preserve"> InpR!J$37</f>
        <v>0</v>
      </c>
      <c r="K21" s="230">
        <f xml:space="preserve"> InpR!K$37</f>
        <v>285</v>
      </c>
      <c r="L21" s="230">
        <f xml:space="preserve"> InpR!L$37</f>
        <v>295.45696073228203</v>
      </c>
      <c r="M21" s="230">
        <f xml:space="preserve"> InpR!M$37</f>
        <v>303.82816154518099</v>
      </c>
      <c r="N21" s="230">
        <f xml:space="preserve"> InpR!N$37</f>
        <v>313.04420060392698</v>
      </c>
      <c r="O21" s="230">
        <f xml:space="preserve"> InpR!O$37</f>
        <v>323.06161502325301</v>
      </c>
      <c r="P21" s="230">
        <f xml:space="preserve"> InpR!P$37</f>
        <v>333.39958670399699</v>
      </c>
      <c r="Q21" s="230">
        <f xml:space="preserve"> InpR!Q$37</f>
        <v>344.06837347852502</v>
      </c>
      <c r="R21" s="230">
        <f xml:space="preserve"> InpR!R$37</f>
        <v>354.39042468288102</v>
      </c>
    </row>
    <row r="22" spans="1:18" s="65" customFormat="1" x14ac:dyDescent="0.25">
      <c r="A22" s="50"/>
      <c r="B22" s="61"/>
      <c r="C22" s="116"/>
      <c r="D22" s="53"/>
      <c r="E22" s="230" t="str">
        <f xml:space="preserve"> InpR!E$38</f>
        <v>RPI: March - index - final determination</v>
      </c>
      <c r="F22" s="230"/>
      <c r="G22" s="230" t="str">
        <f xml:space="preserve"> InpR!G$38</f>
        <v>index</v>
      </c>
      <c r="H22" s="230"/>
      <c r="I22" s="230"/>
      <c r="J22" s="230">
        <f xml:space="preserve"> InpR!J$38</f>
        <v>0</v>
      </c>
      <c r="K22" s="230">
        <f xml:space="preserve"> InpR!K$38</f>
        <v>285.10000000000002</v>
      </c>
      <c r="L22" s="230">
        <f xml:space="preserve"> InpR!L$38</f>
        <v>296.13766811902099</v>
      </c>
      <c r="M22" s="230">
        <f xml:space="preserve"> InpR!M$38</f>
        <v>304.57748375597498</v>
      </c>
      <c r="N22" s="230">
        <f xml:space="preserve"> InpR!N$38</f>
        <v>313.86698624610801</v>
      </c>
      <c r="O22" s="230">
        <f xml:space="preserve"> InpR!O$38</f>
        <v>323.91072980598301</v>
      </c>
      <c r="P22" s="230">
        <f xml:space="preserve"> InpR!P$38</f>
        <v>334.27587315977502</v>
      </c>
      <c r="Q22" s="230">
        <f xml:space="preserve"> InpR!Q$38</f>
        <v>344.972701100888</v>
      </c>
      <c r="R22" s="230">
        <f xml:space="preserve"> InpR!R$38</f>
        <v>355.32188213391402</v>
      </c>
    </row>
    <row r="23" spans="1:18" s="65" customFormat="1" x14ac:dyDescent="0.25">
      <c r="A23" s="49"/>
      <c r="B23" s="61"/>
      <c r="C23" s="116"/>
      <c r="D23" s="53"/>
      <c r="E23" s="93"/>
      <c r="F23" s="93"/>
      <c r="G23" s="93"/>
      <c r="H23" s="93"/>
      <c r="I23" s="93"/>
      <c r="J23" s="93"/>
      <c r="K23" s="93"/>
      <c r="L23" s="93"/>
      <c r="M23" s="93"/>
      <c r="N23" s="93"/>
      <c r="O23" s="93"/>
      <c r="P23" s="93"/>
      <c r="Q23" s="93"/>
      <c r="R23" s="93"/>
    </row>
    <row r="24" spans="1:18" s="65" customFormat="1" x14ac:dyDescent="0.25">
      <c r="A24" s="50"/>
      <c r="B24" s="61"/>
      <c r="C24" s="116"/>
      <c r="D24" s="55"/>
      <c r="E24" s="91" t="s">
        <v>412</v>
      </c>
      <c r="F24" s="91"/>
      <c r="G24" s="91" t="s">
        <v>307</v>
      </c>
      <c r="H24" s="7"/>
      <c r="I24" s="7"/>
      <c r="J24" s="91">
        <f xml:space="preserve"> SUM(J11:J22) / 12</f>
        <v>0</v>
      </c>
      <c r="K24" s="91">
        <f t="shared" ref="K24:R24" si="0" xml:space="preserve"> SUM(K11:K22) / 12</f>
        <v>283.30833333333334</v>
      </c>
      <c r="L24" s="91">
        <f t="shared" si="0"/>
        <v>292.23881848055777</v>
      </c>
      <c r="M24" s="91">
        <f t="shared" si="0"/>
        <v>300.63476148772367</v>
      </c>
      <c r="N24" s="91">
        <f t="shared" si="0"/>
        <v>309.52983719330018</v>
      </c>
      <c r="O24" s="91">
        <f t="shared" si="0"/>
        <v>319.28116714708784</v>
      </c>
      <c r="P24" s="91">
        <f t="shared" si="0"/>
        <v>329.49816449579487</v>
      </c>
      <c r="Q24" s="91">
        <f t="shared" si="0"/>
        <v>340.04210575966027</v>
      </c>
      <c r="R24" s="91">
        <f t="shared" si="0"/>
        <v>350.24336893245004</v>
      </c>
    </row>
    <row r="25" spans="1:18" s="65" customFormat="1" x14ac:dyDescent="0.25">
      <c r="A25" s="50"/>
      <c r="B25" s="61"/>
      <c r="C25" s="116"/>
      <c r="D25" s="55"/>
      <c r="E25" s="91" t="s">
        <v>413</v>
      </c>
      <c r="F25" s="7"/>
      <c r="G25" s="91" t="s">
        <v>365</v>
      </c>
      <c r="H25" s="7"/>
      <c r="I25" s="7"/>
      <c r="J25" s="231">
        <f xml:space="preserve"> IF(I$24 = 0, 0, J$24 / I$24 - 1)</f>
        <v>0</v>
      </c>
      <c r="K25" s="231">
        <f t="shared" ref="K25:R25" si="1" xml:space="preserve"> IF(J$24 = 0, 0, K$24 / J$24 - 1)</f>
        <v>0</v>
      </c>
      <c r="L25" s="231">
        <f t="shared" si="1"/>
        <v>3.1522140708501789E-2</v>
      </c>
      <c r="M25" s="231">
        <f t="shared" si="1"/>
        <v>2.8729732247136264E-2</v>
      </c>
      <c r="N25" s="231">
        <f t="shared" si="1"/>
        <v>2.9587648685595269E-2</v>
      </c>
      <c r="O25" s="231">
        <f t="shared" si="1"/>
        <v>3.150368327076003E-2</v>
      </c>
      <c r="P25" s="231">
        <f t="shared" si="1"/>
        <v>3.2000000000000695E-2</v>
      </c>
      <c r="Q25" s="231">
        <f t="shared" si="1"/>
        <v>3.1999999999999806E-2</v>
      </c>
      <c r="R25" s="231">
        <f t="shared" si="1"/>
        <v>2.9999999999999805E-2</v>
      </c>
    </row>
    <row r="26" spans="1:18" s="65" customFormat="1" x14ac:dyDescent="0.25">
      <c r="A26" s="50"/>
      <c r="B26" s="61"/>
      <c r="C26" s="116"/>
      <c r="D26" s="55"/>
      <c r="E26" s="91"/>
      <c r="F26" s="91"/>
      <c r="G26" s="91"/>
      <c r="H26" s="91"/>
      <c r="I26" s="91"/>
      <c r="J26" s="7"/>
      <c r="K26" s="7"/>
      <c r="L26" s="7"/>
      <c r="M26" s="7"/>
      <c r="N26" s="7"/>
      <c r="O26" s="7"/>
      <c r="P26" s="7"/>
      <c r="Q26" s="7"/>
      <c r="R26" s="7"/>
    </row>
    <row r="27" spans="1:18" s="65" customFormat="1" x14ac:dyDescent="0.25">
      <c r="A27" s="50"/>
      <c r="B27" s="61"/>
      <c r="C27" s="116"/>
      <c r="D27" s="55"/>
      <c r="E27" s="91" t="str">
        <f t="shared" ref="E27:R27" si="2">E$22</f>
        <v>RPI: March - index - final determination</v>
      </c>
      <c r="F27" s="91"/>
      <c r="G27" s="91" t="str">
        <f t="shared" si="2"/>
        <v>index</v>
      </c>
      <c r="H27" s="91"/>
      <c r="I27" s="91"/>
      <c r="J27" s="91">
        <f t="shared" si="2"/>
        <v>0</v>
      </c>
      <c r="K27" s="91">
        <f t="shared" si="2"/>
        <v>285.10000000000002</v>
      </c>
      <c r="L27" s="91">
        <f t="shared" si="2"/>
        <v>296.13766811902099</v>
      </c>
      <c r="M27" s="91">
        <f t="shared" si="2"/>
        <v>304.57748375597498</v>
      </c>
      <c r="N27" s="91">
        <f t="shared" si="2"/>
        <v>313.86698624610801</v>
      </c>
      <c r="O27" s="91">
        <f t="shared" si="2"/>
        <v>323.91072980598301</v>
      </c>
      <c r="P27" s="91">
        <f t="shared" si="2"/>
        <v>334.27587315977502</v>
      </c>
      <c r="Q27" s="91">
        <f t="shared" si="2"/>
        <v>344.972701100888</v>
      </c>
      <c r="R27" s="91">
        <f t="shared" si="2"/>
        <v>355.32188213391402</v>
      </c>
    </row>
    <row r="28" spans="1:18" s="65" customFormat="1" x14ac:dyDescent="0.25">
      <c r="A28" s="5"/>
      <c r="B28" s="9"/>
      <c r="C28" s="117"/>
      <c r="D28" s="6"/>
      <c r="E28" s="168" t="str">
        <f>E$24</f>
        <v>RPI: Financial year average - index - final determination</v>
      </c>
      <c r="F28" s="7"/>
      <c r="G28" s="91" t="str">
        <f t="shared" ref="G28:R28" si="3">G$24</f>
        <v>index</v>
      </c>
      <c r="H28" s="91"/>
      <c r="I28" s="91"/>
      <c r="J28" s="91">
        <f t="shared" si="3"/>
        <v>0</v>
      </c>
      <c r="K28" s="91">
        <f t="shared" si="3"/>
        <v>283.30833333333334</v>
      </c>
      <c r="L28" s="91">
        <f t="shared" si="3"/>
        <v>292.23881848055777</v>
      </c>
      <c r="M28" s="91">
        <f t="shared" si="3"/>
        <v>300.63476148772367</v>
      </c>
      <c r="N28" s="91">
        <f t="shared" si="3"/>
        <v>309.52983719330018</v>
      </c>
      <c r="O28" s="91">
        <f t="shared" si="3"/>
        <v>319.28116714708784</v>
      </c>
      <c r="P28" s="91">
        <f t="shared" si="3"/>
        <v>329.49816449579487</v>
      </c>
      <c r="Q28" s="91">
        <f t="shared" si="3"/>
        <v>340.04210575966027</v>
      </c>
      <c r="R28" s="91">
        <f t="shared" si="3"/>
        <v>350.24336893245004</v>
      </c>
    </row>
    <row r="29" spans="1:18" s="65" customFormat="1" x14ac:dyDescent="0.25">
      <c r="A29" s="50"/>
      <c r="B29" s="232"/>
      <c r="C29" s="232"/>
      <c r="D29" s="232"/>
      <c r="E29" s="101" t="str">
        <f>Time!E$46</f>
        <v>1st Forecast Period Flag</v>
      </c>
      <c r="F29" s="101"/>
      <c r="G29" s="101" t="str">
        <f>Time!G$46</f>
        <v>flag</v>
      </c>
      <c r="H29" s="101">
        <f>Time!H$46</f>
        <v>1</v>
      </c>
      <c r="I29" s="101">
        <f>Time!I$46</f>
        <v>0</v>
      </c>
      <c r="J29" s="101">
        <f>Time!J$46</f>
        <v>0</v>
      </c>
      <c r="K29" s="101">
        <f>Time!K$46</f>
        <v>0</v>
      </c>
      <c r="L29" s="101">
        <f>Time!L$46</f>
        <v>0</v>
      </c>
      <c r="M29" s="101">
        <f>Time!M$46</f>
        <v>1</v>
      </c>
      <c r="N29" s="101">
        <f>Time!N$46</f>
        <v>0</v>
      </c>
      <c r="O29" s="101">
        <f>Time!O$46</f>
        <v>0</v>
      </c>
      <c r="P29" s="101">
        <f>Time!P$46</f>
        <v>0</v>
      </c>
      <c r="Q29" s="101">
        <f>Time!Q$46</f>
        <v>0</v>
      </c>
      <c r="R29" s="101">
        <f>Time!R$46</f>
        <v>0</v>
      </c>
    </row>
    <row r="30" spans="1:18" s="65" customFormat="1" x14ac:dyDescent="0.25">
      <c r="A30" s="50"/>
      <c r="B30" s="61"/>
      <c r="C30" s="116"/>
      <c r="D30" s="55"/>
      <c r="E30" s="168" t="s">
        <v>414</v>
      </c>
      <c r="F30" s="7"/>
      <c r="G30" s="91" t="s">
        <v>365</v>
      </c>
      <c r="H30" s="7"/>
      <c r="I30" s="7"/>
      <c r="J30" s="231">
        <f xml:space="preserve"> IFERROR((J28 / I27 - 1) * J29, 0)</f>
        <v>0</v>
      </c>
      <c r="K30" s="231">
        <f t="shared" ref="K30:R30" si="4" xml:space="preserve"> IFERROR((K28 / J27 - 1) * K29, 0)</f>
        <v>0</v>
      </c>
      <c r="L30" s="231">
        <f t="shared" si="4"/>
        <v>0</v>
      </c>
      <c r="M30" s="231">
        <f xml:space="preserve"> IFERROR((M28 / L27 - 1) * M29, 0)</f>
        <v>1.5185820153399865E-2</v>
      </c>
      <c r="N30" s="231">
        <f t="shared" si="4"/>
        <v>0</v>
      </c>
      <c r="O30" s="231">
        <f t="shared" si="4"/>
        <v>0</v>
      </c>
      <c r="P30" s="231">
        <f t="shared" si="4"/>
        <v>0</v>
      </c>
      <c r="Q30" s="231">
        <f t="shared" si="4"/>
        <v>0</v>
      </c>
      <c r="R30" s="231">
        <f t="shared" si="4"/>
        <v>0</v>
      </c>
    </row>
    <row r="31" spans="1:18" s="65" customFormat="1" x14ac:dyDescent="0.25">
      <c r="A31" s="49"/>
      <c r="B31" s="61"/>
      <c r="C31" s="116"/>
      <c r="D31" s="53"/>
      <c r="E31" s="93"/>
      <c r="F31" s="93"/>
      <c r="G31" s="93"/>
      <c r="H31" s="93"/>
      <c r="I31" s="93"/>
      <c r="J31" s="93"/>
      <c r="K31" s="93"/>
      <c r="L31" s="93"/>
      <c r="M31" s="93"/>
      <c r="N31" s="93"/>
      <c r="O31" s="93"/>
      <c r="P31" s="93"/>
      <c r="Q31" s="93"/>
      <c r="R31" s="93"/>
    </row>
    <row r="32" spans="1:18" s="65" customFormat="1" x14ac:dyDescent="0.25">
      <c r="A32" s="50"/>
      <c r="B32" s="61" t="s">
        <v>319</v>
      </c>
      <c r="C32" s="116"/>
      <c r="D32" s="53"/>
      <c r="E32" s="93"/>
      <c r="F32" s="93"/>
      <c r="G32" s="93"/>
      <c r="H32" s="93"/>
      <c r="I32" s="93"/>
      <c r="J32" s="93"/>
      <c r="K32" s="93"/>
      <c r="L32" s="93"/>
      <c r="M32" s="93"/>
      <c r="N32" s="93"/>
      <c r="O32" s="93"/>
      <c r="P32" s="93"/>
      <c r="Q32" s="93"/>
      <c r="R32" s="93"/>
    </row>
    <row r="33" spans="1:18" s="65" customFormat="1" x14ac:dyDescent="0.25">
      <c r="A33" s="50"/>
      <c r="B33" s="61"/>
      <c r="C33" s="116"/>
      <c r="D33" s="53"/>
      <c r="E33" s="230" t="str">
        <f>InpR!E$41</f>
        <v>CPI(H): April - index - final determination</v>
      </c>
      <c r="F33" s="230"/>
      <c r="G33" s="230" t="str">
        <f>InpR!G$41</f>
        <v>index</v>
      </c>
      <c r="H33" s="230"/>
      <c r="I33" s="230"/>
      <c r="J33" s="230">
        <f>InpR!J$41</f>
        <v>103.2</v>
      </c>
      <c r="K33" s="230">
        <f>InpR!K$41</f>
        <v>105.5</v>
      </c>
      <c r="L33" s="230">
        <f>InpR!L$41</f>
        <v>107.6</v>
      </c>
      <c r="M33" s="230">
        <f>InpR!M$41</f>
        <v>109.703354739972</v>
      </c>
      <c r="N33" s="230">
        <f>InpR!N$41</f>
        <v>111.897421834771</v>
      </c>
      <c r="O33" s="230">
        <f>InpR!O$41</f>
        <v>114.172657229451</v>
      </c>
      <c r="P33" s="230">
        <f>InpR!P$41</f>
        <v>116.57028303126999</v>
      </c>
      <c r="Q33" s="230">
        <f>InpR!Q$41</f>
        <v>119.01825897492699</v>
      </c>
      <c r="R33" s="230">
        <f>InpR!R$41</f>
        <v>121.39862415442499</v>
      </c>
    </row>
    <row r="34" spans="1:18" s="65" customFormat="1" x14ac:dyDescent="0.25">
      <c r="A34" s="50"/>
      <c r="B34" s="61"/>
      <c r="C34" s="116"/>
      <c r="D34" s="53"/>
      <c r="E34" s="230" t="str">
        <f>InpR!E$42</f>
        <v>CPI(H): May - index - final determination</v>
      </c>
      <c r="F34" s="230"/>
      <c r="G34" s="230" t="str">
        <f>InpR!G$42</f>
        <v>index</v>
      </c>
      <c r="H34" s="230"/>
      <c r="I34" s="230"/>
      <c r="J34" s="230">
        <f>InpR!J$42</f>
        <v>103.5</v>
      </c>
      <c r="K34" s="230">
        <f>InpR!K$42</f>
        <v>105.9</v>
      </c>
      <c r="L34" s="230">
        <f>InpR!L$42</f>
        <v>107.9</v>
      </c>
      <c r="M34" s="230">
        <f>InpR!M$42</f>
        <v>109.884538749418</v>
      </c>
      <c r="N34" s="230">
        <f>InpR!N$42</f>
        <v>112.082229524407</v>
      </c>
      <c r="O34" s="230">
        <f>InpR!O$42</f>
        <v>114.370561696745</v>
      </c>
      <c r="P34" s="230">
        <f>InpR!P$42</f>
        <v>116.772343492377</v>
      </c>
      <c r="Q34" s="230">
        <f>InpR!Q$42</f>
        <v>119.22456270571701</v>
      </c>
      <c r="R34" s="230">
        <f>InpR!R$42</f>
        <v>121.609053959831</v>
      </c>
    </row>
    <row r="35" spans="1:18" s="65" customFormat="1" x14ac:dyDescent="0.25">
      <c r="A35" s="50"/>
      <c r="B35" s="61"/>
      <c r="C35" s="116"/>
      <c r="D35" s="53"/>
      <c r="E35" s="230" t="str">
        <f>InpR!E$43</f>
        <v>CPI(H): June - index - final determination</v>
      </c>
      <c r="F35" s="230"/>
      <c r="G35" s="230" t="str">
        <f>InpR!G$43</f>
        <v>index</v>
      </c>
      <c r="H35" s="230"/>
      <c r="I35" s="230"/>
      <c r="J35" s="230">
        <f>InpR!J$43</f>
        <v>103.5</v>
      </c>
      <c r="K35" s="230">
        <f>InpR!K$43</f>
        <v>105.9</v>
      </c>
      <c r="L35" s="230">
        <f>InpR!L$43</f>
        <v>107.9</v>
      </c>
      <c r="M35" s="230">
        <f>InpR!M$43</f>
        <v>110.066021998987</v>
      </c>
      <c r="N35" s="230">
        <f>InpR!N$43</f>
        <v>112.26734243896701</v>
      </c>
      <c r="O35" s="230">
        <f>InpR!O$43</f>
        <v>114.568809207453</v>
      </c>
      <c r="P35" s="230">
        <f>InpR!P$43</f>
        <v>116.97475420081</v>
      </c>
      <c r="Q35" s="230">
        <f>InpR!Q$43</f>
        <v>119.431224039027</v>
      </c>
      <c r="R35" s="230">
        <f>InpR!R$43</f>
        <v>121.819848519807</v>
      </c>
    </row>
    <row r="36" spans="1:18" s="65" customFormat="1" x14ac:dyDescent="0.25">
      <c r="A36" s="50"/>
      <c r="B36" s="61"/>
      <c r="C36" s="116"/>
      <c r="D36" s="53"/>
      <c r="E36" s="230" t="str">
        <f>InpR!E$44</f>
        <v>CPI(H): July - index - final determination</v>
      </c>
      <c r="F36" s="230"/>
      <c r="G36" s="230" t="str">
        <f>InpR!G$44</f>
        <v>index</v>
      </c>
      <c r="H36" s="230"/>
      <c r="I36" s="230"/>
      <c r="J36" s="230">
        <f>InpR!J$44</f>
        <v>103.5</v>
      </c>
      <c r="K36" s="230">
        <f>InpR!K$44</f>
        <v>105.9</v>
      </c>
      <c r="L36" s="230">
        <f>InpR!L$44</f>
        <v>108</v>
      </c>
      <c r="M36" s="230">
        <f>InpR!M$44</f>
        <v>110.24780498289699</v>
      </c>
      <c r="N36" s="230">
        <f>InpR!N$44</f>
        <v>112.452761082555</v>
      </c>
      <c r="O36" s="230">
        <f>InpR!O$44</f>
        <v>114.7674003562</v>
      </c>
      <c r="P36" s="230">
        <f>InpR!P$44</f>
        <v>117.17751576368001</v>
      </c>
      <c r="Q36" s="230">
        <f>InpR!Q$44</f>
        <v>119.638243594717</v>
      </c>
      <c r="R36" s="230">
        <f>InpR!R$44</f>
        <v>122.03100846661199</v>
      </c>
    </row>
    <row r="37" spans="1:18" s="65" customFormat="1" x14ac:dyDescent="0.25">
      <c r="A37" s="50"/>
      <c r="B37" s="61"/>
      <c r="C37" s="116"/>
      <c r="D37" s="53"/>
      <c r="E37" s="230" t="str">
        <f>InpR!E$45</f>
        <v>CPI(H): August - index - final determination</v>
      </c>
      <c r="F37" s="230"/>
      <c r="G37" s="230" t="str">
        <f>InpR!G$45</f>
        <v>index</v>
      </c>
      <c r="H37" s="230"/>
      <c r="I37" s="230"/>
      <c r="J37" s="230">
        <f>InpR!J$45</f>
        <v>104</v>
      </c>
      <c r="K37" s="230">
        <f>InpR!K$45</f>
        <v>106.5</v>
      </c>
      <c r="L37" s="230">
        <f>InpR!L$45</f>
        <v>108.3</v>
      </c>
      <c r="M37" s="230">
        <f>InpR!M$45</f>
        <v>110.429888196185</v>
      </c>
      <c r="N37" s="230">
        <f>InpR!N$45</f>
        <v>112.638485960108</v>
      </c>
      <c r="O37" s="230">
        <f>InpR!O$45</f>
        <v>114.96633573864</v>
      </c>
      <c r="P37" s="230">
        <f>InpR!P$45</f>
        <v>117.380628789151</v>
      </c>
      <c r="Q37" s="230">
        <f>InpR!Q$45</f>
        <v>119.845621993724</v>
      </c>
      <c r="R37" s="230">
        <f>InpR!R$45</f>
        <v>122.242534433598</v>
      </c>
    </row>
    <row r="38" spans="1:18" s="65" customFormat="1" x14ac:dyDescent="0.25">
      <c r="A38" s="50"/>
      <c r="B38" s="61"/>
      <c r="C38" s="116"/>
      <c r="D38" s="53"/>
      <c r="E38" s="230" t="str">
        <f>InpR!E$46</f>
        <v>CPI(H): September - index - final determination</v>
      </c>
      <c r="F38" s="230"/>
      <c r="G38" s="230" t="str">
        <f>InpR!G$46</f>
        <v>index</v>
      </c>
      <c r="H38" s="230"/>
      <c r="I38" s="230"/>
      <c r="J38" s="230">
        <f>InpR!J$46</f>
        <v>104.3</v>
      </c>
      <c r="K38" s="230">
        <f>InpR!K$46</f>
        <v>106.6</v>
      </c>
      <c r="L38" s="230">
        <f>InpR!L$46</f>
        <v>108.469999617629</v>
      </c>
      <c r="M38" s="230">
        <f>InpR!M$46</f>
        <v>110.61227213470301</v>
      </c>
      <c r="N38" s="230">
        <f>InpR!N$46</f>
        <v>112.824517577397</v>
      </c>
      <c r="O38" s="230">
        <f>InpR!O$46</f>
        <v>115.16561595146101</v>
      </c>
      <c r="P38" s="230">
        <f>InpR!P$46</f>
        <v>117.58409388644201</v>
      </c>
      <c r="Q38" s="230">
        <f>InpR!Q$46</f>
        <v>120.05335985805699</v>
      </c>
      <c r="R38" s="230">
        <f>InpR!R$46</f>
        <v>122.45442705521801</v>
      </c>
    </row>
    <row r="39" spans="1:18" s="65" customFormat="1" x14ac:dyDescent="0.25">
      <c r="A39" s="50"/>
      <c r="B39" s="61"/>
      <c r="C39" s="116"/>
      <c r="D39" s="53"/>
      <c r="E39" s="230" t="str">
        <f>InpR!E$47</f>
        <v>CPI(H): October - index - final determination</v>
      </c>
      <c r="F39" s="230"/>
      <c r="G39" s="230" t="str">
        <f>InpR!G$47</f>
        <v>index</v>
      </c>
      <c r="H39" s="230"/>
      <c r="I39" s="230"/>
      <c r="J39" s="230">
        <f>InpR!J$47</f>
        <v>104.4</v>
      </c>
      <c r="K39" s="230">
        <f>InpR!K$47</f>
        <v>106.7</v>
      </c>
      <c r="L39" s="230">
        <f>InpR!L$47</f>
        <v>108.64026608539599</v>
      </c>
      <c r="M39" s="230">
        <f>InpR!M$47</f>
        <v>110.794957295123</v>
      </c>
      <c r="N39" s="230">
        <f>InpR!N$47</f>
        <v>113.01085644102599</v>
      </c>
      <c r="O39" s="230">
        <f>InpR!O$47</f>
        <v>115.365241592385</v>
      </c>
      <c r="P39" s="230">
        <f>InpR!P$47</f>
        <v>117.78791166582501</v>
      </c>
      <c r="Q39" s="230">
        <f>InpR!Q$47</f>
        <v>120.261457810807</v>
      </c>
      <c r="R39" s="230">
        <f>InpR!R$47</f>
        <v>122.66668696702401</v>
      </c>
    </row>
    <row r="40" spans="1:18" s="65" customFormat="1" x14ac:dyDescent="0.25">
      <c r="A40" s="50"/>
      <c r="B40" s="61"/>
      <c r="C40" s="116"/>
      <c r="D40" s="53"/>
      <c r="E40" s="230" t="str">
        <f>InpR!E$48</f>
        <v>CPI(H): November - index - final determination</v>
      </c>
      <c r="F40" s="230"/>
      <c r="G40" s="230" t="str">
        <f>InpR!G$48</f>
        <v>index</v>
      </c>
      <c r="H40" s="230"/>
      <c r="I40" s="230"/>
      <c r="J40" s="230">
        <f>InpR!J$48</f>
        <v>104.7</v>
      </c>
      <c r="K40" s="230">
        <f>InpR!K$48</f>
        <v>106.9</v>
      </c>
      <c r="L40" s="230">
        <f>InpR!L$48</f>
        <v>108.81079982217901</v>
      </c>
      <c r="M40" s="230">
        <f>InpR!M$48</f>
        <v>110.977944174939</v>
      </c>
      <c r="N40" s="230">
        <f>InpR!N$48</f>
        <v>113.197503058438</v>
      </c>
      <c r="O40" s="230">
        <f>InpR!O$48</f>
        <v>115.565213260169</v>
      </c>
      <c r="P40" s="230">
        <f>InpR!P$48</f>
        <v>117.992082738633</v>
      </c>
      <c r="Q40" s="230">
        <f>InpR!Q$48</f>
        <v>120.46991647614399</v>
      </c>
      <c r="R40" s="230">
        <f>InpR!R$48</f>
        <v>122.87931480566699</v>
      </c>
    </row>
    <row r="41" spans="1:18" s="65" customFormat="1" x14ac:dyDescent="0.25">
      <c r="A41" s="50"/>
      <c r="B41" s="61"/>
      <c r="C41" s="116"/>
      <c r="D41" s="53"/>
      <c r="E41" s="230" t="str">
        <f>InpR!E$49</f>
        <v>CPI(H): December - index - final determination</v>
      </c>
      <c r="F41" s="230"/>
      <c r="G41" s="230" t="str">
        <f>InpR!G$49</f>
        <v>index</v>
      </c>
      <c r="H41" s="230"/>
      <c r="I41" s="230"/>
      <c r="J41" s="230">
        <f>InpR!J$49</f>
        <v>105</v>
      </c>
      <c r="K41" s="230">
        <f>InpR!K$49</f>
        <v>107.1</v>
      </c>
      <c r="L41" s="230">
        <f>InpR!L$49</f>
        <v>108.981601247513</v>
      </c>
      <c r="M41" s="230">
        <f>InpR!M$49</f>
        <v>111.161233272464</v>
      </c>
      <c r="N41" s="230">
        <f>InpR!N$49</f>
        <v>113.384457937913</v>
      </c>
      <c r="O41" s="230">
        <f>InpR!O$49</f>
        <v>115.765531554609</v>
      </c>
      <c r="P41" s="230">
        <f>InpR!P$49</f>
        <v>118.196607717256</v>
      </c>
      <c r="Q41" s="230">
        <f>InpR!Q$49</f>
        <v>120.678736479319</v>
      </c>
      <c r="R41" s="230">
        <f>InpR!R$49</f>
        <v>123.092311208905</v>
      </c>
    </row>
    <row r="42" spans="1:18" s="65" customFormat="1" x14ac:dyDescent="0.25">
      <c r="A42" s="50"/>
      <c r="B42" s="61"/>
      <c r="C42" s="116"/>
      <c r="D42" s="53"/>
      <c r="E42" s="230" t="str">
        <f>InpR!E$50</f>
        <v>CPI(H): January - index - final determination</v>
      </c>
      <c r="F42" s="230"/>
      <c r="G42" s="230" t="str">
        <f>InpR!G$50</f>
        <v>index</v>
      </c>
      <c r="H42" s="230"/>
      <c r="I42" s="230"/>
      <c r="J42" s="230">
        <f>InpR!J$50</f>
        <v>104.5</v>
      </c>
      <c r="K42" s="230">
        <f>InpR!K$50</f>
        <v>106.4</v>
      </c>
      <c r="L42" s="230">
        <f>InpR!L$50</f>
        <v>109.161593222387</v>
      </c>
      <c r="M42" s="230">
        <f>InpR!M$50</f>
        <v>111.344825086835</v>
      </c>
      <c r="N42" s="230">
        <f>InpR!N$50</f>
        <v>113.580996157239</v>
      </c>
      <c r="O42" s="230">
        <f>InpR!O$50</f>
        <v>115.96619707654099</v>
      </c>
      <c r="P42" s="230">
        <f>InpR!P$50</f>
        <v>118.40148721514799</v>
      </c>
      <c r="Q42" s="230">
        <f>InpR!Q$50</f>
        <v>120.887918446667</v>
      </c>
      <c r="R42" s="230">
        <f>InpR!R$50</f>
        <v>123.30567681559999</v>
      </c>
    </row>
    <row r="43" spans="1:18" s="65" customFormat="1" x14ac:dyDescent="0.25">
      <c r="A43" s="50"/>
      <c r="B43" s="61"/>
      <c r="C43" s="116"/>
      <c r="D43" s="53"/>
      <c r="E43" s="230" t="str">
        <f>InpR!E$51</f>
        <v>CPI(H): February - index - final determination</v>
      </c>
      <c r="F43" s="230"/>
      <c r="G43" s="230" t="str">
        <f>InpR!G$51</f>
        <v>index</v>
      </c>
      <c r="H43" s="230"/>
      <c r="I43" s="230"/>
      <c r="J43" s="230">
        <f>InpR!J$51</f>
        <v>104.9</v>
      </c>
      <c r="K43" s="230">
        <f>InpR!K$51</f>
        <v>106.8</v>
      </c>
      <c r="L43" s="230">
        <f>InpR!L$51</f>
        <v>109.341882468641</v>
      </c>
      <c r="M43" s="230">
        <f>InpR!M$51</f>
        <v>111.52872011801399</v>
      </c>
      <c r="N43" s="230">
        <f>InpR!N$51</f>
        <v>113.77787505175399</v>
      </c>
      <c r="O43" s="230">
        <f>InpR!O$51</f>
        <v>116.167210427841</v>
      </c>
      <c r="P43" s="230">
        <f>InpR!P$51</f>
        <v>118.606721846825</v>
      </c>
      <c r="Q43" s="230">
        <f>InpR!Q$51</f>
        <v>121.097463005609</v>
      </c>
      <c r="R43" s="230">
        <f>InpR!R$51</f>
        <v>123.519412265721</v>
      </c>
    </row>
    <row r="44" spans="1:18" s="65" customFormat="1" x14ac:dyDescent="0.25">
      <c r="A44" s="50"/>
      <c r="B44" s="61"/>
      <c r="C44" s="116"/>
      <c r="D44" s="53"/>
      <c r="E44" s="230" t="str">
        <f>InpR!E$52</f>
        <v>CPI(H): March - index - final determination</v>
      </c>
      <c r="F44" s="230"/>
      <c r="G44" s="230" t="str">
        <f>InpR!G$52</f>
        <v>index</v>
      </c>
      <c r="H44" s="230"/>
      <c r="I44" s="230"/>
      <c r="J44" s="230">
        <f>InpR!J$52</f>
        <v>105.1</v>
      </c>
      <c r="K44" s="230">
        <f>InpR!K$52</f>
        <v>107</v>
      </c>
      <c r="L44" s="230">
        <f>InpR!L$52</f>
        <v>109.52246947724301</v>
      </c>
      <c r="M44" s="230">
        <f>InpR!M$52</f>
        <v>111.712918866788</v>
      </c>
      <c r="N44" s="230">
        <f>InpR!N$52</f>
        <v>113.97509521197701</v>
      </c>
      <c r="O44" s="230">
        <f>InpR!O$52</f>
        <v>116.368572211429</v>
      </c>
      <c r="P44" s="230">
        <f>InpR!P$52</f>
        <v>118.812312227869</v>
      </c>
      <c r="Q44" s="230">
        <f>InpR!Q$52</f>
        <v>121.307370784654</v>
      </c>
      <c r="R44" s="230">
        <f>InpR!R$52</f>
        <v>123.73351820034701</v>
      </c>
    </row>
    <row r="45" spans="1:18" s="65" customFormat="1" x14ac:dyDescent="0.25">
      <c r="A45" s="50"/>
      <c r="B45" s="61"/>
      <c r="C45" s="116"/>
      <c r="D45" s="53"/>
      <c r="E45" s="230"/>
      <c r="F45" s="230"/>
      <c r="G45" s="230"/>
      <c r="H45" s="230"/>
      <c r="I45" s="230"/>
      <c r="J45" s="230"/>
      <c r="K45" s="230"/>
      <c r="L45" s="230"/>
      <c r="M45" s="230"/>
      <c r="N45" s="230"/>
      <c r="O45" s="230"/>
      <c r="P45" s="230"/>
      <c r="Q45" s="230"/>
      <c r="R45" s="230"/>
    </row>
    <row r="46" spans="1:18" s="65" customFormat="1" x14ac:dyDescent="0.25">
      <c r="A46" s="50"/>
      <c r="B46" s="61"/>
      <c r="C46" s="116"/>
      <c r="D46" s="55"/>
      <c r="E46" s="91" t="s">
        <v>415</v>
      </c>
      <c r="F46" s="91"/>
      <c r="G46" s="91" t="s">
        <v>307</v>
      </c>
      <c r="H46" s="7"/>
      <c r="I46" s="7"/>
      <c r="J46" s="229">
        <f xml:space="preserve"> SUM(J33:J44) / 12</f>
        <v>104.21666666666665</v>
      </c>
      <c r="K46" s="229">
        <f t="shared" ref="K46:R46" si="5" xml:space="preserve"> SUM(K33:K44) / 12</f>
        <v>106.43333333333334</v>
      </c>
      <c r="L46" s="229">
        <f t="shared" si="5"/>
        <v>108.55238432841566</v>
      </c>
      <c r="M46" s="229">
        <f t="shared" si="5"/>
        <v>110.70537330136041</v>
      </c>
      <c r="N46" s="229">
        <f t="shared" si="5"/>
        <v>112.92412852304601</v>
      </c>
      <c r="O46" s="229">
        <f t="shared" si="5"/>
        <v>115.26744552524366</v>
      </c>
      <c r="P46" s="229">
        <f t="shared" si="5"/>
        <v>117.68806188127384</v>
      </c>
      <c r="Q46" s="229">
        <f t="shared" si="5"/>
        <v>120.15951118078074</v>
      </c>
      <c r="R46" s="229">
        <f t="shared" si="5"/>
        <v>122.56270140439625</v>
      </c>
    </row>
    <row r="47" spans="1:18" s="65" customFormat="1" x14ac:dyDescent="0.25">
      <c r="A47" s="50"/>
      <c r="B47" s="61"/>
      <c r="C47" s="116"/>
      <c r="D47" s="55"/>
      <c r="E47" s="236" t="s">
        <v>416</v>
      </c>
      <c r="F47" s="236"/>
      <c r="G47" s="236" t="s">
        <v>365</v>
      </c>
      <c r="H47" s="236"/>
      <c r="I47" s="236"/>
      <c r="J47" s="237">
        <f xml:space="preserve"> IF(I$46 = 0, 0, J$46 / $J$46)</f>
        <v>0</v>
      </c>
      <c r="K47" s="237">
        <f xml:space="preserve"> IF(J$46 = 0, 0, K$46 / $J$46)</f>
        <v>1.0212697905005599</v>
      </c>
      <c r="L47" s="237">
        <f t="shared" ref="L47:R47" si="6" xml:space="preserve"> IF(K$46 = 0, 0, L$46 / $J$46)</f>
        <v>1.0416029201511179</v>
      </c>
      <c r="M47" s="237">
        <f t="shared" si="6"/>
        <v>1.0622616980779827</v>
      </c>
      <c r="N47" s="237">
        <f t="shared" si="6"/>
        <v>1.0835515290872799</v>
      </c>
      <c r="O47" s="237">
        <f t="shared" si="6"/>
        <v>1.1060365794841869</v>
      </c>
      <c r="P47" s="237">
        <f t="shared" si="6"/>
        <v>1.1292633476533553</v>
      </c>
      <c r="Q47" s="237">
        <f t="shared" si="6"/>
        <v>1.1529778779540774</v>
      </c>
      <c r="R47" s="237">
        <f t="shared" si="6"/>
        <v>1.1760374355131578</v>
      </c>
    </row>
    <row r="48" spans="1:18" s="65" customFormat="1" x14ac:dyDescent="0.25">
      <c r="A48" s="50"/>
      <c r="B48" s="61"/>
      <c r="C48" s="116"/>
      <c r="D48" s="55"/>
      <c r="E48" s="91" t="s">
        <v>417</v>
      </c>
      <c r="F48" s="7"/>
      <c r="G48" s="91" t="s">
        <v>365</v>
      </c>
      <c r="H48" s="7"/>
      <c r="I48" s="7"/>
      <c r="J48" s="231">
        <f xml:space="preserve"> IF(I$46 = 0, 0, J$46 / I$46 - 1)</f>
        <v>0</v>
      </c>
      <c r="K48" s="231">
        <f t="shared" ref="K48:R48" si="7" xml:space="preserve"> IF(J$46 = 0, 0, K$46 / J$46 - 1)</f>
        <v>2.1269790500559882E-2</v>
      </c>
      <c r="L48" s="231">
        <f t="shared" si="7"/>
        <v>1.9909655450194075E-2</v>
      </c>
      <c r="M48" s="231">
        <f t="shared" si="7"/>
        <v>1.9833640562247679E-2</v>
      </c>
      <c r="N48" s="231">
        <f t="shared" si="7"/>
        <v>2.0041983108134653E-2</v>
      </c>
      <c r="O48" s="231">
        <f t="shared" si="7"/>
        <v>2.0751251595618081E-2</v>
      </c>
      <c r="P48" s="231">
        <f t="shared" si="7"/>
        <v>2.1000000000000574E-2</v>
      </c>
      <c r="Q48" s="231">
        <f t="shared" si="7"/>
        <v>2.100000000000124E-2</v>
      </c>
      <c r="R48" s="231">
        <f t="shared" si="7"/>
        <v>1.999999999999913E-2</v>
      </c>
    </row>
    <row r="49" spans="1:18" s="65" customFormat="1" x14ac:dyDescent="0.25">
      <c r="A49" s="50"/>
      <c r="B49" s="61"/>
      <c r="C49" s="116"/>
      <c r="D49" s="55"/>
      <c r="E49" s="7"/>
      <c r="F49" s="7"/>
      <c r="G49" s="7"/>
      <c r="H49" s="7"/>
      <c r="I49" s="7"/>
      <c r="J49" s="7"/>
      <c r="K49" s="7"/>
      <c r="L49" s="7"/>
      <c r="M49" s="7"/>
      <c r="N49" s="7"/>
      <c r="O49" s="7"/>
      <c r="P49" s="7"/>
      <c r="Q49" s="7"/>
      <c r="R49" s="7"/>
    </row>
    <row r="50" spans="1:18" s="65" customFormat="1" x14ac:dyDescent="0.25">
      <c r="A50" s="50"/>
      <c r="B50" s="61"/>
      <c r="C50" s="116"/>
      <c r="D50" s="55"/>
      <c r="E50" s="91" t="str">
        <f>E$44</f>
        <v>CPI(H): March - index - final determination</v>
      </c>
      <c r="F50" s="91"/>
      <c r="G50" s="91" t="str">
        <f t="shared" ref="G50:R50" si="8">G$44</f>
        <v>index</v>
      </c>
      <c r="H50" s="91"/>
      <c r="I50" s="91"/>
      <c r="J50" s="91">
        <f t="shared" si="8"/>
        <v>105.1</v>
      </c>
      <c r="K50" s="91">
        <f t="shared" si="8"/>
        <v>107</v>
      </c>
      <c r="L50" s="91">
        <f t="shared" si="8"/>
        <v>109.52246947724301</v>
      </c>
      <c r="M50" s="91">
        <f t="shared" si="8"/>
        <v>111.712918866788</v>
      </c>
      <c r="N50" s="91">
        <f t="shared" si="8"/>
        <v>113.97509521197701</v>
      </c>
      <c r="O50" s="91">
        <f t="shared" si="8"/>
        <v>116.368572211429</v>
      </c>
      <c r="P50" s="91">
        <f t="shared" si="8"/>
        <v>118.812312227869</v>
      </c>
      <c r="Q50" s="91">
        <f t="shared" si="8"/>
        <v>121.307370784654</v>
      </c>
      <c r="R50" s="91">
        <f t="shared" si="8"/>
        <v>123.73351820034701</v>
      </c>
    </row>
    <row r="51" spans="1:18" s="65" customFormat="1" x14ac:dyDescent="0.25">
      <c r="A51" s="50"/>
      <c r="B51" s="61"/>
      <c r="C51" s="116"/>
      <c r="D51" s="55"/>
      <c r="E51" s="91" t="str">
        <f>E$46</f>
        <v>CPI(H): Financial year average - index - final determination</v>
      </c>
      <c r="F51" s="91"/>
      <c r="G51" s="91" t="str">
        <f t="shared" ref="G51:R51" si="9">G$46</f>
        <v>index</v>
      </c>
      <c r="H51" s="91"/>
      <c r="I51" s="91"/>
      <c r="J51" s="91">
        <f t="shared" si="9"/>
        <v>104.21666666666665</v>
      </c>
      <c r="K51" s="91">
        <f t="shared" si="9"/>
        <v>106.43333333333334</v>
      </c>
      <c r="L51" s="91">
        <f t="shared" si="9"/>
        <v>108.55238432841566</v>
      </c>
      <c r="M51" s="91">
        <f t="shared" si="9"/>
        <v>110.70537330136041</v>
      </c>
      <c r="N51" s="91">
        <f t="shared" si="9"/>
        <v>112.92412852304601</v>
      </c>
      <c r="O51" s="91">
        <f t="shared" si="9"/>
        <v>115.26744552524366</v>
      </c>
      <c r="P51" s="91">
        <f t="shared" si="9"/>
        <v>117.68806188127384</v>
      </c>
      <c r="Q51" s="91">
        <f t="shared" si="9"/>
        <v>120.15951118078074</v>
      </c>
      <c r="R51" s="91">
        <f t="shared" si="9"/>
        <v>122.56270140439625</v>
      </c>
    </row>
    <row r="52" spans="1:18" s="65" customFormat="1" x14ac:dyDescent="0.25">
      <c r="A52" s="50"/>
      <c r="B52" s="232"/>
      <c r="C52" s="232"/>
      <c r="D52" s="232"/>
      <c r="E52" s="101" t="str">
        <f>Time!E$46</f>
        <v>1st Forecast Period Flag</v>
      </c>
      <c r="F52" s="101"/>
      <c r="G52" s="101" t="str">
        <f>Time!G$46</f>
        <v>flag</v>
      </c>
      <c r="H52" s="101">
        <f>Time!H$46</f>
        <v>1</v>
      </c>
      <c r="I52" s="101">
        <f>Time!I$46</f>
        <v>0</v>
      </c>
      <c r="J52" s="101">
        <f>Time!J$46</f>
        <v>0</v>
      </c>
      <c r="K52" s="101">
        <f>Time!K$46</f>
        <v>0</v>
      </c>
      <c r="L52" s="101">
        <f>Time!L$46</f>
        <v>0</v>
      </c>
      <c r="M52" s="101">
        <f>Time!M$46</f>
        <v>1</v>
      </c>
      <c r="N52" s="101">
        <f>Time!N$46</f>
        <v>0</v>
      </c>
      <c r="O52" s="101">
        <f>Time!O$46</f>
        <v>0</v>
      </c>
      <c r="P52" s="101">
        <f>Time!P$46</f>
        <v>0</v>
      </c>
      <c r="Q52" s="101">
        <f>Time!Q$46</f>
        <v>0</v>
      </c>
      <c r="R52" s="101">
        <f>Time!R$46</f>
        <v>0</v>
      </c>
    </row>
    <row r="53" spans="1:18" s="65" customFormat="1" x14ac:dyDescent="0.25">
      <c r="A53" s="50"/>
      <c r="B53" s="61"/>
      <c r="C53" s="116"/>
      <c r="D53" s="55"/>
      <c r="E53" s="91" t="s">
        <v>418</v>
      </c>
      <c r="F53" s="7"/>
      <c r="G53" s="91" t="s">
        <v>365</v>
      </c>
      <c r="H53" s="7"/>
      <c r="I53" s="7"/>
      <c r="J53" s="231">
        <f t="shared" ref="J53:R53" si="10" xml:space="preserve"> IFERROR((J51 / I50 - 1) * J52, 0)</f>
        <v>0</v>
      </c>
      <c r="K53" s="231">
        <f t="shared" si="10"/>
        <v>0</v>
      </c>
      <c r="L53" s="231">
        <f t="shared" si="10"/>
        <v>0</v>
      </c>
      <c r="M53" s="231">
        <f xml:space="preserve"> IFERROR((M51 / L50 - 1) * M52, 0)</f>
        <v>1.0800558367278112E-2</v>
      </c>
      <c r="N53" s="231">
        <f t="shared" si="10"/>
        <v>0</v>
      </c>
      <c r="O53" s="231">
        <f t="shared" si="10"/>
        <v>0</v>
      </c>
      <c r="P53" s="231">
        <f t="shared" si="10"/>
        <v>0</v>
      </c>
      <c r="Q53" s="231">
        <f t="shared" si="10"/>
        <v>0</v>
      </c>
      <c r="R53" s="231">
        <f t="shared" si="10"/>
        <v>0</v>
      </c>
    </row>
    <row r="54" spans="1:18" s="65" customFormat="1" x14ac:dyDescent="0.25">
      <c r="A54" s="50"/>
      <c r="B54" s="61"/>
      <c r="C54" s="116"/>
      <c r="D54" s="55"/>
      <c r="E54" s="7"/>
      <c r="F54" s="7"/>
      <c r="G54" s="7"/>
      <c r="H54" s="7"/>
      <c r="I54" s="7"/>
      <c r="J54" s="7"/>
      <c r="K54" s="7"/>
      <c r="L54" s="7"/>
      <c r="M54" s="7"/>
      <c r="N54" s="7"/>
      <c r="O54" s="7"/>
      <c r="P54" s="7"/>
      <c r="Q54" s="7"/>
      <c r="R54" s="7"/>
    </row>
    <row r="55" spans="1:18" s="65" customFormat="1" x14ac:dyDescent="0.25">
      <c r="A55" s="50"/>
      <c r="B55" s="61"/>
      <c r="C55" s="116"/>
      <c r="D55" s="55"/>
      <c r="E55" s="168" t="str">
        <f>E$30 &amp; " - final determination"</f>
        <v>RPI Growth from 2019-20 FYE to 2020-21 FYA - final determination - final determination</v>
      </c>
      <c r="F55" s="7"/>
      <c r="G55" s="91" t="str">
        <f>G$30</f>
        <v>%</v>
      </c>
      <c r="H55" s="7"/>
      <c r="I55" s="7"/>
      <c r="J55" s="231">
        <f t="shared" ref="J55:R55" si="11">J$30</f>
        <v>0</v>
      </c>
      <c r="K55" s="231">
        <f t="shared" si="11"/>
        <v>0</v>
      </c>
      <c r="L55" s="231">
        <f t="shared" si="11"/>
        <v>0</v>
      </c>
      <c r="M55" s="231">
        <f t="shared" si="11"/>
        <v>1.5185820153399865E-2</v>
      </c>
      <c r="N55" s="231">
        <f t="shared" si="11"/>
        <v>0</v>
      </c>
      <c r="O55" s="231">
        <f t="shared" si="11"/>
        <v>0</v>
      </c>
      <c r="P55" s="231">
        <f t="shared" si="11"/>
        <v>0</v>
      </c>
      <c r="Q55" s="231">
        <f t="shared" si="11"/>
        <v>0</v>
      </c>
      <c r="R55" s="231">
        <f t="shared" si="11"/>
        <v>0</v>
      </c>
    </row>
    <row r="56" spans="1:18" s="65" customFormat="1" x14ac:dyDescent="0.25">
      <c r="A56" s="50"/>
      <c r="B56" s="61"/>
      <c r="C56" s="116"/>
      <c r="D56" s="55"/>
      <c r="E56" s="168" t="str">
        <f>E$53 &amp; " - final determination"</f>
        <v>CPIH Growth from 2019-20 FYE to 2020-21 FYA - final determination - final determination</v>
      </c>
      <c r="F56" s="7"/>
      <c r="G56" s="91" t="str">
        <f>G$53</f>
        <v>%</v>
      </c>
      <c r="H56" s="7"/>
      <c r="I56" s="7"/>
      <c r="J56" s="231">
        <f t="shared" ref="J56:R56" si="12">J$53</f>
        <v>0</v>
      </c>
      <c r="K56" s="231">
        <f t="shared" si="12"/>
        <v>0</v>
      </c>
      <c r="L56" s="231">
        <f t="shared" si="12"/>
        <v>0</v>
      </c>
      <c r="M56" s="231">
        <f t="shared" si="12"/>
        <v>1.0800558367278112E-2</v>
      </c>
      <c r="N56" s="231">
        <f t="shared" si="12"/>
        <v>0</v>
      </c>
      <c r="O56" s="231">
        <f t="shared" si="12"/>
        <v>0</v>
      </c>
      <c r="P56" s="231">
        <f t="shared" si="12"/>
        <v>0</v>
      </c>
      <c r="Q56" s="231">
        <f t="shared" si="12"/>
        <v>0</v>
      </c>
      <c r="R56" s="231">
        <f t="shared" si="12"/>
        <v>0</v>
      </c>
    </row>
    <row r="57" spans="1:18" s="65" customFormat="1" x14ac:dyDescent="0.25">
      <c r="A57" s="50"/>
      <c r="B57" s="61"/>
      <c r="C57" s="116"/>
      <c r="D57" s="55"/>
      <c r="E57" s="168" t="s">
        <v>419</v>
      </c>
      <c r="F57" s="7"/>
      <c r="G57" s="91" t="s">
        <v>365</v>
      </c>
      <c r="H57" s="7"/>
      <c r="I57" s="7"/>
      <c r="J57" s="231">
        <f xml:space="preserve"> (1 + J$55) / (1 + J$56) - 1</f>
        <v>0</v>
      </c>
      <c r="K57" s="231">
        <f t="shared" ref="K57:R57" si="13" xml:space="preserve"> (1 + K$55) / (1 + K$56) - 1</f>
        <v>0</v>
      </c>
      <c r="L57" s="231">
        <f t="shared" si="13"/>
        <v>0</v>
      </c>
      <c r="M57" s="231">
        <f t="shared" si="13"/>
        <v>4.3384045940824123E-3</v>
      </c>
      <c r="N57" s="231">
        <f t="shared" si="13"/>
        <v>0</v>
      </c>
      <c r="O57" s="231">
        <f t="shared" si="13"/>
        <v>0</v>
      </c>
      <c r="P57" s="231">
        <f t="shared" si="13"/>
        <v>0</v>
      </c>
      <c r="Q57" s="231">
        <f t="shared" si="13"/>
        <v>0</v>
      </c>
      <c r="R57" s="231">
        <f t="shared" si="13"/>
        <v>0</v>
      </c>
    </row>
    <row r="58" spans="1:18" s="65" customFormat="1" x14ac:dyDescent="0.25">
      <c r="A58" s="50"/>
      <c r="B58" s="61"/>
      <c r="C58" s="116"/>
      <c r="D58" s="55"/>
      <c r="E58" s="7"/>
      <c r="F58" s="7"/>
      <c r="G58" s="7"/>
      <c r="H58" s="7"/>
      <c r="I58" s="7"/>
      <c r="J58" s="233"/>
      <c r="K58" s="233"/>
      <c r="L58" s="233"/>
      <c r="M58" s="233"/>
      <c r="N58" s="233"/>
      <c r="O58" s="233"/>
      <c r="P58" s="233"/>
      <c r="Q58" s="233"/>
      <c r="R58" s="233"/>
    </row>
    <row r="59" spans="1:18" s="65" customFormat="1" x14ac:dyDescent="0.25">
      <c r="A59" s="50"/>
      <c r="B59" s="61" t="s">
        <v>420</v>
      </c>
      <c r="C59" s="116"/>
      <c r="D59" s="55"/>
      <c r="E59" s="7"/>
      <c r="F59" s="7"/>
      <c r="G59" s="7"/>
      <c r="H59" s="7"/>
      <c r="I59" s="7"/>
      <c r="J59" s="233"/>
      <c r="K59" s="233"/>
      <c r="L59" s="233"/>
      <c r="M59" s="233"/>
      <c r="N59" s="233"/>
      <c r="O59" s="233"/>
      <c r="P59" s="233"/>
      <c r="Q59" s="233"/>
      <c r="R59" s="233"/>
    </row>
    <row r="60" spans="1:18" s="65" customFormat="1" x14ac:dyDescent="0.25">
      <c r="A60" s="50"/>
      <c r="B60" s="61"/>
      <c r="C60" s="116"/>
      <c r="D60" s="55"/>
      <c r="E60" s="168" t="str">
        <f>E$57</f>
        <v>Wedge between RPI and CPIH 2020-21 - final determination</v>
      </c>
      <c r="F60" s="168"/>
      <c r="G60" s="168" t="str">
        <f t="shared" ref="G60:R60" si="14">G$57</f>
        <v>%</v>
      </c>
      <c r="H60" s="168"/>
      <c r="I60" s="168"/>
      <c r="J60" s="231">
        <f t="shared" si="14"/>
        <v>0</v>
      </c>
      <c r="K60" s="231">
        <f t="shared" si="14"/>
        <v>0</v>
      </c>
      <c r="L60" s="231">
        <f t="shared" si="14"/>
        <v>0</v>
      </c>
      <c r="M60" s="231">
        <f t="shared" si="14"/>
        <v>4.3384045940824123E-3</v>
      </c>
      <c r="N60" s="231">
        <f t="shared" si="14"/>
        <v>0</v>
      </c>
      <c r="O60" s="231">
        <f t="shared" si="14"/>
        <v>0</v>
      </c>
      <c r="P60" s="231">
        <f t="shared" si="14"/>
        <v>0</v>
      </c>
      <c r="Q60" s="231">
        <f t="shared" si="14"/>
        <v>0</v>
      </c>
      <c r="R60" s="231">
        <f t="shared" si="14"/>
        <v>0</v>
      </c>
    </row>
    <row r="61" spans="1:18" s="65" customFormat="1" x14ac:dyDescent="0.25">
      <c r="A61" s="50"/>
      <c r="B61" s="61"/>
      <c r="C61" s="116"/>
      <c r="D61" s="55"/>
      <c r="E61" s="168" t="str">
        <f>E$48</f>
        <v>CPI(H): Fin year average - percentage increase - final determination</v>
      </c>
      <c r="F61" s="168"/>
      <c r="G61" s="168" t="str">
        <f t="shared" ref="G61:R61" si="15">G$48</f>
        <v>%</v>
      </c>
      <c r="H61" s="168"/>
      <c r="I61" s="168"/>
      <c r="J61" s="231">
        <f t="shared" si="15"/>
        <v>0</v>
      </c>
      <c r="K61" s="231">
        <f t="shared" si="15"/>
        <v>2.1269790500559882E-2</v>
      </c>
      <c r="L61" s="231">
        <f t="shared" si="15"/>
        <v>1.9909655450194075E-2</v>
      </c>
      <c r="M61" s="231">
        <f t="shared" si="15"/>
        <v>1.9833640562247679E-2</v>
      </c>
      <c r="N61" s="231">
        <f t="shared" si="15"/>
        <v>2.0041983108134653E-2</v>
      </c>
      <c r="O61" s="231">
        <f t="shared" si="15"/>
        <v>2.0751251595618081E-2</v>
      </c>
      <c r="P61" s="231">
        <f t="shared" si="15"/>
        <v>2.1000000000000574E-2</v>
      </c>
      <c r="Q61" s="231">
        <f t="shared" si="15"/>
        <v>2.100000000000124E-2</v>
      </c>
      <c r="R61" s="231">
        <f t="shared" si="15"/>
        <v>1.999999999999913E-2</v>
      </c>
    </row>
    <row r="62" spans="1:18" s="65" customFormat="1" x14ac:dyDescent="0.25">
      <c r="A62" s="50"/>
      <c r="B62" s="232"/>
      <c r="C62" s="232"/>
      <c r="D62" s="232"/>
      <c r="E62" s="101" t="str">
        <f>Time!E$46</f>
        <v>1st Forecast Period Flag</v>
      </c>
      <c r="F62" s="101"/>
      <c r="G62" s="101" t="str">
        <f>Time!G$46</f>
        <v>flag</v>
      </c>
      <c r="H62" s="101">
        <f>Time!H$46</f>
        <v>1</v>
      </c>
      <c r="I62" s="101">
        <f>Time!I$46</f>
        <v>0</v>
      </c>
      <c r="J62" s="101">
        <f>Time!J$46</f>
        <v>0</v>
      </c>
      <c r="K62" s="101">
        <f>Time!K$46</f>
        <v>0</v>
      </c>
      <c r="L62" s="101">
        <f>Time!L$46</f>
        <v>0</v>
      </c>
      <c r="M62" s="101">
        <f>Time!M$46</f>
        <v>1</v>
      </c>
      <c r="N62" s="101">
        <f>Time!N$46</f>
        <v>0</v>
      </c>
      <c r="O62" s="101">
        <f>Time!O$46</f>
        <v>0</v>
      </c>
      <c r="P62" s="101">
        <f>Time!P$46</f>
        <v>0</v>
      </c>
      <c r="Q62" s="101">
        <f>Time!Q$46</f>
        <v>0</v>
      </c>
      <c r="R62" s="101">
        <f>Time!R$46</f>
        <v>0</v>
      </c>
    </row>
    <row r="63" spans="1:18" s="65" customFormat="1" x14ac:dyDescent="0.25">
      <c r="A63" s="50"/>
      <c r="B63" s="61"/>
      <c r="C63" s="116"/>
      <c r="D63" s="55"/>
      <c r="E63" s="168" t="s">
        <v>421</v>
      </c>
      <c r="F63" s="168"/>
      <c r="G63" s="168" t="s">
        <v>365</v>
      </c>
      <c r="H63" s="168"/>
      <c r="I63" s="168"/>
      <c r="J63" s="231">
        <f t="shared" ref="J63:L63" si="16" xml:space="preserve"> ((1 + J$60)  * (1 + J$61) - 1) * J$62</f>
        <v>0</v>
      </c>
      <c r="K63" s="231">
        <f t="shared" si="16"/>
        <v>0</v>
      </c>
      <c r="L63" s="231">
        <f t="shared" si="16"/>
        <v>0</v>
      </c>
      <c r="M63" s="231">
        <f xml:space="preserve"> ((1 + M$60)  * (1 + M$61) - 1) * M$62</f>
        <v>2.4258091513662761E-2</v>
      </c>
      <c r="N63" s="231">
        <f t="shared" ref="N63:R63" si="17" xml:space="preserve"> ((1 + N$60)  * (1 + N$61) - 1) * N$62</f>
        <v>0</v>
      </c>
      <c r="O63" s="231">
        <f t="shared" si="17"/>
        <v>0</v>
      </c>
      <c r="P63" s="231">
        <f t="shared" si="17"/>
        <v>0</v>
      </c>
      <c r="Q63" s="231">
        <f t="shared" si="17"/>
        <v>0</v>
      </c>
      <c r="R63" s="231">
        <f t="shared" si="17"/>
        <v>0</v>
      </c>
    </row>
    <row r="64" spans="1:18" s="65" customFormat="1" x14ac:dyDescent="0.25">
      <c r="A64" s="50"/>
      <c r="B64" s="61"/>
      <c r="C64" s="116"/>
      <c r="D64" s="55"/>
      <c r="E64" s="7"/>
      <c r="F64" s="7"/>
      <c r="G64" s="7"/>
      <c r="H64" s="7"/>
      <c r="I64" s="7"/>
      <c r="J64" s="233"/>
      <c r="K64" s="233"/>
      <c r="L64" s="233"/>
      <c r="M64" s="233"/>
      <c r="N64" s="233"/>
      <c r="O64" s="233"/>
      <c r="P64" s="233"/>
      <c r="Q64" s="233"/>
      <c r="R64" s="233"/>
    </row>
    <row r="65" spans="1:18" s="65" customFormat="1" x14ac:dyDescent="0.25">
      <c r="A65" s="50"/>
      <c r="B65" s="61"/>
      <c r="C65" s="116"/>
      <c r="D65" s="55"/>
      <c r="E65" s="168" t="str">
        <f xml:space="preserve"> E$63</f>
        <v>CPI(H) + RPI wedge 2020-21 percentage movement - final determination</v>
      </c>
      <c r="F65" s="168"/>
      <c r="G65" s="168" t="str">
        <f t="shared" ref="G65:R65" si="18" xml:space="preserve"> G$63</f>
        <v>%</v>
      </c>
      <c r="H65" s="168"/>
      <c r="I65" s="168"/>
      <c r="J65" s="231">
        <f t="shared" si="18"/>
        <v>0</v>
      </c>
      <c r="K65" s="231">
        <f t="shared" si="18"/>
        <v>0</v>
      </c>
      <c r="L65" s="231">
        <f t="shared" si="18"/>
        <v>0</v>
      </c>
      <c r="M65" s="231">
        <f t="shared" si="18"/>
        <v>2.4258091513662761E-2</v>
      </c>
      <c r="N65" s="231">
        <f t="shared" si="18"/>
        <v>0</v>
      </c>
      <c r="O65" s="231">
        <f t="shared" si="18"/>
        <v>0</v>
      </c>
      <c r="P65" s="231">
        <f t="shared" si="18"/>
        <v>0</v>
      </c>
      <c r="Q65" s="231">
        <f t="shared" si="18"/>
        <v>0</v>
      </c>
      <c r="R65" s="231">
        <f t="shared" si="18"/>
        <v>0</v>
      </c>
    </row>
    <row r="66" spans="1:18" s="65" customFormat="1" x14ac:dyDescent="0.25">
      <c r="A66" s="50"/>
      <c r="B66" s="61"/>
      <c r="C66" s="116"/>
      <c r="D66" s="55"/>
      <c r="E66" s="168" t="str">
        <f t="shared" ref="E66:R66" si="19" xml:space="preserve"> E$25</f>
        <v>RPI: Fin year average - percentage increase - final determination</v>
      </c>
      <c r="F66" s="168"/>
      <c r="G66" s="168" t="str">
        <f t="shared" si="19"/>
        <v>%</v>
      </c>
      <c r="H66" s="7"/>
      <c r="I66" s="7"/>
      <c r="J66" s="234">
        <f t="shared" si="19"/>
        <v>0</v>
      </c>
      <c r="K66" s="234">
        <f t="shared" si="19"/>
        <v>0</v>
      </c>
      <c r="L66" s="234">
        <f t="shared" si="19"/>
        <v>3.1522140708501789E-2</v>
      </c>
      <c r="M66" s="234">
        <f t="shared" si="19"/>
        <v>2.8729732247136264E-2</v>
      </c>
      <c r="N66" s="234">
        <f t="shared" si="19"/>
        <v>2.9587648685595269E-2</v>
      </c>
      <c r="O66" s="234">
        <f t="shared" si="19"/>
        <v>3.150368327076003E-2</v>
      </c>
      <c r="P66" s="234">
        <f t="shared" si="19"/>
        <v>3.2000000000000695E-2</v>
      </c>
      <c r="Q66" s="234">
        <f t="shared" si="19"/>
        <v>3.1999999999999806E-2</v>
      </c>
      <c r="R66" s="234">
        <f t="shared" si="19"/>
        <v>2.9999999999999805E-2</v>
      </c>
    </row>
    <row r="67" spans="1:18" s="65" customFormat="1" x14ac:dyDescent="0.25">
      <c r="A67" s="50"/>
      <c r="B67" s="61"/>
      <c r="C67" s="116"/>
      <c r="D67" s="55"/>
      <c r="E67" s="168" t="s">
        <v>422</v>
      </c>
      <c r="F67" s="168"/>
      <c r="G67" s="168" t="s">
        <v>365</v>
      </c>
      <c r="H67" s="7"/>
      <c r="I67" s="7"/>
      <c r="J67" s="235">
        <f xml:space="preserve"> IF(J65 = 0, J66, J65)</f>
        <v>0</v>
      </c>
      <c r="K67" s="235">
        <f xml:space="preserve"> IF(K65 = 0, K66, K65)</f>
        <v>0</v>
      </c>
      <c r="L67" s="235">
        <f t="shared" ref="L67:R67" si="20" xml:space="preserve"> IF(L65 = 0, L66, L65)</f>
        <v>3.1522140708501789E-2</v>
      </c>
      <c r="M67" s="235">
        <f t="shared" si="20"/>
        <v>2.4258091513662761E-2</v>
      </c>
      <c r="N67" s="235">
        <f t="shared" si="20"/>
        <v>2.9587648685595269E-2</v>
      </c>
      <c r="O67" s="235">
        <f t="shared" si="20"/>
        <v>3.150368327076003E-2</v>
      </c>
      <c r="P67" s="235">
        <f t="shared" si="20"/>
        <v>3.2000000000000695E-2</v>
      </c>
      <c r="Q67" s="235">
        <f t="shared" si="20"/>
        <v>3.1999999999999806E-2</v>
      </c>
      <c r="R67" s="235">
        <f t="shared" si="20"/>
        <v>2.9999999999999805E-2</v>
      </c>
    </row>
    <row r="68" spans="1:18" s="65" customFormat="1" x14ac:dyDescent="0.25">
      <c r="A68" s="50"/>
      <c r="B68" s="61"/>
      <c r="C68" s="116"/>
      <c r="D68" s="55"/>
      <c r="E68" s="7"/>
      <c r="F68" s="7"/>
      <c r="G68" s="7"/>
      <c r="H68" s="7"/>
      <c r="I68" s="7"/>
      <c r="J68" s="233"/>
      <c r="K68" s="233"/>
      <c r="L68" s="233"/>
      <c r="M68" s="233"/>
      <c r="N68" s="233"/>
      <c r="O68" s="233"/>
      <c r="P68" s="233"/>
      <c r="Q68" s="233"/>
      <c r="R68" s="233"/>
    </row>
    <row r="69" spans="1:18" s="65" customFormat="1" x14ac:dyDescent="0.25">
      <c r="A69" s="50"/>
      <c r="B69" s="61"/>
      <c r="C69" s="116"/>
      <c r="D69" s="55"/>
      <c r="E69" s="168" t="str">
        <f xml:space="preserve"> E$67</f>
        <v>RPI: Fin year average - percentage increase - final determination active</v>
      </c>
      <c r="F69" s="168"/>
      <c r="G69" s="168" t="str">
        <f t="shared" ref="G69:R69" si="21" xml:space="preserve"> G$67</f>
        <v>%</v>
      </c>
      <c r="H69" s="7"/>
      <c r="I69" s="7"/>
      <c r="J69" s="234">
        <f t="shared" si="21"/>
        <v>0</v>
      </c>
      <c r="K69" s="234">
        <f t="shared" si="21"/>
        <v>0</v>
      </c>
      <c r="L69" s="234">
        <f t="shared" si="21"/>
        <v>3.1522140708501789E-2</v>
      </c>
      <c r="M69" s="234">
        <f t="shared" si="21"/>
        <v>2.4258091513662761E-2</v>
      </c>
      <c r="N69" s="234">
        <f t="shared" si="21"/>
        <v>2.9587648685595269E-2</v>
      </c>
      <c r="O69" s="234">
        <f t="shared" si="21"/>
        <v>3.150368327076003E-2</v>
      </c>
      <c r="P69" s="234">
        <f t="shared" si="21"/>
        <v>3.2000000000000695E-2</v>
      </c>
      <c r="Q69" s="234">
        <f t="shared" si="21"/>
        <v>3.1999999999999806E-2</v>
      </c>
      <c r="R69" s="234">
        <f t="shared" si="21"/>
        <v>2.9999999999999805E-2</v>
      </c>
    </row>
    <row r="70" spans="1:18" s="65" customFormat="1" x14ac:dyDescent="0.25">
      <c r="A70" s="50"/>
      <c r="B70" s="61"/>
      <c r="C70" s="116"/>
      <c r="D70" s="55"/>
      <c r="E70" s="168" t="str">
        <f>E$48</f>
        <v>CPI(H): Fin year average - percentage increase - final determination</v>
      </c>
      <c r="F70" s="168"/>
      <c r="G70" s="168" t="str">
        <f t="shared" ref="G70:R70" si="22">G$48</f>
        <v>%</v>
      </c>
      <c r="H70" s="168"/>
      <c r="I70" s="168"/>
      <c r="J70" s="234">
        <f t="shared" si="22"/>
        <v>0</v>
      </c>
      <c r="K70" s="234">
        <f t="shared" si="22"/>
        <v>2.1269790500559882E-2</v>
      </c>
      <c r="L70" s="234">
        <f t="shared" si="22"/>
        <v>1.9909655450194075E-2</v>
      </c>
      <c r="M70" s="234">
        <f t="shared" si="22"/>
        <v>1.9833640562247679E-2</v>
      </c>
      <c r="N70" s="234">
        <f t="shared" si="22"/>
        <v>2.0041983108134653E-2</v>
      </c>
      <c r="O70" s="234">
        <f t="shared" si="22"/>
        <v>2.0751251595618081E-2</v>
      </c>
      <c r="P70" s="234">
        <f t="shared" si="22"/>
        <v>2.1000000000000574E-2</v>
      </c>
      <c r="Q70" s="234">
        <f t="shared" si="22"/>
        <v>2.100000000000124E-2</v>
      </c>
      <c r="R70" s="234">
        <f t="shared" si="22"/>
        <v>1.999999999999913E-2</v>
      </c>
    </row>
    <row r="71" spans="1:18" s="65" customFormat="1" x14ac:dyDescent="0.25">
      <c r="A71" s="50"/>
      <c r="B71" s="61"/>
      <c r="C71" s="116"/>
      <c r="D71" s="55"/>
      <c r="E71" s="236" t="s">
        <v>423</v>
      </c>
      <c r="F71" s="236"/>
      <c r="G71" s="236" t="s">
        <v>365</v>
      </c>
      <c r="H71" s="236"/>
      <c r="I71" s="236"/>
      <c r="J71" s="237"/>
      <c r="K71" s="237">
        <f>K69-K70</f>
        <v>-2.1269790500559882E-2</v>
      </c>
      <c r="L71" s="237">
        <f t="shared" ref="L71:R71" si="23">L69-L70</f>
        <v>1.1612485258307714E-2</v>
      </c>
      <c r="M71" s="237">
        <f t="shared" si="23"/>
        <v>4.424450951415082E-3</v>
      </c>
      <c r="N71" s="237">
        <f t="shared" si="23"/>
        <v>9.5456655774606158E-3</v>
      </c>
      <c r="O71" s="237">
        <f t="shared" si="23"/>
        <v>1.0752431675141949E-2</v>
      </c>
      <c r="P71" s="237">
        <f t="shared" si="23"/>
        <v>1.1000000000000121E-2</v>
      </c>
      <c r="Q71" s="237">
        <f t="shared" si="23"/>
        <v>1.0999999999998566E-2</v>
      </c>
      <c r="R71" s="237">
        <f t="shared" si="23"/>
        <v>1.0000000000000675E-2</v>
      </c>
    </row>
    <row r="72" spans="1:18" s="65" customFormat="1" x14ac:dyDescent="0.25">
      <c r="A72" s="50"/>
      <c r="B72" s="61"/>
      <c r="C72" s="116"/>
      <c r="D72" s="55"/>
      <c r="E72" s="230"/>
      <c r="F72" s="230"/>
      <c r="G72" s="230"/>
      <c r="H72" s="230"/>
      <c r="I72" s="230"/>
      <c r="J72" s="230"/>
      <c r="K72" s="230"/>
      <c r="L72" s="230"/>
      <c r="M72" s="230"/>
      <c r="N72" s="230"/>
      <c r="O72" s="230"/>
      <c r="P72" s="230"/>
      <c r="Q72" s="230"/>
      <c r="R72" s="230"/>
    </row>
    <row r="73" spans="1:18" x14ac:dyDescent="0.25">
      <c r="A73" s="274" t="s">
        <v>424</v>
      </c>
      <c r="B73" s="275"/>
      <c r="C73" s="276"/>
      <c r="D73" s="276"/>
      <c r="E73" s="276"/>
      <c r="F73" s="276"/>
      <c r="G73" s="276"/>
      <c r="H73" s="276"/>
      <c r="I73" s="276"/>
      <c r="J73" s="276"/>
      <c r="K73" s="276"/>
      <c r="L73" s="276"/>
      <c r="M73" s="276"/>
      <c r="N73" s="276"/>
      <c r="O73" s="276"/>
      <c r="P73" s="276"/>
      <c r="Q73" s="276"/>
      <c r="R73" s="276"/>
    </row>
    <row r="74" spans="1:18" s="65" customFormat="1" x14ac:dyDescent="0.25">
      <c r="A74" s="50"/>
      <c r="B74" s="61" t="s">
        <v>333</v>
      </c>
      <c r="C74" s="116"/>
      <c r="D74" s="53"/>
      <c r="E74" s="93"/>
      <c r="F74" s="93"/>
      <c r="G74" s="93"/>
      <c r="H74" s="93"/>
      <c r="I74" s="93"/>
      <c r="J74" s="93"/>
      <c r="K74" s="93"/>
      <c r="L74" s="93"/>
      <c r="M74" s="93"/>
      <c r="N74" s="93"/>
      <c r="O74" s="93"/>
      <c r="P74" s="93"/>
      <c r="Q74" s="93"/>
      <c r="R74" s="93"/>
    </row>
    <row r="75" spans="1:18" s="65" customFormat="1" x14ac:dyDescent="0.25">
      <c r="A75" s="50"/>
      <c r="B75" s="61"/>
      <c r="C75" s="116"/>
      <c r="D75" s="53"/>
      <c r="E75" s="230" t="str">
        <f>InpR!E$56</f>
        <v>RPI: April - index - actual (including forecast)</v>
      </c>
      <c r="F75" s="230"/>
      <c r="G75" s="230" t="str">
        <f>InpR!G$56</f>
        <v>index</v>
      </c>
      <c r="H75" s="230"/>
      <c r="I75" s="230"/>
      <c r="J75" s="230">
        <f>InpR!J$56</f>
        <v>0</v>
      </c>
      <c r="K75" s="230">
        <f>InpR!K$56</f>
        <v>279.7</v>
      </c>
      <c r="L75" s="230">
        <f>InpR!L$56</f>
        <v>288.2</v>
      </c>
      <c r="M75" s="230">
        <f>InpR!M$56</f>
        <v>292.60000000000002</v>
      </c>
      <c r="N75" s="230">
        <f>InpR!N$56</f>
        <v>301.10000000000002</v>
      </c>
      <c r="O75" s="230">
        <f>InpR!O$56</f>
        <v>334.6</v>
      </c>
      <c r="P75" s="230">
        <f>InpR!P$56</f>
        <v>372.8</v>
      </c>
      <c r="Q75" s="230">
        <f>InpR!Q$56</f>
        <v>385</v>
      </c>
      <c r="R75" s="230">
        <f>InpR!R$56</f>
        <v>0</v>
      </c>
    </row>
    <row r="76" spans="1:18" s="65" customFormat="1" x14ac:dyDescent="0.25">
      <c r="A76" s="50"/>
      <c r="B76" s="61"/>
      <c r="C76" s="116"/>
      <c r="D76" s="53"/>
      <c r="E76" s="230" t="str">
        <f>InpR!E$57</f>
        <v>RPI: May - index - actual (including forecast)</v>
      </c>
      <c r="F76" s="230"/>
      <c r="G76" s="230" t="str">
        <f>InpR!G$57</f>
        <v>index</v>
      </c>
      <c r="H76" s="230"/>
      <c r="I76" s="230"/>
      <c r="J76" s="230">
        <f>InpR!J$57</f>
        <v>0</v>
      </c>
      <c r="K76" s="230">
        <f>InpR!K$57</f>
        <v>280.7</v>
      </c>
      <c r="L76" s="230">
        <f>InpR!L$57</f>
        <v>289.2</v>
      </c>
      <c r="M76" s="230">
        <f>InpR!M$57</f>
        <v>292.2</v>
      </c>
      <c r="N76" s="230">
        <f>InpR!N$57</f>
        <v>301.89999999999998</v>
      </c>
      <c r="O76" s="230">
        <f>InpR!O$57</f>
        <v>337.1</v>
      </c>
      <c r="P76" s="230">
        <f>InpR!P$57</f>
        <v>375.3</v>
      </c>
      <c r="Q76" s="230">
        <f>InpR!Q$57</f>
        <v>386.4</v>
      </c>
      <c r="R76" s="230">
        <f>InpR!R$57</f>
        <v>0</v>
      </c>
    </row>
    <row r="77" spans="1:18" s="65" customFormat="1" x14ac:dyDescent="0.25">
      <c r="A77" s="50"/>
      <c r="B77" s="61"/>
      <c r="C77" s="116"/>
      <c r="D77" s="53"/>
      <c r="E77" s="230" t="str">
        <f>InpR!E$58</f>
        <v>RPI: June - index - actual (including forecast)</v>
      </c>
      <c r="F77" s="230"/>
      <c r="G77" s="230" t="str">
        <f>InpR!G$58</f>
        <v>index</v>
      </c>
      <c r="H77" s="230"/>
      <c r="I77" s="230"/>
      <c r="J77" s="230">
        <f>InpR!J$58</f>
        <v>0</v>
      </c>
      <c r="K77" s="230">
        <f>InpR!K$58</f>
        <v>281.5</v>
      </c>
      <c r="L77" s="230">
        <f>InpR!L$58</f>
        <v>289.60000000000002</v>
      </c>
      <c r="M77" s="230">
        <f>InpR!M$58</f>
        <v>292.7</v>
      </c>
      <c r="N77" s="230">
        <f>InpR!N$58</f>
        <v>304</v>
      </c>
      <c r="O77" s="230">
        <f>InpR!O$58</f>
        <v>340</v>
      </c>
      <c r="P77" s="230">
        <f>InpR!P$58</f>
        <v>376.4</v>
      </c>
      <c r="Q77" s="230">
        <f>InpR!Q$58</f>
        <v>387.3</v>
      </c>
      <c r="R77" s="230">
        <f>InpR!R$58</f>
        <v>0</v>
      </c>
    </row>
    <row r="78" spans="1:18" s="65" customFormat="1" x14ac:dyDescent="0.25">
      <c r="A78" s="50"/>
      <c r="B78" s="61"/>
      <c r="C78" s="116"/>
      <c r="D78" s="53"/>
      <c r="E78" s="230" t="str">
        <f>InpR!E$59</f>
        <v>RPI: July - index - actual (including forecast)</v>
      </c>
      <c r="F78" s="230"/>
      <c r="G78" s="230" t="str">
        <f>InpR!G$59</f>
        <v>index</v>
      </c>
      <c r="H78" s="230"/>
      <c r="I78" s="230"/>
      <c r="J78" s="230">
        <f>InpR!J$59</f>
        <v>0</v>
      </c>
      <c r="K78" s="230">
        <f>InpR!K$59</f>
        <v>281.7</v>
      </c>
      <c r="L78" s="230">
        <f>InpR!L$59</f>
        <v>289.5</v>
      </c>
      <c r="M78" s="230">
        <f>InpR!M$59</f>
        <v>294.2</v>
      </c>
      <c r="N78" s="230">
        <f>InpR!N$59</f>
        <v>305.5</v>
      </c>
      <c r="O78" s="230">
        <f>InpR!O$59</f>
        <v>343.2</v>
      </c>
      <c r="P78" s="230">
        <f>InpR!P$59</f>
        <v>374.2</v>
      </c>
      <c r="Q78" s="230">
        <f>InpR!Q$59</f>
        <v>387.5</v>
      </c>
      <c r="R78" s="230">
        <f>InpR!R$59</f>
        <v>0</v>
      </c>
    </row>
    <row r="79" spans="1:18" s="65" customFormat="1" x14ac:dyDescent="0.25">
      <c r="A79" s="50"/>
      <c r="B79" s="61"/>
      <c r="C79" s="116"/>
      <c r="D79" s="53"/>
      <c r="E79" s="230" t="str">
        <f>InpR!E$60</f>
        <v>RPI: August - index - actual (including forecast)</v>
      </c>
      <c r="F79" s="230"/>
      <c r="G79" s="230" t="str">
        <f>InpR!G$60</f>
        <v>index</v>
      </c>
      <c r="H79" s="230"/>
      <c r="I79" s="230"/>
      <c r="J79" s="230">
        <f>InpR!J$60</f>
        <v>0</v>
      </c>
      <c r="K79" s="230">
        <f>InpR!K$60</f>
        <v>284.2</v>
      </c>
      <c r="L79" s="230">
        <f>InpR!L$60</f>
        <v>291.7</v>
      </c>
      <c r="M79" s="230">
        <f>InpR!M$60</f>
        <v>293.3</v>
      </c>
      <c r="N79" s="230">
        <f>InpR!N$60</f>
        <v>307.39999999999998</v>
      </c>
      <c r="O79" s="230">
        <f>InpR!O$60</f>
        <v>345.2</v>
      </c>
      <c r="P79" s="230">
        <f>InpR!P$60</f>
        <v>376.6</v>
      </c>
      <c r="Q79" s="230">
        <f>InpR!Q$60</f>
        <v>389.9</v>
      </c>
      <c r="R79" s="230">
        <f>InpR!R$60</f>
        <v>0</v>
      </c>
    </row>
    <row r="80" spans="1:18" s="65" customFormat="1" x14ac:dyDescent="0.25">
      <c r="A80" s="50"/>
      <c r="B80" s="61"/>
      <c r="C80" s="116"/>
      <c r="D80" s="53"/>
      <c r="E80" s="230" t="str">
        <f>InpR!E$61</f>
        <v>RPI: September - index - actual (including forecast)</v>
      </c>
      <c r="F80" s="230"/>
      <c r="G80" s="230" t="str">
        <f>InpR!G$61</f>
        <v>index</v>
      </c>
      <c r="H80" s="230"/>
      <c r="I80" s="230"/>
      <c r="J80" s="230">
        <f>InpR!J$61</f>
        <v>0</v>
      </c>
      <c r="K80" s="230">
        <f>InpR!K$61</f>
        <v>284.10000000000002</v>
      </c>
      <c r="L80" s="230">
        <f>InpR!L$61</f>
        <v>291</v>
      </c>
      <c r="M80" s="230">
        <f>InpR!M$61</f>
        <v>294.3</v>
      </c>
      <c r="N80" s="230">
        <f>InpR!N$61</f>
        <v>308.60000000000002</v>
      </c>
      <c r="O80" s="230">
        <f>InpR!O$61</f>
        <v>347.6</v>
      </c>
      <c r="P80" s="230">
        <f>InpR!P$61</f>
        <v>378.4</v>
      </c>
      <c r="Q80" s="230">
        <f>InpR!Q$61</f>
        <v>388.6</v>
      </c>
      <c r="R80" s="230">
        <f>InpR!R$61</f>
        <v>0</v>
      </c>
    </row>
    <row r="81" spans="1:18" s="65" customFormat="1" x14ac:dyDescent="0.25">
      <c r="A81" s="50"/>
      <c r="B81" s="61"/>
      <c r="C81" s="116"/>
      <c r="D81" s="53"/>
      <c r="E81" s="230" t="str">
        <f>InpR!E$62</f>
        <v>RPI: October - index - actual (including forecast)</v>
      </c>
      <c r="F81" s="230"/>
      <c r="G81" s="230" t="str">
        <f>InpR!G$62</f>
        <v>index</v>
      </c>
      <c r="H81" s="230"/>
      <c r="I81" s="230"/>
      <c r="J81" s="230">
        <f>InpR!J$62</f>
        <v>0</v>
      </c>
      <c r="K81" s="230">
        <f>InpR!K$62</f>
        <v>284.5</v>
      </c>
      <c r="L81" s="230">
        <f>InpR!L$62</f>
        <v>290.39999999999998</v>
      </c>
      <c r="M81" s="230">
        <f>InpR!M$62</f>
        <v>294.3</v>
      </c>
      <c r="N81" s="230">
        <f>InpR!N$62</f>
        <v>312</v>
      </c>
      <c r="O81" s="230">
        <f>InpR!O$62</f>
        <v>356.2</v>
      </c>
      <c r="P81" s="230">
        <f>InpR!P$62</f>
        <v>377.8</v>
      </c>
      <c r="Q81" s="230">
        <f>InpR!Q$62</f>
        <v>390.7</v>
      </c>
      <c r="R81" s="230">
        <f>InpR!R$62</f>
        <v>0</v>
      </c>
    </row>
    <row r="82" spans="1:18" s="65" customFormat="1" x14ac:dyDescent="0.25">
      <c r="A82" s="50"/>
      <c r="B82" s="61"/>
      <c r="C82" s="116"/>
      <c r="D82" s="53"/>
      <c r="E82" s="230" t="str">
        <f>InpR!E$63</f>
        <v>RPI: November - index - actual (including forecast)</v>
      </c>
      <c r="F82" s="230"/>
      <c r="G82" s="230" t="str">
        <f>InpR!G$63</f>
        <v>index</v>
      </c>
      <c r="H82" s="230"/>
      <c r="I82" s="230"/>
      <c r="J82" s="230">
        <f>InpR!J$63</f>
        <v>0</v>
      </c>
      <c r="K82" s="230">
        <f>InpR!K$63</f>
        <v>284.60000000000002</v>
      </c>
      <c r="L82" s="230">
        <f>InpR!L$63</f>
        <v>291</v>
      </c>
      <c r="M82" s="230">
        <f>InpR!M$63</f>
        <v>293.5</v>
      </c>
      <c r="N82" s="230">
        <f>InpR!N$63</f>
        <v>314.3</v>
      </c>
      <c r="O82" s="230">
        <f>InpR!O$63</f>
        <v>358.3</v>
      </c>
      <c r="P82" s="230">
        <f>InpR!P$63</f>
        <v>377.3</v>
      </c>
      <c r="Q82" s="230">
        <f>InpR!Q$63</f>
        <v>390.9</v>
      </c>
      <c r="R82" s="230">
        <f>InpR!R$63</f>
        <v>0</v>
      </c>
    </row>
    <row r="83" spans="1:18" s="65" customFormat="1" x14ac:dyDescent="0.25">
      <c r="A83" s="50"/>
      <c r="B83" s="61"/>
      <c r="C83" s="116"/>
      <c r="D83" s="53"/>
      <c r="E83" s="230" t="str">
        <f>InpR!E$64</f>
        <v>RPI: December - index - actual (including forecast)</v>
      </c>
      <c r="F83" s="230"/>
      <c r="G83" s="230" t="str">
        <f>InpR!G$64</f>
        <v>index</v>
      </c>
      <c r="H83" s="230"/>
      <c r="I83" s="230"/>
      <c r="J83" s="230">
        <f>InpR!J$64</f>
        <v>0</v>
      </c>
      <c r="K83" s="230">
        <f>InpR!K$64</f>
        <v>285.60000000000002</v>
      </c>
      <c r="L83" s="230">
        <f>InpR!L$64</f>
        <v>291.89999999999998</v>
      </c>
      <c r="M83" s="230">
        <f>InpR!M$64</f>
        <v>295.39999999999998</v>
      </c>
      <c r="N83" s="230">
        <f>InpR!N$64</f>
        <v>317.7</v>
      </c>
      <c r="O83" s="230">
        <f>InpR!O$64</f>
        <v>360.4</v>
      </c>
      <c r="P83" s="230">
        <f>InpR!P$64</f>
        <v>379</v>
      </c>
      <c r="Q83" s="230">
        <f>InpR!Q$64</f>
        <v>392.1</v>
      </c>
      <c r="R83" s="230">
        <f>InpR!R$64</f>
        <v>0</v>
      </c>
    </row>
    <row r="84" spans="1:18" s="65" customFormat="1" x14ac:dyDescent="0.25">
      <c r="A84" s="50"/>
      <c r="B84" s="61"/>
      <c r="C84" s="116"/>
      <c r="D84" s="53"/>
      <c r="E84" s="230" t="str">
        <f>InpR!E$65</f>
        <v>RPI: January - index - actual (including forecast)</v>
      </c>
      <c r="F84" s="230"/>
      <c r="G84" s="230" t="str">
        <f>InpR!G$65</f>
        <v>index</v>
      </c>
      <c r="H84" s="230"/>
      <c r="I84" s="230"/>
      <c r="J84" s="230">
        <f>InpR!J$65</f>
        <v>0</v>
      </c>
      <c r="K84" s="230">
        <f>InpR!K$65</f>
        <v>283</v>
      </c>
      <c r="L84" s="230">
        <f>InpR!L$65</f>
        <v>290.60000000000002</v>
      </c>
      <c r="M84" s="230">
        <f>InpR!M$65</f>
        <v>294.60000000000002</v>
      </c>
      <c r="N84" s="230">
        <f>InpR!N$65</f>
        <v>317.7</v>
      </c>
      <c r="O84" s="230">
        <f>InpR!O$65</f>
        <v>360.3</v>
      </c>
      <c r="P84" s="230">
        <f>InpR!P$65</f>
        <v>378</v>
      </c>
      <c r="Q84" s="230">
        <f>InpR!Q$65</f>
        <v>391.7</v>
      </c>
      <c r="R84" s="230">
        <f>InpR!R$65</f>
        <v>0</v>
      </c>
    </row>
    <row r="85" spans="1:18" s="65" customFormat="1" x14ac:dyDescent="0.25">
      <c r="A85" s="50"/>
      <c r="B85" s="61"/>
      <c r="C85" s="116"/>
      <c r="D85" s="53"/>
      <c r="E85" s="230" t="str">
        <f>InpR!E$66</f>
        <v>RPI: February - index - actual (including forecast)</v>
      </c>
      <c r="F85" s="230"/>
      <c r="G85" s="230" t="str">
        <f>InpR!G$66</f>
        <v>index</v>
      </c>
      <c r="H85" s="230"/>
      <c r="I85" s="230"/>
      <c r="J85" s="230">
        <f>InpR!J$66</f>
        <v>0</v>
      </c>
      <c r="K85" s="230">
        <f>InpR!K$66</f>
        <v>285</v>
      </c>
      <c r="L85" s="230">
        <f>InpR!L$66</f>
        <v>292</v>
      </c>
      <c r="M85" s="230">
        <f>InpR!M$66</f>
        <v>296</v>
      </c>
      <c r="N85" s="230">
        <f>InpR!N$66</f>
        <v>320.2</v>
      </c>
      <c r="O85" s="230">
        <f>InpR!O$66</f>
        <v>364.5</v>
      </c>
      <c r="P85" s="230">
        <f>InpR!P$66</f>
        <v>381</v>
      </c>
      <c r="Q85" s="230">
        <f>InpR!Q$66</f>
        <v>394</v>
      </c>
      <c r="R85" s="230">
        <f>InpR!R$66</f>
        <v>0</v>
      </c>
    </row>
    <row r="86" spans="1:18" s="65" customFormat="1" x14ac:dyDescent="0.25">
      <c r="A86" s="50"/>
      <c r="B86" s="61"/>
      <c r="C86" s="116"/>
      <c r="D86" s="53"/>
      <c r="E86" s="230" t="str">
        <f>InpR!E$67</f>
        <v>RPI: March - index - actual (including forecast)</v>
      </c>
      <c r="F86" s="230"/>
      <c r="G86" s="230" t="str">
        <f>InpR!G$67</f>
        <v>index</v>
      </c>
      <c r="H86" s="230"/>
      <c r="I86" s="230"/>
      <c r="J86" s="230">
        <f>InpR!J$67</f>
        <v>0</v>
      </c>
      <c r="K86" s="230">
        <f>InpR!K$67</f>
        <v>285.10000000000002</v>
      </c>
      <c r="L86" s="230">
        <f>InpR!L$67</f>
        <v>292.60000000000002</v>
      </c>
      <c r="M86" s="230">
        <f>InpR!M$67</f>
        <v>296.89999999999998</v>
      </c>
      <c r="N86" s="230">
        <f>InpR!N$67</f>
        <v>323.5</v>
      </c>
      <c r="O86" s="230">
        <f>InpR!O$67</f>
        <v>367.2</v>
      </c>
      <c r="P86" s="230">
        <f>InpR!P$67</f>
        <v>383</v>
      </c>
      <c r="Q86" s="230">
        <f>InpR!Q$67</f>
        <v>395.3</v>
      </c>
      <c r="R86" s="230">
        <f>InpR!R$67</f>
        <v>0</v>
      </c>
    </row>
    <row r="87" spans="1:18" s="65" customFormat="1" x14ac:dyDescent="0.25">
      <c r="A87" s="49"/>
      <c r="B87" s="61"/>
      <c r="C87" s="116"/>
      <c r="D87" s="53"/>
      <c r="E87" s="93"/>
      <c r="F87" s="93"/>
      <c r="G87" s="93"/>
      <c r="H87" s="93"/>
      <c r="I87" s="93"/>
      <c r="J87" s="93"/>
      <c r="K87" s="93"/>
      <c r="L87" s="93"/>
      <c r="M87" s="93"/>
      <c r="N87" s="93"/>
      <c r="O87" s="93"/>
      <c r="P87" s="93"/>
      <c r="Q87" s="93"/>
      <c r="R87" s="93"/>
    </row>
    <row r="88" spans="1:18" s="65" customFormat="1" x14ac:dyDescent="0.25">
      <c r="A88" s="50"/>
      <c r="B88" s="61"/>
      <c r="C88" s="116"/>
      <c r="D88" s="55"/>
      <c r="E88" s="91" t="s">
        <v>425</v>
      </c>
      <c r="F88" s="91"/>
      <c r="G88" s="91" t="s">
        <v>307</v>
      </c>
      <c r="H88" s="7"/>
      <c r="I88" s="7"/>
      <c r="J88" s="91">
        <f xml:space="preserve"> SUM(J75:J86) / 12</f>
        <v>0</v>
      </c>
      <c r="K88" s="91">
        <f t="shared" ref="K88:R88" si="24" xml:space="preserve"> SUM(K75:K86) / 12</f>
        <v>283.30833333333334</v>
      </c>
      <c r="L88" s="91">
        <f t="shared" si="24"/>
        <v>290.64166666666665</v>
      </c>
      <c r="M88" s="91">
        <f t="shared" si="24"/>
        <v>294.16666666666669</v>
      </c>
      <c r="N88" s="91">
        <f t="shared" si="24"/>
        <v>311.1583333333333</v>
      </c>
      <c r="O88" s="91">
        <f t="shared" si="24"/>
        <v>351.2166666666667</v>
      </c>
      <c r="P88" s="91">
        <f t="shared" si="24"/>
        <v>377.48333333333341</v>
      </c>
      <c r="Q88" s="91">
        <f t="shared" si="24"/>
        <v>389.95</v>
      </c>
      <c r="R88" s="91">
        <f t="shared" si="24"/>
        <v>0</v>
      </c>
    </row>
    <row r="89" spans="1:18" s="65" customFormat="1" x14ac:dyDescent="0.25">
      <c r="A89" s="50"/>
      <c r="B89" s="61"/>
      <c r="C89" s="116"/>
      <c r="D89" s="55"/>
      <c r="E89" s="91" t="s">
        <v>426</v>
      </c>
      <c r="F89" s="7"/>
      <c r="G89" s="91" t="s">
        <v>365</v>
      </c>
      <c r="H89" s="7"/>
      <c r="I89" s="7"/>
      <c r="J89" s="231">
        <f xml:space="preserve"> IF(I$88 = 0, 0, J$88 / I$88 - 1)</f>
        <v>0</v>
      </c>
      <c r="K89" s="231">
        <f t="shared" ref="K89:R89" si="25" xml:space="preserve"> IF(J$88 = 0, 0, K$88 / J$88 - 1)</f>
        <v>0</v>
      </c>
      <c r="L89" s="231">
        <f t="shared" si="25"/>
        <v>2.5884636879724532E-2</v>
      </c>
      <c r="M89" s="231">
        <f t="shared" si="25"/>
        <v>1.2128336726209277E-2</v>
      </c>
      <c r="N89" s="231">
        <f t="shared" si="25"/>
        <v>5.7762039660056441E-2</v>
      </c>
      <c r="O89" s="231">
        <f t="shared" si="25"/>
        <v>0.12873938777149907</v>
      </c>
      <c r="P89" s="231">
        <f t="shared" si="25"/>
        <v>7.4787642955440825E-2</v>
      </c>
      <c r="Q89" s="231">
        <f t="shared" si="25"/>
        <v>3.3025740650801216E-2</v>
      </c>
      <c r="R89" s="231">
        <f t="shared" si="25"/>
        <v>-1</v>
      </c>
    </row>
    <row r="90" spans="1:18" s="65" customFormat="1" x14ac:dyDescent="0.25">
      <c r="A90" s="50"/>
      <c r="B90" s="61"/>
      <c r="C90" s="116"/>
      <c r="D90" s="55"/>
      <c r="E90" s="91"/>
      <c r="F90" s="91"/>
      <c r="G90" s="91"/>
      <c r="H90" s="91"/>
      <c r="I90" s="91"/>
      <c r="J90" s="7"/>
      <c r="K90" s="7"/>
      <c r="L90" s="7"/>
      <c r="M90" s="7"/>
      <c r="N90" s="7"/>
      <c r="O90" s="7"/>
      <c r="P90" s="7"/>
      <c r="Q90" s="7"/>
      <c r="R90" s="7"/>
    </row>
    <row r="91" spans="1:18" s="65" customFormat="1" x14ac:dyDescent="0.25">
      <c r="A91" s="50"/>
      <c r="B91" s="61"/>
      <c r="C91" s="116"/>
      <c r="D91" s="55"/>
      <c r="E91" s="91" t="str">
        <f>E$86</f>
        <v>RPI: March - index - actual (including forecast)</v>
      </c>
      <c r="F91" s="91"/>
      <c r="G91" s="91" t="str">
        <f t="shared" ref="G91:R91" si="26">G$86</f>
        <v>index</v>
      </c>
      <c r="H91" s="91"/>
      <c r="I91" s="91"/>
      <c r="J91" s="91">
        <f t="shared" si="26"/>
        <v>0</v>
      </c>
      <c r="K91" s="91">
        <f t="shared" si="26"/>
        <v>285.10000000000002</v>
      </c>
      <c r="L91" s="91">
        <f t="shared" si="26"/>
        <v>292.60000000000002</v>
      </c>
      <c r="M91" s="91">
        <f t="shared" si="26"/>
        <v>296.89999999999998</v>
      </c>
      <c r="N91" s="91">
        <f t="shared" si="26"/>
        <v>323.5</v>
      </c>
      <c r="O91" s="91">
        <f t="shared" si="26"/>
        <v>367.2</v>
      </c>
      <c r="P91" s="91">
        <f t="shared" si="26"/>
        <v>383</v>
      </c>
      <c r="Q91" s="91">
        <f t="shared" si="26"/>
        <v>395.3</v>
      </c>
      <c r="R91" s="91">
        <f t="shared" si="26"/>
        <v>0</v>
      </c>
    </row>
    <row r="92" spans="1:18" s="65" customFormat="1" x14ac:dyDescent="0.25">
      <c r="A92" s="5"/>
      <c r="B92" s="9"/>
      <c r="C92" s="117"/>
      <c r="D92" s="6"/>
      <c r="E92" s="168" t="str">
        <f>E$88</f>
        <v>RPI: Financial year average - index - actual (including forecast)</v>
      </c>
      <c r="F92" s="7"/>
      <c r="G92" s="91" t="str">
        <f>G$88</f>
        <v>index</v>
      </c>
      <c r="H92" s="91"/>
      <c r="I92" s="91"/>
      <c r="J92" s="91">
        <f t="shared" ref="J92:R92" si="27">J$88</f>
        <v>0</v>
      </c>
      <c r="K92" s="91">
        <f t="shared" si="27"/>
        <v>283.30833333333334</v>
      </c>
      <c r="L92" s="91">
        <f t="shared" si="27"/>
        <v>290.64166666666665</v>
      </c>
      <c r="M92" s="91">
        <f t="shared" si="27"/>
        <v>294.16666666666669</v>
      </c>
      <c r="N92" s="91">
        <f t="shared" si="27"/>
        <v>311.1583333333333</v>
      </c>
      <c r="O92" s="91">
        <f t="shared" si="27"/>
        <v>351.2166666666667</v>
      </c>
      <c r="P92" s="91">
        <f t="shared" si="27"/>
        <v>377.48333333333341</v>
      </c>
      <c r="Q92" s="91">
        <f t="shared" si="27"/>
        <v>389.95</v>
      </c>
      <c r="R92" s="91">
        <f t="shared" si="27"/>
        <v>0</v>
      </c>
    </row>
    <row r="93" spans="1:18" s="65" customFormat="1" x14ac:dyDescent="0.25">
      <c r="A93" s="50"/>
      <c r="B93" s="232"/>
      <c r="C93" s="232"/>
      <c r="D93" s="232"/>
      <c r="E93" s="101" t="str">
        <f>Time!E$46</f>
        <v>1st Forecast Period Flag</v>
      </c>
      <c r="F93" s="101"/>
      <c r="G93" s="101" t="str">
        <f>Time!G$46</f>
        <v>flag</v>
      </c>
      <c r="H93" s="101">
        <f>Time!H$46</f>
        <v>1</v>
      </c>
      <c r="I93" s="101">
        <f>Time!I$46</f>
        <v>0</v>
      </c>
      <c r="J93" s="101">
        <f>Time!J$46</f>
        <v>0</v>
      </c>
      <c r="K93" s="101">
        <f>Time!K$46</f>
        <v>0</v>
      </c>
      <c r="L93" s="101">
        <f>Time!L$46</f>
        <v>0</v>
      </c>
      <c r="M93" s="101">
        <f>Time!M$46</f>
        <v>1</v>
      </c>
      <c r="N93" s="101">
        <f>Time!N$46</f>
        <v>0</v>
      </c>
      <c r="O93" s="101">
        <f>Time!O$46</f>
        <v>0</v>
      </c>
      <c r="P93" s="101">
        <f>Time!P$46</f>
        <v>0</v>
      </c>
      <c r="Q93" s="101">
        <f>Time!Q$46</f>
        <v>0</v>
      </c>
      <c r="R93" s="101">
        <f>Time!R$46</f>
        <v>0</v>
      </c>
    </row>
    <row r="94" spans="1:18" s="65" customFormat="1" x14ac:dyDescent="0.25">
      <c r="A94" s="50"/>
      <c r="B94" s="61"/>
      <c r="C94" s="116"/>
      <c r="D94" s="55"/>
      <c r="E94" s="168" t="s">
        <v>427</v>
      </c>
      <c r="F94" s="7"/>
      <c r="G94" s="91" t="s">
        <v>365</v>
      </c>
      <c r="H94" s="7"/>
      <c r="I94" s="7"/>
      <c r="J94" s="231">
        <f xml:space="preserve"> IFERROR((J92 / I91 - 1) * J93, 0)</f>
        <v>0</v>
      </c>
      <c r="K94" s="231">
        <f t="shared" ref="K94" si="28" xml:space="preserve"> IFERROR((K92 / J91 - 1) * K93, 0)</f>
        <v>0</v>
      </c>
      <c r="L94" s="231">
        <f t="shared" ref="L94" si="29" xml:space="preserve"> IFERROR((L92 / K91 - 1) * L93, 0)</f>
        <v>0</v>
      </c>
      <c r="M94" s="231">
        <f xml:space="preserve"> IFERROR((M92 / L91 - 1) * M93, 0)</f>
        <v>5.3542948279790004E-3</v>
      </c>
      <c r="N94" s="231">
        <f t="shared" ref="N94" si="30" xml:space="preserve"> IFERROR((N92 / M91 - 1) * N93, 0)</f>
        <v>0</v>
      </c>
      <c r="O94" s="231">
        <f t="shared" ref="O94" si="31" xml:space="preserve"> IFERROR((O92 / N91 - 1) * O93, 0)</f>
        <v>0</v>
      </c>
      <c r="P94" s="231">
        <f t="shared" ref="P94" si="32" xml:space="preserve"> IFERROR((P92 / O91 - 1) * P93, 0)</f>
        <v>0</v>
      </c>
      <c r="Q94" s="231">
        <f t="shared" ref="Q94" si="33" xml:space="preserve"> IFERROR((Q92 / P91 - 1) * Q93, 0)</f>
        <v>0</v>
      </c>
      <c r="R94" s="231">
        <f t="shared" ref="R94" si="34" xml:space="preserve"> IFERROR((R92 / Q91 - 1) * R93, 0)</f>
        <v>0</v>
      </c>
    </row>
    <row r="95" spans="1:18" s="65" customFormat="1" x14ac:dyDescent="0.25">
      <c r="A95" s="50"/>
      <c r="B95" s="61"/>
      <c r="C95" s="116"/>
      <c r="D95" s="53"/>
      <c r="E95" s="93"/>
      <c r="F95" s="93"/>
      <c r="G95" s="93"/>
      <c r="H95" s="93"/>
      <c r="I95" s="93"/>
      <c r="J95" s="93"/>
      <c r="K95" s="93"/>
      <c r="L95" s="93"/>
      <c r="M95" s="93"/>
      <c r="N95" s="93"/>
      <c r="O95" s="93"/>
      <c r="P95" s="93"/>
      <c r="Q95" s="93"/>
      <c r="R95" s="93"/>
    </row>
    <row r="96" spans="1:18" s="65" customFormat="1" x14ac:dyDescent="0.25">
      <c r="A96" s="50"/>
      <c r="B96" s="61" t="s">
        <v>346</v>
      </c>
      <c r="C96" s="116"/>
      <c r="D96" s="53"/>
      <c r="E96" s="93"/>
      <c r="F96" s="93"/>
      <c r="G96" s="93"/>
      <c r="H96" s="93"/>
      <c r="I96" s="93"/>
      <c r="J96" s="93"/>
      <c r="K96" s="93"/>
      <c r="L96" s="93"/>
      <c r="M96" s="93"/>
      <c r="N96" s="93"/>
      <c r="O96" s="93"/>
      <c r="P96" s="93"/>
      <c r="Q96" s="93"/>
      <c r="R96" s="93"/>
    </row>
    <row r="97" spans="1:18" s="65" customFormat="1" x14ac:dyDescent="0.25">
      <c r="A97" s="50"/>
      <c r="B97" s="61"/>
      <c r="C97" s="116"/>
      <c r="D97" s="53"/>
      <c r="E97" s="230" t="str">
        <f>InpR!E$70</f>
        <v>CPI(H): April - index - actual (including forecast)</v>
      </c>
      <c r="F97" s="230"/>
      <c r="G97" s="230" t="str">
        <f>InpR!G$70</f>
        <v>index</v>
      </c>
      <c r="H97" s="230"/>
      <c r="I97" s="230"/>
      <c r="J97" s="230">
        <f>InpR!J$70</f>
        <v>103.2</v>
      </c>
      <c r="K97" s="230">
        <f>InpR!K$70</f>
        <v>105.5</v>
      </c>
      <c r="L97" s="230">
        <f>InpR!L$70</f>
        <v>107.6</v>
      </c>
      <c r="M97" s="230">
        <f>InpR!M$70</f>
        <v>108.6</v>
      </c>
      <c r="N97" s="230">
        <f>InpR!N$70</f>
        <v>110.4</v>
      </c>
      <c r="O97" s="230">
        <f>InpR!O$70</f>
        <v>119</v>
      </c>
      <c r="P97" s="230">
        <f>InpR!P$70</f>
        <v>128.30000000000001</v>
      </c>
      <c r="Q97" s="230">
        <f>InpR!Q$70</f>
        <v>132.19999999999999</v>
      </c>
      <c r="R97" s="230">
        <f>InpR!R$70</f>
        <v>0</v>
      </c>
    </row>
    <row r="98" spans="1:18" s="65" customFormat="1" x14ac:dyDescent="0.25">
      <c r="A98" s="50"/>
      <c r="B98" s="61"/>
      <c r="C98" s="116"/>
      <c r="D98" s="53"/>
      <c r="E98" s="230" t="str">
        <f>InpR!E$71</f>
        <v>CPI(H): May - index - actual (including forecast)</v>
      </c>
      <c r="F98" s="230"/>
      <c r="G98" s="230" t="str">
        <f>InpR!G$71</f>
        <v>index</v>
      </c>
      <c r="H98" s="230"/>
      <c r="I98" s="230"/>
      <c r="J98" s="230">
        <f>InpR!J$71</f>
        <v>103.5</v>
      </c>
      <c r="K98" s="230">
        <f>InpR!K$71</f>
        <v>105.9</v>
      </c>
      <c r="L98" s="230">
        <f>InpR!L$71</f>
        <v>107.9</v>
      </c>
      <c r="M98" s="230">
        <f>InpR!M$71</f>
        <v>108.6</v>
      </c>
      <c r="N98" s="230">
        <f>InpR!N$71</f>
        <v>111</v>
      </c>
      <c r="O98" s="230">
        <f>InpR!O$71</f>
        <v>119.7</v>
      </c>
      <c r="P98" s="230">
        <f>InpR!P$71</f>
        <v>129.1</v>
      </c>
      <c r="Q98" s="230">
        <f>InpR!Q$71</f>
        <v>132.69999999999999</v>
      </c>
      <c r="R98" s="230">
        <f>InpR!R$71</f>
        <v>0</v>
      </c>
    </row>
    <row r="99" spans="1:18" s="65" customFormat="1" x14ac:dyDescent="0.25">
      <c r="A99" s="50"/>
      <c r="B99" s="61"/>
      <c r="C99" s="116"/>
      <c r="D99" s="53"/>
      <c r="E99" s="230" t="str">
        <f>InpR!E$72</f>
        <v>CPI(H): June - index - actual (including forecast)</v>
      </c>
      <c r="F99" s="230"/>
      <c r="G99" s="230" t="str">
        <f>InpR!G$72</f>
        <v>index</v>
      </c>
      <c r="H99" s="230"/>
      <c r="I99" s="230"/>
      <c r="J99" s="230">
        <f>InpR!J$72</f>
        <v>103.5</v>
      </c>
      <c r="K99" s="230">
        <f>InpR!K$72</f>
        <v>105.9</v>
      </c>
      <c r="L99" s="230">
        <f>InpR!L$72</f>
        <v>107.9</v>
      </c>
      <c r="M99" s="230">
        <f>InpR!M$72</f>
        <v>108.8</v>
      </c>
      <c r="N99" s="230">
        <f>InpR!N$72</f>
        <v>111.4</v>
      </c>
      <c r="O99" s="230">
        <f>InpR!O$72</f>
        <v>120.5</v>
      </c>
      <c r="P99" s="230">
        <f>InpR!P$72</f>
        <v>129.4</v>
      </c>
      <c r="Q99" s="230">
        <f>InpR!Q$72</f>
        <v>133</v>
      </c>
      <c r="R99" s="230">
        <f>InpR!R$72</f>
        <v>0</v>
      </c>
    </row>
    <row r="100" spans="1:18" s="65" customFormat="1" x14ac:dyDescent="0.25">
      <c r="A100" s="50"/>
      <c r="B100" s="61"/>
      <c r="C100" s="116"/>
      <c r="D100" s="53"/>
      <c r="E100" s="230" t="str">
        <f>InpR!E$73</f>
        <v>CPI(H): July - index - actual (including forecast)</v>
      </c>
      <c r="F100" s="230"/>
      <c r="G100" s="230" t="str">
        <f>InpR!G$73</f>
        <v>index</v>
      </c>
      <c r="H100" s="230"/>
      <c r="I100" s="230"/>
      <c r="J100" s="230">
        <f>InpR!J$73</f>
        <v>103.5</v>
      </c>
      <c r="K100" s="230">
        <f>InpR!K$73</f>
        <v>105.9</v>
      </c>
      <c r="L100" s="230">
        <f>InpR!L$73</f>
        <v>108</v>
      </c>
      <c r="M100" s="230">
        <f>InpR!M$73</f>
        <v>109.2</v>
      </c>
      <c r="N100" s="230">
        <f>InpR!N$73</f>
        <v>111.4</v>
      </c>
      <c r="O100" s="230">
        <f>InpR!O$73</f>
        <v>121.2</v>
      </c>
      <c r="P100" s="230">
        <f>InpR!P$73</f>
        <v>129</v>
      </c>
      <c r="Q100" s="230">
        <f>InpR!Q$73</f>
        <v>132.9</v>
      </c>
      <c r="R100" s="230">
        <f>InpR!R$73</f>
        <v>0</v>
      </c>
    </row>
    <row r="101" spans="1:18" s="65" customFormat="1" x14ac:dyDescent="0.25">
      <c r="A101" s="50"/>
      <c r="B101" s="61"/>
      <c r="C101" s="116"/>
      <c r="D101" s="53"/>
      <c r="E101" s="230" t="str">
        <f>InpR!E$74</f>
        <v>CPI(H): August - index - actual (including forecast)</v>
      </c>
      <c r="F101" s="230"/>
      <c r="G101" s="230" t="str">
        <f>InpR!G$74</f>
        <v>index</v>
      </c>
      <c r="H101" s="230"/>
      <c r="I101" s="230"/>
      <c r="J101" s="230">
        <f>InpR!J$74</f>
        <v>104</v>
      </c>
      <c r="K101" s="230">
        <f>InpR!K$74</f>
        <v>106.5</v>
      </c>
      <c r="L101" s="230">
        <f>InpR!L$74</f>
        <v>108.3</v>
      </c>
      <c r="M101" s="230">
        <f>InpR!M$74</f>
        <v>108.8</v>
      </c>
      <c r="N101" s="230">
        <f>InpR!N$74</f>
        <v>112.1</v>
      </c>
      <c r="O101" s="230">
        <f>InpR!O$74</f>
        <v>121.8</v>
      </c>
      <c r="P101" s="230">
        <f>InpR!P$74</f>
        <v>129.4</v>
      </c>
      <c r="Q101" s="230">
        <f>InpR!Q$74</f>
        <v>133.4</v>
      </c>
      <c r="R101" s="230">
        <f>InpR!R$74</f>
        <v>0</v>
      </c>
    </row>
    <row r="102" spans="1:18" s="65" customFormat="1" x14ac:dyDescent="0.25">
      <c r="A102" s="50"/>
      <c r="B102" s="61"/>
      <c r="C102" s="116"/>
      <c r="D102" s="53"/>
      <c r="E102" s="230" t="str">
        <f>InpR!E$75</f>
        <v>CPI(H): September - index - actual (including forecast)</v>
      </c>
      <c r="F102" s="230"/>
      <c r="G102" s="230" t="str">
        <f>InpR!G$75</f>
        <v>index</v>
      </c>
      <c r="H102" s="230"/>
      <c r="I102" s="230"/>
      <c r="J102" s="230">
        <f>InpR!J$75</f>
        <v>104.3</v>
      </c>
      <c r="K102" s="230">
        <f>InpR!K$75</f>
        <v>106.6</v>
      </c>
      <c r="L102" s="230">
        <f>InpR!L$75</f>
        <v>108.4</v>
      </c>
      <c r="M102" s="230">
        <f>InpR!M$75</f>
        <v>109.2</v>
      </c>
      <c r="N102" s="230">
        <f>InpR!N$75</f>
        <v>112.4</v>
      </c>
      <c r="O102" s="230">
        <f>InpR!O$75</f>
        <v>122.3</v>
      </c>
      <c r="P102" s="230">
        <f>InpR!P$75</f>
        <v>130.1</v>
      </c>
      <c r="Q102" s="230">
        <f>InpR!Q$75</f>
        <v>133.5</v>
      </c>
      <c r="R102" s="230">
        <f>InpR!R$75</f>
        <v>0</v>
      </c>
    </row>
    <row r="103" spans="1:18" s="65" customFormat="1" x14ac:dyDescent="0.25">
      <c r="A103" s="50"/>
      <c r="B103" s="61"/>
      <c r="C103" s="116"/>
      <c r="D103" s="53"/>
      <c r="E103" s="230" t="str">
        <f>InpR!E$76</f>
        <v>CPI(H): October - index - actual (including forecast)</v>
      </c>
      <c r="F103" s="230"/>
      <c r="G103" s="230" t="str">
        <f>InpR!G$76</f>
        <v>index</v>
      </c>
      <c r="H103" s="230"/>
      <c r="I103" s="230"/>
      <c r="J103" s="230">
        <f>InpR!J$76</f>
        <v>104.4</v>
      </c>
      <c r="K103" s="230">
        <f>InpR!K$76</f>
        <v>106.7</v>
      </c>
      <c r="L103" s="230">
        <f>InpR!L$76</f>
        <v>108.3</v>
      </c>
      <c r="M103" s="230">
        <f>InpR!M$76</f>
        <v>109.2</v>
      </c>
      <c r="N103" s="230">
        <f>InpR!N$76</f>
        <v>113.4</v>
      </c>
      <c r="O103" s="230">
        <f>InpR!O$76</f>
        <v>124.3</v>
      </c>
      <c r="P103" s="230">
        <f>InpR!P$76</f>
        <v>130.19999999999999</v>
      </c>
      <c r="Q103" s="230">
        <f>InpR!Q$76</f>
        <v>134.30000000000001</v>
      </c>
      <c r="R103" s="230">
        <f>InpR!R$76</f>
        <v>0</v>
      </c>
    </row>
    <row r="104" spans="1:18" s="65" customFormat="1" x14ac:dyDescent="0.25">
      <c r="A104" s="50"/>
      <c r="B104" s="61"/>
      <c r="C104" s="116"/>
      <c r="D104" s="53"/>
      <c r="E104" s="230" t="str">
        <f>InpR!E$77</f>
        <v>CPI(H): November - index - actual (including forecast)</v>
      </c>
      <c r="F104" s="230"/>
      <c r="G104" s="230" t="str">
        <f>InpR!G$77</f>
        <v>index</v>
      </c>
      <c r="H104" s="230"/>
      <c r="I104" s="230"/>
      <c r="J104" s="230">
        <f>InpR!J$77</f>
        <v>104.7</v>
      </c>
      <c r="K104" s="230">
        <f>InpR!K$77</f>
        <v>106.9</v>
      </c>
      <c r="L104" s="230">
        <f>InpR!L$77</f>
        <v>108.5</v>
      </c>
      <c r="M104" s="230">
        <f>InpR!M$77</f>
        <v>109.1</v>
      </c>
      <c r="N104" s="230">
        <f>InpR!N$77</f>
        <v>114.1</v>
      </c>
      <c r="O104" s="230">
        <f>InpR!O$77</f>
        <v>124.8</v>
      </c>
      <c r="P104" s="230">
        <f>InpR!P$77</f>
        <v>130</v>
      </c>
      <c r="Q104" s="230">
        <f>InpR!Q$77</f>
        <v>134.6</v>
      </c>
      <c r="R104" s="230">
        <f>InpR!R$77</f>
        <v>0</v>
      </c>
    </row>
    <row r="105" spans="1:18" s="65" customFormat="1" x14ac:dyDescent="0.25">
      <c r="A105" s="50"/>
      <c r="B105" s="61"/>
      <c r="C105" s="116"/>
      <c r="D105" s="53"/>
      <c r="E105" s="230" t="str">
        <f>InpR!E$78</f>
        <v>CPI(H): December - index - actual (including forecast)</v>
      </c>
      <c r="F105" s="230"/>
      <c r="G105" s="230" t="str">
        <f>InpR!G$78</f>
        <v>index</v>
      </c>
      <c r="H105" s="230"/>
      <c r="I105" s="230"/>
      <c r="J105" s="230">
        <f>InpR!J$78</f>
        <v>105</v>
      </c>
      <c r="K105" s="230">
        <f>InpR!K$78</f>
        <v>107.1</v>
      </c>
      <c r="L105" s="230">
        <f>InpR!L$78</f>
        <v>108.5</v>
      </c>
      <c r="M105" s="230">
        <f>InpR!M$78</f>
        <v>109.4</v>
      </c>
      <c r="N105" s="230">
        <f>InpR!N$78</f>
        <v>114.7</v>
      </c>
      <c r="O105" s="230">
        <f>InpR!O$78</f>
        <v>125.3</v>
      </c>
      <c r="P105" s="230">
        <f>InpR!P$78</f>
        <v>130.5</v>
      </c>
      <c r="Q105" s="230">
        <f>InpR!Q$78</f>
        <v>135.1</v>
      </c>
      <c r="R105" s="230">
        <f>InpR!R$78</f>
        <v>0</v>
      </c>
    </row>
    <row r="106" spans="1:18" s="65" customFormat="1" x14ac:dyDescent="0.25">
      <c r="A106" s="50"/>
      <c r="B106" s="61"/>
      <c r="C106" s="116"/>
      <c r="D106" s="53"/>
      <c r="E106" s="230" t="str">
        <f>InpR!E$79</f>
        <v>CPI(H): January - index - actual (including forecast)</v>
      </c>
      <c r="F106" s="230"/>
      <c r="G106" s="230" t="str">
        <f>InpR!G$79</f>
        <v>index</v>
      </c>
      <c r="H106" s="230"/>
      <c r="I106" s="230"/>
      <c r="J106" s="230">
        <f>InpR!J$79</f>
        <v>104.5</v>
      </c>
      <c r="K106" s="230">
        <f>InpR!K$79</f>
        <v>106.4</v>
      </c>
      <c r="L106" s="230">
        <f>InpR!L$79</f>
        <v>108.3</v>
      </c>
      <c r="M106" s="230">
        <f>InpR!M$79</f>
        <v>109.3</v>
      </c>
      <c r="N106" s="230">
        <f>InpR!N$79</f>
        <v>114.6</v>
      </c>
      <c r="O106" s="230">
        <f>InpR!O$79</f>
        <v>124.8</v>
      </c>
      <c r="P106" s="230">
        <f>InpR!P$79</f>
        <v>130</v>
      </c>
      <c r="Q106" s="230">
        <f>InpR!Q$79</f>
        <v>135.1</v>
      </c>
      <c r="R106" s="230">
        <f>InpR!R$79</f>
        <v>0</v>
      </c>
    </row>
    <row r="107" spans="1:18" s="65" customFormat="1" x14ac:dyDescent="0.25">
      <c r="A107" s="50"/>
      <c r="B107" s="61"/>
      <c r="C107" s="116"/>
      <c r="D107" s="53"/>
      <c r="E107" s="230" t="str">
        <f>InpR!E$80</f>
        <v>CPI(H): February - index - actual (including forecast)</v>
      </c>
      <c r="F107" s="230"/>
      <c r="G107" s="230" t="str">
        <f>InpR!G$80</f>
        <v>index</v>
      </c>
      <c r="H107" s="230"/>
      <c r="I107" s="230"/>
      <c r="J107" s="230">
        <f>InpR!J$80</f>
        <v>104.9</v>
      </c>
      <c r="K107" s="230">
        <f>InpR!K$80</f>
        <v>106.8</v>
      </c>
      <c r="L107" s="230">
        <f>InpR!L$80</f>
        <v>108.6</v>
      </c>
      <c r="M107" s="230">
        <f>InpR!M$80</f>
        <v>109.4</v>
      </c>
      <c r="N107" s="230">
        <f>InpR!N$80</f>
        <v>115.4</v>
      </c>
      <c r="O107" s="230">
        <f>InpR!O$80</f>
        <v>126</v>
      </c>
      <c r="P107" s="230">
        <f>InpR!P$80</f>
        <v>130.80000000000001</v>
      </c>
      <c r="Q107" s="230">
        <f>InpR!Q$80</f>
        <v>135.6</v>
      </c>
      <c r="R107" s="230">
        <f>InpR!R$80</f>
        <v>0</v>
      </c>
    </row>
    <row r="108" spans="1:18" s="65" customFormat="1" x14ac:dyDescent="0.25">
      <c r="A108" s="50"/>
      <c r="B108" s="61"/>
      <c r="C108" s="116"/>
      <c r="D108" s="53"/>
      <c r="E108" s="230" t="str">
        <f>InpR!E$81</f>
        <v>CPI(H): March - index - actual (including forecast)</v>
      </c>
      <c r="F108" s="230"/>
      <c r="G108" s="230" t="str">
        <f>InpR!G$81</f>
        <v>index</v>
      </c>
      <c r="H108" s="230"/>
      <c r="I108" s="230"/>
      <c r="J108" s="230">
        <f>InpR!J$81</f>
        <v>105.1</v>
      </c>
      <c r="K108" s="230">
        <f>InpR!K$81</f>
        <v>107</v>
      </c>
      <c r="L108" s="230">
        <f>InpR!L$81</f>
        <v>108.6</v>
      </c>
      <c r="M108" s="230">
        <f>InpR!M$81</f>
        <v>109.7</v>
      </c>
      <c r="N108" s="230">
        <f>InpR!N$81</f>
        <v>116.5</v>
      </c>
      <c r="O108" s="230">
        <f>InpR!O$81</f>
        <v>126.8</v>
      </c>
      <c r="P108" s="230">
        <f>InpR!P$81</f>
        <v>131.6</v>
      </c>
      <c r="Q108" s="230">
        <f>InpR!Q$81</f>
        <v>136.1</v>
      </c>
      <c r="R108" s="230">
        <f>InpR!R$81</f>
        <v>0</v>
      </c>
    </row>
    <row r="109" spans="1:18" s="65" customFormat="1" x14ac:dyDescent="0.25">
      <c r="A109" s="48"/>
      <c r="B109" s="59"/>
      <c r="C109" s="108"/>
      <c r="D109" s="53"/>
      <c r="E109" s="93"/>
      <c r="G109" s="37"/>
    </row>
    <row r="110" spans="1:18" s="65" customFormat="1" x14ac:dyDescent="0.25">
      <c r="A110" s="50"/>
      <c r="B110" s="61"/>
      <c r="C110" s="116"/>
      <c r="D110" s="55"/>
      <c r="E110" s="91" t="s">
        <v>428</v>
      </c>
      <c r="F110" s="91"/>
      <c r="G110" s="91" t="s">
        <v>307</v>
      </c>
      <c r="H110" s="7"/>
      <c r="I110" s="7"/>
      <c r="J110" s="229">
        <f xml:space="preserve"> SUM(J97:J108) / 12</f>
        <v>104.21666666666665</v>
      </c>
      <c r="K110" s="229">
        <f t="shared" ref="K110:R110" si="35" xml:space="preserve"> SUM(K97:K108) / 12</f>
        <v>106.43333333333334</v>
      </c>
      <c r="L110" s="229">
        <f t="shared" si="35"/>
        <v>108.24166666666663</v>
      </c>
      <c r="M110" s="229">
        <f t="shared" si="35"/>
        <v>109.10833333333335</v>
      </c>
      <c r="N110" s="229">
        <f t="shared" si="35"/>
        <v>113.11666666666667</v>
      </c>
      <c r="O110" s="229">
        <f t="shared" si="35"/>
        <v>123.04166666666664</v>
      </c>
      <c r="P110" s="229">
        <f t="shared" si="35"/>
        <v>129.86666666666665</v>
      </c>
      <c r="Q110" s="229">
        <f t="shared" si="35"/>
        <v>134.04166666666663</v>
      </c>
      <c r="R110" s="229">
        <f t="shared" si="35"/>
        <v>0</v>
      </c>
    </row>
    <row r="111" spans="1:18" s="65" customFormat="1" x14ac:dyDescent="0.25">
      <c r="A111" s="50"/>
      <c r="B111" s="61"/>
      <c r="C111" s="116"/>
      <c r="D111" s="55"/>
      <c r="E111" s="258" t="s">
        <v>429</v>
      </c>
      <c r="F111" s="258"/>
      <c r="G111" s="258" t="s">
        <v>365</v>
      </c>
      <c r="H111" s="34"/>
      <c r="I111" s="34"/>
      <c r="J111" s="237">
        <f xml:space="preserve"> IF(I$110 = 0, 0, J$110 / $J$110)</f>
        <v>0</v>
      </c>
      <c r="K111" s="237">
        <f t="shared" ref="K111:R111" si="36" xml:space="preserve"> IF(J$110 = 0, 0, K$110 / $J$110)</f>
        <v>1.0212697905005599</v>
      </c>
      <c r="L111" s="237">
        <f t="shared" si="36"/>
        <v>1.0386214616983847</v>
      </c>
      <c r="M111" s="237">
        <f t="shared" si="36"/>
        <v>1.0469374700143934</v>
      </c>
      <c r="N111" s="237">
        <f t="shared" si="36"/>
        <v>1.0853990084759317</v>
      </c>
      <c r="O111" s="237">
        <f t="shared" si="36"/>
        <v>1.1806332960179113</v>
      </c>
      <c r="P111" s="237">
        <f t="shared" si="36"/>
        <v>1.2461218615064769</v>
      </c>
      <c r="Q111" s="237">
        <f t="shared" si="36"/>
        <v>1.2861826323364782</v>
      </c>
      <c r="R111" s="237">
        <f t="shared" si="36"/>
        <v>0</v>
      </c>
    </row>
    <row r="112" spans="1:18" s="65" customFormat="1" x14ac:dyDescent="0.25">
      <c r="A112" s="50"/>
      <c r="B112" s="61"/>
      <c r="C112" s="116"/>
      <c r="D112" s="55"/>
      <c r="E112" s="91" t="s">
        <v>430</v>
      </c>
      <c r="F112" s="7"/>
      <c r="G112" s="91" t="s">
        <v>365</v>
      </c>
      <c r="H112" s="7"/>
      <c r="I112" s="7"/>
      <c r="J112" s="231">
        <f xml:space="preserve"> IF(I$110 = 0, 0, J$110 / I$110 - 1)</f>
        <v>0</v>
      </c>
      <c r="K112" s="231">
        <f t="shared" ref="K112:R112" si="37" xml:space="preserve"> IF(J$110 = 0, 0, K$110 / J$110 - 1)</f>
        <v>2.1269790500559882E-2</v>
      </c>
      <c r="L112" s="231">
        <f t="shared" si="37"/>
        <v>1.6990291262135582E-2</v>
      </c>
      <c r="M112" s="231">
        <f t="shared" si="37"/>
        <v>8.0067749634311625E-3</v>
      </c>
      <c r="N112" s="231">
        <f t="shared" si="37"/>
        <v>3.6737187810280236E-2</v>
      </c>
      <c r="O112" s="231">
        <f t="shared" si="37"/>
        <v>8.7741270075143429E-2</v>
      </c>
      <c r="P112" s="231">
        <f t="shared" si="37"/>
        <v>5.5469014561462915E-2</v>
      </c>
      <c r="Q112" s="231">
        <f t="shared" si="37"/>
        <v>3.2148357289527585E-2</v>
      </c>
      <c r="R112" s="231">
        <f t="shared" si="37"/>
        <v>-1</v>
      </c>
    </row>
    <row r="113" spans="1:18" s="65" customFormat="1" x14ac:dyDescent="0.25">
      <c r="A113" s="50"/>
      <c r="B113" s="61"/>
      <c r="C113" s="116"/>
      <c r="D113" s="55"/>
      <c r="E113" s="7"/>
      <c r="F113" s="7"/>
      <c r="G113" s="7"/>
      <c r="H113" s="7"/>
      <c r="I113" s="7"/>
      <c r="J113" s="7"/>
      <c r="K113" s="7"/>
      <c r="L113" s="7"/>
      <c r="M113" s="7"/>
      <c r="N113" s="7"/>
      <c r="O113" s="7"/>
      <c r="P113" s="7"/>
      <c r="Q113" s="7"/>
      <c r="R113" s="7"/>
    </row>
    <row r="114" spans="1:18" s="65" customFormat="1" x14ac:dyDescent="0.25">
      <c r="A114" s="50"/>
      <c r="B114" s="61"/>
      <c r="C114" s="116"/>
      <c r="D114" s="55"/>
      <c r="E114" s="91" t="str">
        <f>E$108</f>
        <v>CPI(H): March - index - actual (including forecast)</v>
      </c>
      <c r="F114" s="91"/>
      <c r="G114" s="91" t="str">
        <f t="shared" ref="G114" si="38">G$108</f>
        <v>index</v>
      </c>
      <c r="H114" s="91"/>
      <c r="I114" s="91"/>
      <c r="J114" s="91">
        <f t="shared" ref="J114:R114" si="39">J$108</f>
        <v>105.1</v>
      </c>
      <c r="K114" s="91">
        <f t="shared" si="39"/>
        <v>107</v>
      </c>
      <c r="L114" s="91">
        <f t="shared" si="39"/>
        <v>108.6</v>
      </c>
      <c r="M114" s="91">
        <f t="shared" si="39"/>
        <v>109.7</v>
      </c>
      <c r="N114" s="91">
        <f t="shared" si="39"/>
        <v>116.5</v>
      </c>
      <c r="O114" s="91">
        <f t="shared" si="39"/>
        <v>126.8</v>
      </c>
      <c r="P114" s="91">
        <f t="shared" si="39"/>
        <v>131.6</v>
      </c>
      <c r="Q114" s="91">
        <f t="shared" si="39"/>
        <v>136.1</v>
      </c>
      <c r="R114" s="91">
        <f t="shared" si="39"/>
        <v>0</v>
      </c>
    </row>
    <row r="115" spans="1:18" s="65" customFormat="1" x14ac:dyDescent="0.25">
      <c r="A115" s="50"/>
      <c r="B115" s="61"/>
      <c r="C115" s="116"/>
      <c r="D115" s="55"/>
      <c r="E115" s="91" t="str">
        <f>E$110</f>
        <v>CPI(H): Financial year average - index - actual (including forecast)</v>
      </c>
      <c r="F115" s="91"/>
      <c r="G115" s="91" t="str">
        <f t="shared" ref="G115" si="40">G$110</f>
        <v>index</v>
      </c>
      <c r="H115" s="91"/>
      <c r="I115" s="91"/>
      <c r="J115" s="91">
        <f t="shared" ref="J115:R115" si="41">J$110</f>
        <v>104.21666666666665</v>
      </c>
      <c r="K115" s="91">
        <f t="shared" si="41"/>
        <v>106.43333333333334</v>
      </c>
      <c r="L115" s="91">
        <f t="shared" si="41"/>
        <v>108.24166666666663</v>
      </c>
      <c r="M115" s="91">
        <f t="shared" si="41"/>
        <v>109.10833333333335</v>
      </c>
      <c r="N115" s="91">
        <f t="shared" si="41"/>
        <v>113.11666666666667</v>
      </c>
      <c r="O115" s="91">
        <f t="shared" si="41"/>
        <v>123.04166666666664</v>
      </c>
      <c r="P115" s="91">
        <f t="shared" si="41"/>
        <v>129.86666666666665</v>
      </c>
      <c r="Q115" s="91">
        <f t="shared" si="41"/>
        <v>134.04166666666663</v>
      </c>
      <c r="R115" s="91">
        <f t="shared" si="41"/>
        <v>0</v>
      </c>
    </row>
    <row r="116" spans="1:18" s="65" customFormat="1" x14ac:dyDescent="0.25">
      <c r="A116" s="50"/>
      <c r="B116" s="232"/>
      <c r="C116" s="232"/>
      <c r="D116" s="232"/>
      <c r="E116" s="101" t="str">
        <f>Time!E$46</f>
        <v>1st Forecast Period Flag</v>
      </c>
      <c r="F116" s="101"/>
      <c r="G116" s="101" t="str">
        <f>Time!G$46</f>
        <v>flag</v>
      </c>
      <c r="H116" s="101">
        <f>Time!H$46</f>
        <v>1</v>
      </c>
      <c r="I116" s="101">
        <f>Time!I$46</f>
        <v>0</v>
      </c>
      <c r="J116" s="101">
        <f>Time!J$46</f>
        <v>0</v>
      </c>
      <c r="K116" s="101">
        <f>Time!K$46</f>
        <v>0</v>
      </c>
      <c r="L116" s="101">
        <f>Time!L$46</f>
        <v>0</v>
      </c>
      <c r="M116" s="101">
        <f>Time!M$46</f>
        <v>1</v>
      </c>
      <c r="N116" s="101">
        <f>Time!N$46</f>
        <v>0</v>
      </c>
      <c r="O116" s="101">
        <f>Time!O$46</f>
        <v>0</v>
      </c>
      <c r="P116" s="101">
        <f>Time!P$46</f>
        <v>0</v>
      </c>
      <c r="Q116" s="101">
        <f>Time!Q$46</f>
        <v>0</v>
      </c>
      <c r="R116" s="101">
        <f>Time!R$46</f>
        <v>0</v>
      </c>
    </row>
    <row r="117" spans="1:18" s="65" customFormat="1" x14ac:dyDescent="0.25">
      <c r="A117" s="50"/>
      <c r="B117" s="61"/>
      <c r="C117" s="116"/>
      <c r="D117" s="55"/>
      <c r="E117" s="91" t="s">
        <v>431</v>
      </c>
      <c r="F117" s="7"/>
      <c r="G117" s="91" t="s">
        <v>365</v>
      </c>
      <c r="H117" s="7"/>
      <c r="I117" s="7"/>
      <c r="J117" s="231">
        <f xml:space="preserve"> IFERROR((J115 / I114 - 1) * J116, 0)</f>
        <v>0</v>
      </c>
      <c r="K117" s="231">
        <f t="shared" ref="K117" si="42" xml:space="preserve"> IFERROR((K115 / J114 - 1) * K116, 0)</f>
        <v>0</v>
      </c>
      <c r="L117" s="231">
        <f t="shared" ref="L117" si="43" xml:space="preserve"> IFERROR((L115 / K114 - 1) * L116, 0)</f>
        <v>0</v>
      </c>
      <c r="M117" s="231">
        <f xml:space="preserve"> IFERROR((M115 / L114 - 1) * M116, 0)</f>
        <v>4.6807857581339096E-3</v>
      </c>
      <c r="N117" s="231">
        <f t="shared" ref="N117" si="44" xml:space="preserve"> IFERROR((N115 / M114 - 1) * N116, 0)</f>
        <v>0</v>
      </c>
      <c r="O117" s="231">
        <f t="shared" ref="O117" si="45" xml:space="preserve"> IFERROR((O115 / N114 - 1) * O116, 0)</f>
        <v>0</v>
      </c>
      <c r="P117" s="231">
        <f t="shared" ref="P117" si="46" xml:space="preserve"> IFERROR((P115 / O114 - 1) * P116, 0)</f>
        <v>0</v>
      </c>
      <c r="Q117" s="231">
        <f t="shared" ref="Q117" si="47" xml:space="preserve"> IFERROR((Q115 / P114 - 1) * Q116, 0)</f>
        <v>0</v>
      </c>
      <c r="R117" s="231">
        <f t="shared" ref="R117" si="48" xml:space="preserve"> IFERROR((R115 / Q114 - 1) * R116, 0)</f>
        <v>0</v>
      </c>
    </row>
    <row r="118" spans="1:18" s="65" customFormat="1" x14ac:dyDescent="0.25">
      <c r="A118" s="50"/>
      <c r="B118" s="61"/>
      <c r="C118" s="116"/>
      <c r="D118" s="55"/>
      <c r="E118" s="7"/>
      <c r="F118" s="7"/>
      <c r="G118" s="7"/>
      <c r="H118" s="7"/>
      <c r="I118" s="7"/>
      <c r="J118" s="7"/>
      <c r="K118" s="7"/>
      <c r="L118" s="7"/>
      <c r="M118" s="7"/>
      <c r="N118" s="7"/>
      <c r="O118" s="7"/>
      <c r="P118" s="7"/>
      <c r="Q118" s="7"/>
      <c r="R118" s="7"/>
    </row>
    <row r="119" spans="1:18" s="65" customFormat="1" x14ac:dyDescent="0.25">
      <c r="A119" s="50"/>
      <c r="B119" s="61"/>
      <c r="C119" s="116"/>
      <c r="D119" s="55"/>
      <c r="E119" s="168" t="str">
        <f>E$94 &amp; " - actual (including forecast)"</f>
        <v>RPI Growth from 2019-20 FYE to 2020-21 FYA - actual (including forecast) - actual (including forecast)</v>
      </c>
      <c r="F119" s="7"/>
      <c r="G119" s="91" t="str">
        <f>G$94</f>
        <v>%</v>
      </c>
      <c r="H119" s="7"/>
      <c r="I119" s="7"/>
      <c r="J119" s="231">
        <f t="shared" ref="J119:R119" si="49">J$94</f>
        <v>0</v>
      </c>
      <c r="K119" s="231">
        <f t="shared" si="49"/>
        <v>0</v>
      </c>
      <c r="L119" s="231">
        <f t="shared" si="49"/>
        <v>0</v>
      </c>
      <c r="M119" s="231">
        <f t="shared" si="49"/>
        <v>5.3542948279790004E-3</v>
      </c>
      <c r="N119" s="231">
        <f t="shared" si="49"/>
        <v>0</v>
      </c>
      <c r="O119" s="231">
        <f t="shared" si="49"/>
        <v>0</v>
      </c>
      <c r="P119" s="231">
        <f t="shared" si="49"/>
        <v>0</v>
      </c>
      <c r="Q119" s="231">
        <f t="shared" si="49"/>
        <v>0</v>
      </c>
      <c r="R119" s="231">
        <f t="shared" si="49"/>
        <v>0</v>
      </c>
    </row>
    <row r="120" spans="1:18" s="65" customFormat="1" x14ac:dyDescent="0.25">
      <c r="A120" s="50"/>
      <c r="B120" s="61"/>
      <c r="C120" s="116"/>
      <c r="D120" s="55"/>
      <c r="E120" s="168" t="str">
        <f>E$117 &amp; " - actual (including forecast)"</f>
        <v>CPIH Growth from 2019-20 FYE to 2020-21 FYA - actual (including forecast) - actual (including forecast)</v>
      </c>
      <c r="F120" s="7"/>
      <c r="G120" s="91" t="str">
        <f>G$117</f>
        <v>%</v>
      </c>
      <c r="H120" s="7"/>
      <c r="I120" s="7"/>
      <c r="J120" s="231">
        <f t="shared" ref="J120:R120" si="50">J$117</f>
        <v>0</v>
      </c>
      <c r="K120" s="231">
        <f t="shared" si="50"/>
        <v>0</v>
      </c>
      <c r="L120" s="231">
        <f t="shared" si="50"/>
        <v>0</v>
      </c>
      <c r="M120" s="231">
        <f t="shared" si="50"/>
        <v>4.6807857581339096E-3</v>
      </c>
      <c r="N120" s="231">
        <f t="shared" si="50"/>
        <v>0</v>
      </c>
      <c r="O120" s="231">
        <f t="shared" si="50"/>
        <v>0</v>
      </c>
      <c r="P120" s="231">
        <f t="shared" si="50"/>
        <v>0</v>
      </c>
      <c r="Q120" s="231">
        <f t="shared" si="50"/>
        <v>0</v>
      </c>
      <c r="R120" s="231">
        <f t="shared" si="50"/>
        <v>0</v>
      </c>
    </row>
    <row r="121" spans="1:18" s="65" customFormat="1" x14ac:dyDescent="0.25">
      <c r="A121" s="50"/>
      <c r="B121" s="61"/>
      <c r="C121" s="116"/>
      <c r="D121" s="55"/>
      <c r="E121" s="168" t="s">
        <v>432</v>
      </c>
      <c r="F121" s="7"/>
      <c r="G121" s="91" t="s">
        <v>365</v>
      </c>
      <c r="H121" s="7"/>
      <c r="I121" s="7"/>
      <c r="J121" s="231">
        <f xml:space="preserve"> (1 + J$119) / (1 + J$120) - 1</f>
        <v>0</v>
      </c>
      <c r="K121" s="231">
        <f t="shared" ref="K121:R121" si="51" xml:space="preserve"> (1 + K$119) / (1 + K$120) - 1</f>
        <v>0</v>
      </c>
      <c r="L121" s="231">
        <f t="shared" si="51"/>
        <v>0</v>
      </c>
      <c r="M121" s="231">
        <f xml:space="preserve"> (1 + M$119) / (1 + M$120) - 1</f>
        <v>6.7037120585200505E-4</v>
      </c>
      <c r="N121" s="231">
        <f t="shared" si="51"/>
        <v>0</v>
      </c>
      <c r="O121" s="231">
        <f t="shared" si="51"/>
        <v>0</v>
      </c>
      <c r="P121" s="231">
        <f t="shared" si="51"/>
        <v>0</v>
      </c>
      <c r="Q121" s="231">
        <f t="shared" si="51"/>
        <v>0</v>
      </c>
      <c r="R121" s="231">
        <f t="shared" si="51"/>
        <v>0</v>
      </c>
    </row>
    <row r="122" spans="1:18" s="65" customFormat="1" x14ac:dyDescent="0.25">
      <c r="A122" s="50"/>
      <c r="B122" s="61"/>
      <c r="C122" s="116"/>
      <c r="D122" s="55"/>
      <c r="E122" s="7"/>
      <c r="F122" s="7"/>
      <c r="G122" s="7"/>
      <c r="H122" s="7"/>
      <c r="I122" s="7"/>
      <c r="J122" s="233"/>
      <c r="K122" s="233"/>
      <c r="L122" s="233"/>
      <c r="M122" s="233"/>
      <c r="N122" s="233"/>
      <c r="O122" s="233"/>
      <c r="P122" s="233"/>
      <c r="Q122" s="233"/>
      <c r="R122" s="233"/>
    </row>
    <row r="123" spans="1:18" s="65" customFormat="1" x14ac:dyDescent="0.25">
      <c r="A123" s="50"/>
      <c r="B123" s="61" t="s">
        <v>420</v>
      </c>
      <c r="C123" s="116"/>
      <c r="D123" s="55"/>
      <c r="E123" s="7"/>
      <c r="F123" s="7"/>
      <c r="G123" s="7"/>
      <c r="H123" s="7"/>
      <c r="I123" s="7"/>
      <c r="J123" s="233"/>
      <c r="K123" s="233"/>
      <c r="L123" s="233"/>
      <c r="M123" s="233"/>
      <c r="N123" s="233"/>
      <c r="O123" s="233"/>
      <c r="P123" s="233"/>
      <c r="Q123" s="233"/>
      <c r="R123" s="233"/>
    </row>
    <row r="124" spans="1:18" s="65" customFormat="1" x14ac:dyDescent="0.25">
      <c r="A124" s="50"/>
      <c r="B124" s="61"/>
      <c r="C124" s="116"/>
      <c r="D124" s="55"/>
      <c r="E124" s="168" t="str">
        <f>E$121</f>
        <v>Wedge between RPI and CPIH 2020-21 - actual (including forecast)</v>
      </c>
      <c r="F124" s="168"/>
      <c r="G124" s="168" t="str">
        <f t="shared" ref="G124:R124" si="52">G$121</f>
        <v>%</v>
      </c>
      <c r="H124" s="168"/>
      <c r="I124" s="168"/>
      <c r="J124" s="231">
        <f t="shared" si="52"/>
        <v>0</v>
      </c>
      <c r="K124" s="231">
        <f t="shared" si="52"/>
        <v>0</v>
      </c>
      <c r="L124" s="231">
        <f t="shared" si="52"/>
        <v>0</v>
      </c>
      <c r="M124" s="231">
        <f t="shared" si="52"/>
        <v>6.7037120585200505E-4</v>
      </c>
      <c r="N124" s="231">
        <f t="shared" si="52"/>
        <v>0</v>
      </c>
      <c r="O124" s="231">
        <f t="shared" si="52"/>
        <v>0</v>
      </c>
      <c r="P124" s="231">
        <f t="shared" si="52"/>
        <v>0</v>
      </c>
      <c r="Q124" s="231">
        <f t="shared" si="52"/>
        <v>0</v>
      </c>
      <c r="R124" s="231">
        <f t="shared" si="52"/>
        <v>0</v>
      </c>
    </row>
    <row r="125" spans="1:18" s="65" customFormat="1" x14ac:dyDescent="0.25">
      <c r="A125" s="50"/>
      <c r="B125" s="61"/>
      <c r="C125" s="116"/>
      <c r="D125" s="55"/>
      <c r="E125" s="168" t="str">
        <f>E$112</f>
        <v>CPI(H): Fin year average - percentage increase - actual (including forecast)</v>
      </c>
      <c r="F125" s="168"/>
      <c r="G125" s="168" t="str">
        <f t="shared" ref="G125:R125" si="53">G$112</f>
        <v>%</v>
      </c>
      <c r="H125" s="168"/>
      <c r="I125" s="168"/>
      <c r="J125" s="231">
        <f t="shared" si="53"/>
        <v>0</v>
      </c>
      <c r="K125" s="231">
        <f t="shared" si="53"/>
        <v>2.1269790500559882E-2</v>
      </c>
      <c r="L125" s="231">
        <f t="shared" si="53"/>
        <v>1.6990291262135582E-2</v>
      </c>
      <c r="M125" s="231">
        <f t="shared" si="53"/>
        <v>8.0067749634311625E-3</v>
      </c>
      <c r="N125" s="231">
        <f t="shared" si="53"/>
        <v>3.6737187810280236E-2</v>
      </c>
      <c r="O125" s="231">
        <f t="shared" si="53"/>
        <v>8.7741270075143429E-2</v>
      </c>
      <c r="P125" s="231">
        <f t="shared" si="53"/>
        <v>5.5469014561462915E-2</v>
      </c>
      <c r="Q125" s="231">
        <f t="shared" si="53"/>
        <v>3.2148357289527585E-2</v>
      </c>
      <c r="R125" s="231">
        <f t="shared" si="53"/>
        <v>-1</v>
      </c>
    </row>
    <row r="126" spans="1:18" s="65" customFormat="1" x14ac:dyDescent="0.25">
      <c r="A126" s="50"/>
      <c r="B126" s="232"/>
      <c r="C126" s="232"/>
      <c r="D126" s="232"/>
      <c r="E126" s="101" t="str">
        <f>Time!E$46</f>
        <v>1st Forecast Period Flag</v>
      </c>
      <c r="F126" s="101"/>
      <c r="G126" s="101" t="str">
        <f>Time!G$46</f>
        <v>flag</v>
      </c>
      <c r="H126" s="101">
        <f>Time!H$46</f>
        <v>1</v>
      </c>
      <c r="I126" s="101">
        <f>Time!I$46</f>
        <v>0</v>
      </c>
      <c r="J126" s="101">
        <f>Time!J$46</f>
        <v>0</v>
      </c>
      <c r="K126" s="101">
        <f>Time!K$46</f>
        <v>0</v>
      </c>
      <c r="L126" s="101">
        <f>Time!L$46</f>
        <v>0</v>
      </c>
      <c r="M126" s="101">
        <f>Time!M$46</f>
        <v>1</v>
      </c>
      <c r="N126" s="101">
        <f>Time!N$46</f>
        <v>0</v>
      </c>
      <c r="O126" s="101">
        <f>Time!O$46</f>
        <v>0</v>
      </c>
      <c r="P126" s="101">
        <f>Time!P$46</f>
        <v>0</v>
      </c>
      <c r="Q126" s="101">
        <f>Time!Q$46</f>
        <v>0</v>
      </c>
      <c r="R126" s="101">
        <f>Time!R$46</f>
        <v>0</v>
      </c>
    </row>
    <row r="127" spans="1:18" s="65" customFormat="1" x14ac:dyDescent="0.25">
      <c r="A127" s="50"/>
      <c r="B127" s="61"/>
      <c r="C127" s="116"/>
      <c r="D127" s="55"/>
      <c r="E127" s="168" t="s">
        <v>433</v>
      </c>
      <c r="F127" s="168"/>
      <c r="G127" s="168" t="s">
        <v>365</v>
      </c>
      <c r="H127" s="168"/>
      <c r="I127" s="168"/>
      <c r="J127" s="231">
        <f xml:space="preserve"> ((1 + J$124)  * (1 + J$125) - 1) * J$126</f>
        <v>0</v>
      </c>
      <c r="K127" s="231">
        <f t="shared" ref="K127:R127" si="54" xml:space="preserve"> ((1 + K$124)  * (1 + K$125) - 1) * K$126</f>
        <v>0</v>
      </c>
      <c r="L127" s="231">
        <f t="shared" si="54"/>
        <v>0</v>
      </c>
      <c r="M127" s="231">
        <f xml:space="preserve"> ((1 + M$124)  * (1 + M$125) - 1) * M$126</f>
        <v>8.6825136806703007E-3</v>
      </c>
      <c r="N127" s="231">
        <f t="shared" si="54"/>
        <v>0</v>
      </c>
      <c r="O127" s="231">
        <f t="shared" si="54"/>
        <v>0</v>
      </c>
      <c r="P127" s="231">
        <f t="shared" si="54"/>
        <v>0</v>
      </c>
      <c r="Q127" s="231">
        <f t="shared" si="54"/>
        <v>0</v>
      </c>
      <c r="R127" s="231">
        <f t="shared" si="54"/>
        <v>0</v>
      </c>
    </row>
    <row r="128" spans="1:18" s="65" customFormat="1" x14ac:dyDescent="0.25">
      <c r="A128" s="50"/>
      <c r="B128" s="61"/>
      <c r="C128" s="116"/>
      <c r="D128" s="55"/>
      <c r="E128" s="7"/>
      <c r="F128" s="7"/>
      <c r="G128" s="7"/>
      <c r="H128" s="7"/>
      <c r="I128" s="7"/>
      <c r="J128" s="233"/>
      <c r="K128" s="233"/>
      <c r="L128" s="233"/>
      <c r="M128" s="233"/>
      <c r="N128" s="233"/>
      <c r="O128" s="233"/>
      <c r="P128" s="233"/>
      <c r="Q128" s="233"/>
      <c r="R128" s="233"/>
    </row>
    <row r="129" spans="1:18" s="65" customFormat="1" x14ac:dyDescent="0.25">
      <c r="A129" s="50"/>
      <c r="B129" s="61"/>
      <c r="C129" s="116"/>
      <c r="D129" s="55"/>
      <c r="E129" s="168" t="str">
        <f>E127</f>
        <v>CPI(H) + RPI wedge 2020-21 percentage movement - actual (including forecast)</v>
      </c>
      <c r="F129" s="168"/>
      <c r="G129" s="168" t="str">
        <f t="shared" ref="G129:R129" si="55">G127</f>
        <v>%</v>
      </c>
      <c r="H129" s="168"/>
      <c r="I129" s="168"/>
      <c r="J129" s="231">
        <f t="shared" si="55"/>
        <v>0</v>
      </c>
      <c r="K129" s="231">
        <f t="shared" si="55"/>
        <v>0</v>
      </c>
      <c r="L129" s="231">
        <f t="shared" si="55"/>
        <v>0</v>
      </c>
      <c r="M129" s="231">
        <f t="shared" si="55"/>
        <v>8.6825136806703007E-3</v>
      </c>
      <c r="N129" s="231">
        <f t="shared" si="55"/>
        <v>0</v>
      </c>
      <c r="O129" s="231">
        <f t="shared" si="55"/>
        <v>0</v>
      </c>
      <c r="P129" s="231">
        <f t="shared" si="55"/>
        <v>0</v>
      </c>
      <c r="Q129" s="231">
        <f t="shared" si="55"/>
        <v>0</v>
      </c>
      <c r="R129" s="231">
        <f t="shared" si="55"/>
        <v>0</v>
      </c>
    </row>
    <row r="130" spans="1:18" s="65" customFormat="1" x14ac:dyDescent="0.25">
      <c r="A130" s="50"/>
      <c r="B130" s="61"/>
      <c r="C130" s="116"/>
      <c r="D130" s="55"/>
      <c r="E130" s="168" t="str">
        <f xml:space="preserve"> E$89</f>
        <v>RPI: Fin year average - percentage increase - actual (including forecast)</v>
      </c>
      <c r="F130" s="168"/>
      <c r="G130" s="168" t="str">
        <f xml:space="preserve"> G$89</f>
        <v>%</v>
      </c>
      <c r="H130" s="7"/>
      <c r="I130" s="7"/>
      <c r="J130" s="234">
        <f t="shared" ref="J130:R130" si="56" xml:space="preserve"> J$89</f>
        <v>0</v>
      </c>
      <c r="K130" s="234">
        <f t="shared" si="56"/>
        <v>0</v>
      </c>
      <c r="L130" s="234">
        <f t="shared" si="56"/>
        <v>2.5884636879724532E-2</v>
      </c>
      <c r="M130" s="234">
        <f t="shared" si="56"/>
        <v>1.2128336726209277E-2</v>
      </c>
      <c r="N130" s="234">
        <f t="shared" si="56"/>
        <v>5.7762039660056441E-2</v>
      </c>
      <c r="O130" s="234">
        <f t="shared" si="56"/>
        <v>0.12873938777149907</v>
      </c>
      <c r="P130" s="234">
        <f t="shared" si="56"/>
        <v>7.4787642955440825E-2</v>
      </c>
      <c r="Q130" s="234">
        <f t="shared" si="56"/>
        <v>3.3025740650801216E-2</v>
      </c>
      <c r="R130" s="234">
        <f t="shared" si="56"/>
        <v>-1</v>
      </c>
    </row>
    <row r="131" spans="1:18" s="65" customFormat="1" x14ac:dyDescent="0.25">
      <c r="A131" s="50"/>
      <c r="B131" s="61"/>
      <c r="C131" s="116"/>
      <c r="D131" s="55"/>
      <c r="E131" s="168" t="s">
        <v>434</v>
      </c>
      <c r="F131" s="168"/>
      <c r="G131" s="168" t="s">
        <v>365</v>
      </c>
      <c r="H131" s="7"/>
      <c r="I131" s="7"/>
      <c r="J131" s="235">
        <f xml:space="preserve"> IF(J129 = 0, J130, J129)</f>
        <v>0</v>
      </c>
      <c r="K131" s="235">
        <f xml:space="preserve"> IF(K129 = 0, K130, K129)</f>
        <v>0</v>
      </c>
      <c r="L131" s="235">
        <f t="shared" ref="L131:R131" si="57" xml:space="preserve"> IF(L129 = 0, L130, L129)</f>
        <v>2.5884636879724532E-2</v>
      </c>
      <c r="M131" s="235">
        <f xml:space="preserve"> IF(M129 = 0, M130, M129)</f>
        <v>8.6825136806703007E-3</v>
      </c>
      <c r="N131" s="235">
        <f t="shared" si="57"/>
        <v>5.7762039660056441E-2</v>
      </c>
      <c r="O131" s="235">
        <f t="shared" si="57"/>
        <v>0.12873938777149907</v>
      </c>
      <c r="P131" s="235">
        <f t="shared" si="57"/>
        <v>7.4787642955440825E-2</v>
      </c>
      <c r="Q131" s="235">
        <f t="shared" si="57"/>
        <v>3.3025740650801216E-2</v>
      </c>
      <c r="R131" s="235">
        <f t="shared" si="57"/>
        <v>-1</v>
      </c>
    </row>
    <row r="132" spans="1:18" s="65" customFormat="1" x14ac:dyDescent="0.25">
      <c r="A132" s="50"/>
      <c r="B132" s="61"/>
      <c r="C132" s="116"/>
      <c r="D132" s="55"/>
      <c r="E132" s="7"/>
      <c r="F132" s="7"/>
      <c r="G132" s="7"/>
      <c r="H132" s="7"/>
      <c r="I132" s="7"/>
      <c r="J132" s="233"/>
      <c r="K132" s="233"/>
      <c r="L132" s="233"/>
      <c r="M132" s="233"/>
      <c r="N132" s="233"/>
      <c r="O132" s="233"/>
      <c r="P132" s="233"/>
      <c r="Q132" s="233"/>
      <c r="R132" s="233"/>
    </row>
    <row r="133" spans="1:18" s="65" customFormat="1" x14ac:dyDescent="0.25">
      <c r="A133" s="50"/>
      <c r="B133" s="61"/>
      <c r="C133" s="116"/>
      <c r="D133" s="55"/>
      <c r="E133" s="168" t="str">
        <f>E131</f>
        <v>RPI: Fin year average - percentage increase - actual (including forecast) active</v>
      </c>
      <c r="F133" s="168"/>
      <c r="G133" s="168" t="str">
        <f t="shared" ref="G133:R133" si="58">G131</f>
        <v>%</v>
      </c>
      <c r="H133" s="168"/>
      <c r="I133" s="168"/>
      <c r="J133" s="234">
        <f t="shared" si="58"/>
        <v>0</v>
      </c>
      <c r="K133" s="234">
        <f t="shared" si="58"/>
        <v>0</v>
      </c>
      <c r="L133" s="234">
        <f t="shared" si="58"/>
        <v>2.5884636879724532E-2</v>
      </c>
      <c r="M133" s="234">
        <f t="shared" si="58"/>
        <v>8.6825136806703007E-3</v>
      </c>
      <c r="N133" s="234">
        <f t="shared" si="58"/>
        <v>5.7762039660056441E-2</v>
      </c>
      <c r="O133" s="234">
        <f t="shared" si="58"/>
        <v>0.12873938777149907</v>
      </c>
      <c r="P133" s="234">
        <f t="shared" si="58"/>
        <v>7.4787642955440825E-2</v>
      </c>
      <c r="Q133" s="234">
        <f t="shared" si="58"/>
        <v>3.3025740650801216E-2</v>
      </c>
      <c r="R133" s="234">
        <f t="shared" si="58"/>
        <v>-1</v>
      </c>
    </row>
    <row r="134" spans="1:18" s="65" customFormat="1" x14ac:dyDescent="0.25">
      <c r="A134" s="50"/>
      <c r="B134" s="61"/>
      <c r="C134" s="116"/>
      <c r="D134" s="55"/>
      <c r="E134" s="168" t="str">
        <f>E112</f>
        <v>CPI(H): Fin year average - percentage increase - actual (including forecast)</v>
      </c>
      <c r="F134" s="168"/>
      <c r="G134" s="168" t="str">
        <f t="shared" ref="G134:R134" si="59">G112</f>
        <v>%</v>
      </c>
      <c r="H134" s="168"/>
      <c r="I134" s="168"/>
      <c r="J134" s="234">
        <f t="shared" si="59"/>
        <v>0</v>
      </c>
      <c r="K134" s="234">
        <f t="shared" si="59"/>
        <v>2.1269790500559882E-2</v>
      </c>
      <c r="L134" s="234">
        <f t="shared" si="59"/>
        <v>1.6990291262135582E-2</v>
      </c>
      <c r="M134" s="234">
        <f t="shared" si="59"/>
        <v>8.0067749634311625E-3</v>
      </c>
      <c r="N134" s="234">
        <f t="shared" si="59"/>
        <v>3.6737187810280236E-2</v>
      </c>
      <c r="O134" s="234">
        <f t="shared" si="59"/>
        <v>8.7741270075143429E-2</v>
      </c>
      <c r="P134" s="234">
        <f t="shared" si="59"/>
        <v>5.5469014561462915E-2</v>
      </c>
      <c r="Q134" s="234">
        <f t="shared" si="59"/>
        <v>3.2148357289527585E-2</v>
      </c>
      <c r="R134" s="234">
        <f t="shared" si="59"/>
        <v>-1</v>
      </c>
    </row>
    <row r="135" spans="1:18" s="65" customFormat="1" x14ac:dyDescent="0.25">
      <c r="A135" s="50"/>
      <c r="B135" s="61"/>
      <c r="C135" s="116"/>
      <c r="D135" s="55"/>
      <c r="E135" s="236" t="s">
        <v>435</v>
      </c>
      <c r="F135" s="236"/>
      <c r="G135" s="236" t="s">
        <v>365</v>
      </c>
      <c r="H135" s="236"/>
      <c r="I135" s="236"/>
      <c r="J135" s="237"/>
      <c r="K135" s="237">
        <f>(K133-K134)*2</f>
        <v>-4.2539581001119764E-2</v>
      </c>
      <c r="L135" s="237">
        <f t="shared" ref="L135:R135" si="60">L133-L134</f>
        <v>8.8943456175889501E-3</v>
      </c>
      <c r="M135" s="237">
        <f t="shared" si="60"/>
        <v>6.7573871723913825E-4</v>
      </c>
      <c r="N135" s="237">
        <f t="shared" si="60"/>
        <v>2.1024851849776205E-2</v>
      </c>
      <c r="O135" s="237">
        <f t="shared" si="60"/>
        <v>4.099811769635564E-2</v>
      </c>
      <c r="P135" s="237">
        <f t="shared" si="60"/>
        <v>1.931862839397791E-2</v>
      </c>
      <c r="Q135" s="237">
        <f t="shared" si="60"/>
        <v>8.7738336127363148E-4</v>
      </c>
      <c r="R135" s="237">
        <f t="shared" si="60"/>
        <v>0</v>
      </c>
    </row>
    <row r="136" spans="1:18" s="65" customFormat="1" x14ac:dyDescent="0.25">
      <c r="A136" s="48"/>
      <c r="B136" s="59"/>
      <c r="C136" s="108"/>
      <c r="D136" s="53"/>
      <c r="E136" s="93"/>
      <c r="G136" s="37"/>
      <c r="K136" s="238"/>
      <c r="L136" s="238"/>
      <c r="M136" s="238"/>
      <c r="N136" s="238"/>
      <c r="O136" s="238"/>
      <c r="P136" s="238"/>
      <c r="Q136" s="238"/>
      <c r="R136" s="238"/>
    </row>
    <row r="137" spans="1:18" x14ac:dyDescent="0.25">
      <c r="A137" s="49"/>
      <c r="D137" s="57"/>
      <c r="E137" s="92"/>
    </row>
    <row r="138" spans="1:18" x14ac:dyDescent="0.3">
      <c r="A138" s="10" t="s">
        <v>62</v>
      </c>
      <c r="B138" s="1"/>
      <c r="C138" s="1"/>
      <c r="D138" s="1"/>
      <c r="E138" s="1"/>
      <c r="F138" s="1"/>
      <c r="G138" s="1"/>
      <c r="H138" s="1"/>
      <c r="I138" s="1"/>
      <c r="J138" s="1"/>
      <c r="K138" s="1"/>
      <c r="L138" s="1"/>
      <c r="M138" s="1"/>
      <c r="N138" s="1"/>
      <c r="O138" s="1"/>
      <c r="P138" s="1"/>
      <c r="Q138" s="1"/>
      <c r="R138" s="1"/>
    </row>
    <row r="139" spans="1:18" x14ac:dyDescent="0.25"/>
  </sheetData>
  <conditionalFormatting sqref="F2">
    <cfRule type="cellIs" dxfId="63" priority="2" stopIfTrue="1" operator="notEqual">
      <formula>0</formula>
    </cfRule>
    <cfRule type="cellIs" dxfId="62" priority="3" stopIfTrue="1" operator="equal">
      <formula>""</formula>
    </cfRule>
  </conditionalFormatting>
  <conditionalFormatting sqref="J3:BZ3">
    <cfRule type="cellIs" dxfId="61" priority="6" operator="equal">
      <formula>"Post-Fcst"</formula>
    </cfRule>
    <cfRule type="cellIs" dxfId="60" priority="7" operator="equal">
      <formula>"Forecast"</formula>
    </cfRule>
    <cfRule type="cellIs" dxfId="59" priority="8" operator="equal">
      <formula>"Pre Fcst"</formula>
    </cfRule>
  </conditionalFormatting>
  <pageMargins left="0.70866141732283472" right="0.70866141732283472" top="0.74803149606299213" bottom="0.74803149606299213" header="0.31496062992125984" footer="0.31496062992125984"/>
  <pageSetup paperSize="8" scale="68" fitToHeight="0" orientation="landscape" r:id="rId1"/>
  <headerFooter>
    <oddHeader>&amp;L&amp;F&amp;CSheet: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ED28B-0860-45B6-8843-0C200E1D09D3}">
  <sheetPr codeName="Sheet11">
    <outlinePr summaryBelow="0" summaryRight="0"/>
    <pageSetUpPr fitToPage="1"/>
  </sheetPr>
  <dimension ref="A1:XFC328"/>
  <sheetViews>
    <sheetView showGridLines="0" zoomScale="80" zoomScaleNormal="80" workbookViewId="0">
      <pane xSplit="9" ySplit="6" topLeftCell="K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Calcs-WR</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34.479747463860264</v>
      </c>
      <c r="N22" s="240">
        <f t="shared" si="3"/>
        <v>33.921970270564117</v>
      </c>
      <c r="O22" s="240">
        <f t="shared" si="3"/>
        <v>33.546868209482049</v>
      </c>
      <c r="P22" s="240">
        <f t="shared" si="3"/>
        <v>33.237653421326037</v>
      </c>
      <c r="Q22" s="240">
        <f xml:space="preserve"> Q$34</f>
        <v>32.947133956874815</v>
      </c>
      <c r="R22" s="240">
        <f t="shared" si="3"/>
        <v>32.659153828102745</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0.83641286934630377</v>
      </c>
      <c r="N24" s="184">
        <f t="shared" si="5"/>
        <v>1.0036713390886582</v>
      </c>
      <c r="O24" s="184">
        <f t="shared" si="5"/>
        <v>1.0568499107974512</v>
      </c>
      <c r="P24" s="184">
        <f t="shared" si="5"/>
        <v>1.0636049094824562</v>
      </c>
      <c r="Q24" s="184">
        <f t="shared" si="5"/>
        <v>1.0543082866199878</v>
      </c>
      <c r="R24" s="184">
        <f t="shared" si="5"/>
        <v>0.97977461484307593</v>
      </c>
      <c r="S24" s="92"/>
      <c r="T24" s="92"/>
      <c r="U24" s="92"/>
      <c r="V24" s="92"/>
      <c r="W24" s="92"/>
      <c r="X24" s="92"/>
      <c r="Y24" s="92"/>
      <c r="Z24" s="92"/>
    </row>
    <row r="25" spans="1:16383" x14ac:dyDescent="0.25"/>
    <row r="26" spans="1:16383" s="205" customFormat="1" x14ac:dyDescent="0.25">
      <c r="A26" s="201"/>
      <c r="B26" s="202"/>
      <c r="C26" s="203"/>
      <c r="D26" s="204"/>
      <c r="E26" s="37" t="str">
        <f xml:space="preserve"> InpR!E$98</f>
        <v>Run-off rate - CPI(H) + RPI wedge - active - WR</v>
      </c>
      <c r="F26" s="205">
        <f xml:space="preserve"> InpR!F$98</f>
        <v>0</v>
      </c>
      <c r="G26" s="223" t="str">
        <f xml:space="preserve"> InpR!G$98</f>
        <v>%</v>
      </c>
      <c r="H26" s="205">
        <f xml:space="preserve"> InpR!H$98</f>
        <v>0</v>
      </c>
      <c r="I26" s="205">
        <f xml:space="preserve"> InpR!I$98</f>
        <v>0</v>
      </c>
      <c r="J26" s="205">
        <f xml:space="preserve"> InpR!J$98</f>
        <v>0</v>
      </c>
      <c r="K26" s="205">
        <f xml:space="preserve"> InpR!K$98</f>
        <v>0</v>
      </c>
      <c r="L26" s="205">
        <f xml:space="preserve"> InpR!L$98</f>
        <v>0</v>
      </c>
      <c r="M26" s="205">
        <f xml:space="preserve"> InpR!M$98</f>
        <v>3.94773964521715E-2</v>
      </c>
      <c r="N26" s="205">
        <f xml:space="preserve"> InpR!N$98</f>
        <v>3.94773964521715E-2</v>
      </c>
      <c r="O26" s="205">
        <f xml:space="preserve"> InpR!O$98</f>
        <v>3.94773964521715E-2</v>
      </c>
      <c r="P26" s="205">
        <f xml:space="preserve"> InpR!P$98</f>
        <v>3.94773964521715E-2</v>
      </c>
      <c r="Q26" s="205">
        <f xml:space="preserve"> InpR!Q$98</f>
        <v>3.94773964521715E-2</v>
      </c>
      <c r="R26" s="205">
        <f xml:space="preserve"> InpR!R$98</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34.479747463860264</v>
      </c>
      <c r="N27" s="240">
        <f t="shared" si="6"/>
        <v>33.921970270564117</v>
      </c>
      <c r="O27" s="240">
        <f t="shared" si="6"/>
        <v>33.546868209482049</v>
      </c>
      <c r="P27" s="240">
        <f t="shared" si="6"/>
        <v>33.237653421326037</v>
      </c>
      <c r="Q27" s="240">
        <f t="shared" si="6"/>
        <v>32.947133956874815</v>
      </c>
      <c r="R27" s="240">
        <f t="shared" si="6"/>
        <v>32.659153828102745</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0.83641286934630377</v>
      </c>
      <c r="N28" s="184">
        <f t="shared" si="7"/>
        <v>1.0036713390886582</v>
      </c>
      <c r="O28" s="184">
        <f t="shared" si="7"/>
        <v>1.0568499107974512</v>
      </c>
      <c r="P28" s="184">
        <f t="shared" si="7"/>
        <v>1.0636049094824562</v>
      </c>
      <c r="Q28" s="184">
        <f t="shared" si="7"/>
        <v>1.0543082866199878</v>
      </c>
      <c r="R28" s="184">
        <f t="shared" si="7"/>
        <v>0.97977461484307593</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1.3941900626424488</v>
      </c>
      <c r="N29" s="184">
        <f t="shared" si="8"/>
        <v>1.3787734001707197</v>
      </c>
      <c r="O29" s="184">
        <f t="shared" si="8"/>
        <v>1.3660646989534646</v>
      </c>
      <c r="P29" s="184">
        <f t="shared" si="8"/>
        <v>1.3541243739336772</v>
      </c>
      <c r="Q29" s="184">
        <f t="shared" si="8"/>
        <v>1.3422884153920558</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InpR!$E$91</f>
        <v>RCV - CPI(H) + RPI wedge initial balance - nominal - WR</v>
      </c>
      <c r="F31" s="249">
        <f>InpR!$F$91</f>
        <v>34.479747463860264</v>
      </c>
      <c r="G31" s="200" t="str">
        <f>InpR!$G$91</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34.479747463860264</v>
      </c>
      <c r="N34" s="241">
        <f t="shared" si="9"/>
        <v>33.921970270564117</v>
      </c>
      <c r="O34" s="241">
        <f t="shared" si="9"/>
        <v>33.546868209482049</v>
      </c>
      <c r="P34" s="241">
        <f t="shared" si="9"/>
        <v>33.237653421326037</v>
      </c>
      <c r="Q34" s="241">
        <f t="shared" si="9"/>
        <v>32.947133956874815</v>
      </c>
      <c r="R34" s="241">
        <f t="shared" si="9"/>
        <v>32.659153828102745</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xml:space="preserve"> M$24</f>
        <v>0.83641286934630377</v>
      </c>
      <c r="N35" s="241">
        <f t="shared" si="10"/>
        <v>1.0036713390886582</v>
      </c>
      <c r="O35" s="241">
        <f t="shared" si="10"/>
        <v>1.0568499107974512</v>
      </c>
      <c r="P35" s="241">
        <f t="shared" si="10"/>
        <v>1.0636049094824562</v>
      </c>
      <c r="Q35" s="241">
        <f t="shared" si="10"/>
        <v>1.0543082866199878</v>
      </c>
      <c r="R35" s="241">
        <f t="shared" si="10"/>
        <v>0.97977461484307593</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1.3941900626424488</v>
      </c>
      <c r="N36" s="241">
        <f t="shared" si="11"/>
        <v>1.3787734001707197</v>
      </c>
      <c r="O36" s="241">
        <f t="shared" si="11"/>
        <v>1.3660646989534646</v>
      </c>
      <c r="P36" s="241">
        <f t="shared" si="11"/>
        <v>1.3541243739336772</v>
      </c>
      <c r="Q36" s="241">
        <f t="shared" si="11"/>
        <v>1.3422884153920558</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34.479747463860264</v>
      </c>
      <c r="M37" s="242">
        <f t="shared" si="12"/>
        <v>33.921970270564117</v>
      </c>
      <c r="N37" s="242">
        <f t="shared" si="12"/>
        <v>33.546868209482049</v>
      </c>
      <c r="O37" s="242">
        <f t="shared" si="12"/>
        <v>33.237653421326037</v>
      </c>
      <c r="P37" s="242">
        <f t="shared" si="12"/>
        <v>32.947133956874815</v>
      </c>
      <c r="Q37" s="242">
        <f t="shared" si="12"/>
        <v>32.659153828102745</v>
      </c>
      <c r="R37" s="242">
        <f t="shared" si="12"/>
        <v>33.638928442945819</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34.479747463860264</v>
      </c>
      <c r="N39" s="185">
        <f t="shared" si="13"/>
        <v>33.921970270564117</v>
      </c>
      <c r="O39" s="185">
        <f t="shared" si="13"/>
        <v>33.546868209482049</v>
      </c>
      <c r="P39" s="185">
        <f t="shared" si="13"/>
        <v>33.237653421326037</v>
      </c>
      <c r="Q39" s="185">
        <f t="shared" si="13"/>
        <v>32.947133956874815</v>
      </c>
      <c r="R39" s="185">
        <f t="shared" si="13"/>
        <v>32.659153828102745</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0.83641286934630377</v>
      </c>
      <c r="N40" s="241">
        <f t="shared" si="14"/>
        <v>1.0036713390886582</v>
      </c>
      <c r="O40" s="241">
        <f t="shared" si="14"/>
        <v>1.0568499107974512</v>
      </c>
      <c r="P40" s="241">
        <f t="shared" si="14"/>
        <v>1.0636049094824562</v>
      </c>
      <c r="Q40" s="241">
        <f t="shared" si="14"/>
        <v>1.0543082866199878</v>
      </c>
      <c r="R40" s="241">
        <f t="shared" si="14"/>
        <v>0.97977461484307593</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34.479747463860264</v>
      </c>
      <c r="M41" s="185">
        <f t="shared" si="15"/>
        <v>33.921970270564117</v>
      </c>
      <c r="N41" s="185">
        <f t="shared" si="15"/>
        <v>33.546868209482049</v>
      </c>
      <c r="O41" s="185">
        <f t="shared" si="15"/>
        <v>33.237653421326037</v>
      </c>
      <c r="P41" s="185">
        <f t="shared" si="15"/>
        <v>32.947133956874815</v>
      </c>
      <c r="Q41" s="185">
        <f t="shared" si="15"/>
        <v>32.659153828102745</v>
      </c>
      <c r="R41" s="185">
        <f t="shared" si="15"/>
        <v>33.638928442945819</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17.239873731930132</v>
      </c>
      <c r="M42" s="185">
        <f xml:space="preserve"> ( (M39+M40) + M41) / 2</f>
        <v>34.619065301885342</v>
      </c>
      <c r="N42" s="185">
        <f t="shared" ref="N42:R42" si="17" xml:space="preserve"> ( (N39+N40) + N41) / 2</f>
        <v>34.236254909567407</v>
      </c>
      <c r="O42" s="185">
        <f t="shared" si="17"/>
        <v>33.92068577080277</v>
      </c>
      <c r="P42" s="185">
        <f t="shared" si="17"/>
        <v>33.624196143841658</v>
      </c>
      <c r="Q42" s="185">
        <f t="shared" si="17"/>
        <v>33.330298035798776</v>
      </c>
      <c r="R42" s="185">
        <f t="shared" si="17"/>
        <v>33.638928442945819</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InpR!E$105</f>
        <v>WACC on RCV - CPI(H) + RPI wedge bf and additions - WR</v>
      </c>
      <c r="F45" s="205">
        <f xml:space="preserve"> InpR!F$105</f>
        <v>0</v>
      </c>
      <c r="G45" s="223" t="str">
        <f xml:space="preserve"> InpR!G$105</f>
        <v>%</v>
      </c>
      <c r="H45" s="205">
        <f xml:space="preserve"> InpR!H$105</f>
        <v>0</v>
      </c>
      <c r="I45" s="205">
        <f xml:space="preserve"> InpR!I$105</f>
        <v>0</v>
      </c>
      <c r="J45" s="205">
        <f xml:space="preserve"> InpR!J$105</f>
        <v>0</v>
      </c>
      <c r="K45" s="205">
        <f xml:space="preserve"> InpR!K$105</f>
        <v>0</v>
      </c>
      <c r="L45" s="205">
        <f xml:space="preserve"> InpR!L$105</f>
        <v>0</v>
      </c>
      <c r="M45" s="205">
        <f xml:space="preserve"> InpR!M$105</f>
        <v>1.920357193840716E-2</v>
      </c>
      <c r="N45" s="205">
        <f xml:space="preserve"> InpR!N$105</f>
        <v>1.920357193840716E-2</v>
      </c>
      <c r="O45" s="205">
        <f xml:space="preserve"> InpR!O$105</f>
        <v>1.920357193840716E-2</v>
      </c>
      <c r="P45" s="205">
        <f xml:space="preserve"> InpR!P$105</f>
        <v>1.920357193840716E-2</v>
      </c>
      <c r="Q45" s="205">
        <f xml:space="preserve"> InpR!Q$105</f>
        <v>1.920357193840716E-2</v>
      </c>
      <c r="R45" s="205">
        <f xml:space="preserve"> InpR!R$105</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17.239873731930132</v>
      </c>
      <c r="M47" s="184">
        <f t="shared" si="18"/>
        <v>34.619065301885342</v>
      </c>
      <c r="N47" s="184">
        <f t="shared" si="18"/>
        <v>34.236254909567407</v>
      </c>
      <c r="O47" s="184">
        <f t="shared" si="18"/>
        <v>33.92068577080277</v>
      </c>
      <c r="P47" s="184">
        <f t="shared" si="18"/>
        <v>33.624196143841658</v>
      </c>
      <c r="Q47" s="184">
        <f xml:space="preserve"> Q$42</f>
        <v>33.330298035798776</v>
      </c>
      <c r="R47" s="184">
        <f t="shared" si="18"/>
        <v>33.638928442945819</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0.66480971096517039</v>
      </c>
      <c r="N48" s="184">
        <f t="shared" ref="N48:R48" si="20">N45*N47*N46</f>
        <v>0.65745838405752299</v>
      </c>
      <c r="O48" s="184">
        <f t="shared" si="20"/>
        <v>0.65139832939971509</v>
      </c>
      <c r="P48" s="184">
        <f t="shared" si="20"/>
        <v>0.64570466951937588</v>
      </c>
      <c r="Q48" s="184">
        <f t="shared" si="20"/>
        <v>0.64006077605901268</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1.3941900626424488</v>
      </c>
      <c r="N51" s="184">
        <f t="shared" si="21"/>
        <v>1.3787734001707197</v>
      </c>
      <c r="O51" s="184">
        <f t="shared" si="21"/>
        <v>1.3660646989534646</v>
      </c>
      <c r="P51" s="184">
        <f t="shared" si="21"/>
        <v>1.3541243739336772</v>
      </c>
      <c r="Q51" s="184">
        <f t="shared" si="21"/>
        <v>1.3422884153920558</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0.66480971096517039</v>
      </c>
      <c r="N52" s="184">
        <f t="shared" si="22"/>
        <v>0.65745838405752299</v>
      </c>
      <c r="O52" s="184">
        <f t="shared" si="22"/>
        <v>0.65139832939971509</v>
      </c>
      <c r="P52" s="184">
        <f t="shared" si="22"/>
        <v>0.64570466951937588</v>
      </c>
      <c r="Q52" s="184">
        <f t="shared" si="22"/>
        <v>0.64006077605901268</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10.094872821093162</v>
      </c>
      <c r="I53" s="184"/>
      <c r="J53" s="184">
        <f t="shared" ref="J53:R53" si="23">SUM(J51:J52)</f>
        <v>0</v>
      </c>
      <c r="K53" s="184">
        <f t="shared" si="23"/>
        <v>0</v>
      </c>
      <c r="L53" s="184">
        <f>SUM(L51:L52)</f>
        <v>0</v>
      </c>
      <c r="M53" s="185">
        <f t="shared" si="23"/>
        <v>2.0589997736076193</v>
      </c>
      <c r="N53" s="185">
        <f t="shared" si="23"/>
        <v>2.0362317842282427</v>
      </c>
      <c r="O53" s="184">
        <f t="shared" si="23"/>
        <v>2.0174630283531796</v>
      </c>
      <c r="P53" s="184">
        <f t="shared" si="23"/>
        <v>1.9998290434530532</v>
      </c>
      <c r="Q53" s="184">
        <f t="shared" si="23"/>
        <v>1.9823491914510685</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2.0589997736076193</v>
      </c>
      <c r="N61" s="184">
        <f t="shared" si="24"/>
        <v>2.0362317842282427</v>
      </c>
      <c r="O61" s="184">
        <f t="shared" si="24"/>
        <v>2.0174630283531796</v>
      </c>
      <c r="P61" s="184">
        <f t="shared" si="24"/>
        <v>1.9998290434530532</v>
      </c>
      <c r="Q61" s="184">
        <f t="shared" si="24"/>
        <v>1.9823491914510685</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34.381053486975752</v>
      </c>
      <c r="N68" s="240">
        <f t="shared" si="25"/>
        <v>33.310508421051729</v>
      </c>
      <c r="O68" s="240">
        <f t="shared" si="25"/>
        <v>33.843621398817675</v>
      </c>
      <c r="P68" s="240">
        <f t="shared" si="25"/>
        <v>36.692567141747155</v>
      </c>
      <c r="Q68" s="240">
        <f t="shared" si="25"/>
        <v>37.879858810784214</v>
      </c>
      <c r="R68" s="240">
        <f t="shared" si="25"/>
        <v>37.586084366683309</v>
      </c>
    </row>
    <row r="69" spans="1:16383" s="172" customFormat="1" x14ac:dyDescent="0.25">
      <c r="A69" s="331"/>
      <c r="B69" s="332"/>
      <c r="C69" s="333"/>
      <c r="D69" s="334"/>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0.29851396725652429</v>
      </c>
      <c r="N70" s="184">
        <f t="shared" ref="N70:R70" si="27">N68*N69</f>
        <v>1.9240829085134341</v>
      </c>
      <c r="O70" s="184">
        <f t="shared" si="27"/>
        <v>4.3570070988541927</v>
      </c>
      <c r="P70" s="184">
        <f t="shared" si="27"/>
        <v>2.744150610515526</v>
      </c>
      <c r="Q70" s="184">
        <f t="shared" si="27"/>
        <v>1.2510103929739269</v>
      </c>
      <c r="R70" s="184">
        <f t="shared" si="27"/>
        <v>-37.586084366683309</v>
      </c>
    </row>
    <row r="71" spans="1:16383" x14ac:dyDescent="0.25"/>
    <row r="72" spans="1:16383" s="205" customFormat="1" x14ac:dyDescent="0.25">
      <c r="A72" s="201"/>
      <c r="B72" s="202"/>
      <c r="C72" s="203"/>
      <c r="D72" s="204"/>
      <c r="E72" s="37" t="str">
        <f xml:space="preserve"> InpR!E$98</f>
        <v>Run-off rate - CPI(H) + RPI wedge - active - WR</v>
      </c>
      <c r="F72" s="205">
        <f xml:space="preserve"> InpR!F$98</f>
        <v>0</v>
      </c>
      <c r="G72" s="223" t="str">
        <f xml:space="preserve"> InpR!G$98</f>
        <v>%</v>
      </c>
      <c r="H72" s="205">
        <f xml:space="preserve"> InpR!H$98</f>
        <v>0</v>
      </c>
      <c r="I72" s="205">
        <f xml:space="preserve"> InpR!I$98</f>
        <v>0</v>
      </c>
      <c r="J72" s="205">
        <f xml:space="preserve"> InpR!J$98</f>
        <v>0</v>
      </c>
      <c r="K72" s="205">
        <f xml:space="preserve"> InpR!K$98</f>
        <v>0</v>
      </c>
      <c r="L72" s="205">
        <f xml:space="preserve"> InpR!L$98</f>
        <v>0</v>
      </c>
      <c r="M72" s="205">
        <f xml:space="preserve"> InpR!M$98</f>
        <v>3.94773964521715E-2</v>
      </c>
      <c r="N72" s="205">
        <f xml:space="preserve"> InpR!N$98</f>
        <v>3.94773964521715E-2</v>
      </c>
      <c r="O72" s="205">
        <f xml:space="preserve"> InpR!O$98</f>
        <v>3.94773964521715E-2</v>
      </c>
      <c r="P72" s="205">
        <f xml:space="preserve"> InpR!P$98</f>
        <v>3.94773964521715E-2</v>
      </c>
      <c r="Q72" s="205">
        <f xml:space="preserve"> InpR!Q$98</f>
        <v>3.94773964521715E-2</v>
      </c>
      <c r="R72" s="205">
        <f xml:space="preserve"> InpR!R$98</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34.381053486975752</v>
      </c>
      <c r="N73" s="240">
        <f t="shared" si="28"/>
        <v>33.310508421051729</v>
      </c>
      <c r="O73" s="240">
        <f t="shared" si="28"/>
        <v>33.843621398817675</v>
      </c>
      <c r="P73" s="240">
        <f t="shared" si="28"/>
        <v>36.692567141747155</v>
      </c>
      <c r="Q73" s="240">
        <f t="shared" si="28"/>
        <v>37.879858810784214</v>
      </c>
      <c r="R73" s="240">
        <f t="shared" si="28"/>
        <v>37.586084366683309</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0.29851396725652429</v>
      </c>
      <c r="N74" s="184">
        <f t="shared" si="29"/>
        <v>1.9240829085134341</v>
      </c>
      <c r="O74" s="184">
        <f t="shared" si="29"/>
        <v>4.3570070988541927</v>
      </c>
      <c r="P74" s="184">
        <f t="shared" si="29"/>
        <v>2.744150610515526</v>
      </c>
      <c r="Q74" s="184">
        <f t="shared" si="29"/>
        <v>1.2510103929739269</v>
      </c>
      <c r="R74" s="184">
        <f t="shared" si="29"/>
        <v>-37.586084366683309</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1.3690590331805514</v>
      </c>
      <c r="N75" s="184">
        <f xml:space="preserve"> (N73+N74) * N72</f>
        <v>1.3909699307474885</v>
      </c>
      <c r="O75" s="184">
        <f t="shared" si="30"/>
        <v>1.5080613559247127</v>
      </c>
      <c r="P75" s="184">
        <f t="shared" si="30"/>
        <v>1.5568589414784635</v>
      </c>
      <c r="Q75" s="184">
        <f t="shared" si="30"/>
        <v>1.5447848370748285</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InpR!E$91</f>
        <v>RCV - CPI(H) + RPI wedge initial balance - nominal - WR</v>
      </c>
      <c r="F77" s="249">
        <f>InpR!F$91</f>
        <v>34.479747463860264</v>
      </c>
      <c r="G77" s="30" t="str">
        <f>InpR!G$91</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7" t="str">
        <f t="shared" ref="E78:R78" si="31">E172</f>
        <v>CPI(H): Fin year average - inflate from base year 2017-18 average - final determination</v>
      </c>
      <c r="F78" s="248">
        <f t="shared" si="31"/>
        <v>0</v>
      </c>
      <c r="G78" s="248" t="str">
        <f t="shared" si="31"/>
        <v>%</v>
      </c>
      <c r="H78" s="205">
        <f t="shared" si="31"/>
        <v>0</v>
      </c>
      <c r="I78" s="205">
        <f t="shared" si="31"/>
        <v>0</v>
      </c>
      <c r="J78" s="205">
        <f t="shared" si="31"/>
        <v>0</v>
      </c>
      <c r="K78" s="205">
        <f t="shared" si="31"/>
        <v>1.0212697905005599</v>
      </c>
      <c r="L78" s="205">
        <f t="shared" si="31"/>
        <v>1.0416029201511179</v>
      </c>
      <c r="M78" s="205">
        <f t="shared" si="31"/>
        <v>1.0622616980779827</v>
      </c>
      <c r="N78" s="205">
        <f t="shared" si="31"/>
        <v>1.0835515290872799</v>
      </c>
      <c r="O78" s="205">
        <f t="shared" si="31"/>
        <v>1.1060365794841869</v>
      </c>
      <c r="P78" s="205">
        <f t="shared" si="31"/>
        <v>1.1292633476533553</v>
      </c>
      <c r="Q78" s="205">
        <f t="shared" si="31"/>
        <v>1.1529778779540774</v>
      </c>
      <c r="R78" s="205">
        <f t="shared" si="31"/>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7" t="str">
        <f t="shared" ref="E79:R79" si="32">E173</f>
        <v>CPI(H): Fin year average - inflate from base year 2017-18 average - actual (including forecast)</v>
      </c>
      <c r="F79" s="205">
        <f t="shared" si="32"/>
        <v>0</v>
      </c>
      <c r="G79" s="223" t="str">
        <f t="shared" si="32"/>
        <v>%</v>
      </c>
      <c r="H79" s="205">
        <f t="shared" si="32"/>
        <v>0</v>
      </c>
      <c r="I79" s="205">
        <f t="shared" si="32"/>
        <v>0</v>
      </c>
      <c r="J79" s="205">
        <f t="shared" si="32"/>
        <v>0</v>
      </c>
      <c r="K79" s="205">
        <f t="shared" si="32"/>
        <v>1.0212697905005599</v>
      </c>
      <c r="L79" s="205">
        <f t="shared" si="32"/>
        <v>1.0386214616983847</v>
      </c>
      <c r="M79" s="205">
        <f t="shared" si="32"/>
        <v>1.0469374700143934</v>
      </c>
      <c r="N79" s="205">
        <f t="shared" si="32"/>
        <v>1.0853990084759317</v>
      </c>
      <c r="O79" s="205">
        <f t="shared" si="32"/>
        <v>1.1806332960179113</v>
      </c>
      <c r="P79" s="205">
        <f t="shared" si="32"/>
        <v>1.2461218615064769</v>
      </c>
      <c r="Q79" s="205">
        <f t="shared" si="32"/>
        <v>1.2861826323364782</v>
      </c>
      <c r="R79" s="205">
        <f t="shared" si="32"/>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463</v>
      </c>
      <c r="F81" s="185">
        <f>(F77/SUMPRODUCT(J78:R78,J80:R80)) * SUMPRODUCT(J79:R79,J80:R80)</f>
        <v>34.381053486975752</v>
      </c>
      <c r="G81" s="92" t="s">
        <v>238</v>
      </c>
      <c r="H81" s="205"/>
      <c r="I81" s="205"/>
      <c r="J81" s="205"/>
      <c r="K81" s="205"/>
      <c r="L81" s="205"/>
      <c r="M81" s="205"/>
      <c r="N81" s="205"/>
      <c r="O81" s="205"/>
      <c r="P81" s="205"/>
      <c r="Q81" s="205"/>
      <c r="R81" s="205"/>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F82" s="138"/>
      <c r="G82" s="138"/>
      <c r="H82" s="138"/>
    </row>
    <row r="83" spans="1:16383" s="200" customFormat="1" x14ac:dyDescent="0.25">
      <c r="A83" s="331"/>
      <c r="B83" s="346"/>
      <c r="C83" s="347"/>
      <c r="D83" s="348"/>
      <c r="E83" s="345" t="str">
        <f>E81</f>
        <v>RCV - CPI(H) + RPI wedge initial balance adjusted for actual inflation - nominal - WR</v>
      </c>
      <c r="F83" s="354">
        <f t="shared" ref="F83:G83" si="33">F81</f>
        <v>34.381053486975752</v>
      </c>
      <c r="G83" s="345" t="str">
        <f t="shared" si="33"/>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4" xml:space="preserve"> I89</f>
        <v>0</v>
      </c>
      <c r="K86" s="241">
        <f t="shared" si="34"/>
        <v>0</v>
      </c>
      <c r="L86" s="241">
        <f t="shared" si="34"/>
        <v>0</v>
      </c>
      <c r="M86" s="241">
        <f t="shared" si="34"/>
        <v>34.381053486975752</v>
      </c>
      <c r="N86" s="241">
        <f t="shared" si="34"/>
        <v>33.310508421051729</v>
      </c>
      <c r="O86" s="241">
        <f t="shared" si="34"/>
        <v>33.843621398817675</v>
      </c>
      <c r="P86" s="241">
        <f t="shared" si="34"/>
        <v>36.692567141747155</v>
      </c>
      <c r="Q86" s="241">
        <f t="shared" si="34"/>
        <v>37.879858810784214</v>
      </c>
      <c r="R86" s="241">
        <f t="shared" si="34"/>
        <v>37.586084366683309</v>
      </c>
    </row>
    <row r="87" spans="1:16383" x14ac:dyDescent="0.25">
      <c r="A87" s="47"/>
      <c r="B87" s="51"/>
      <c r="C87" s="111"/>
      <c r="D87" s="56" t="s">
        <v>445</v>
      </c>
      <c r="E87" s="7" t="str">
        <f t="shared" ref="E87:R87" si="35" xml:space="preserve"> E$70</f>
        <v>Actual RCV indexation - nominal</v>
      </c>
      <c r="F87" s="241">
        <f t="shared" si="35"/>
        <v>0</v>
      </c>
      <c r="G87" s="162" t="str">
        <f t="shared" si="35"/>
        <v>£m</v>
      </c>
      <c r="H87" s="241">
        <f t="shared" si="35"/>
        <v>0</v>
      </c>
      <c r="I87" s="162">
        <f t="shared" si="35"/>
        <v>0</v>
      </c>
      <c r="J87" s="241">
        <f t="shared" si="35"/>
        <v>0</v>
      </c>
      <c r="K87" s="241">
        <f t="shared" si="35"/>
        <v>0</v>
      </c>
      <c r="L87" s="241">
        <f t="shared" si="35"/>
        <v>0</v>
      </c>
      <c r="M87" s="241">
        <f xml:space="preserve"> M$70</f>
        <v>0.29851396725652429</v>
      </c>
      <c r="N87" s="241">
        <f t="shared" si="35"/>
        <v>1.9240829085134341</v>
      </c>
      <c r="O87" s="241">
        <f t="shared" si="35"/>
        <v>4.3570070988541927</v>
      </c>
      <c r="P87" s="241">
        <f t="shared" si="35"/>
        <v>2.744150610515526</v>
      </c>
      <c r="Q87" s="241">
        <f t="shared" si="35"/>
        <v>1.2510103929739269</v>
      </c>
      <c r="R87" s="241">
        <f t="shared" si="35"/>
        <v>-37.586084366683309</v>
      </c>
    </row>
    <row r="88" spans="1:16383" x14ac:dyDescent="0.25">
      <c r="A88" s="47"/>
      <c r="B88" s="51"/>
      <c r="C88" s="111"/>
      <c r="D88" s="56" t="s">
        <v>446</v>
      </c>
      <c r="E88" s="7" t="str">
        <f t="shared" ref="E88:R88" si="36" xml:space="preserve"> E$75</f>
        <v>RCV run-off company should have received - nominal</v>
      </c>
      <c r="F88" s="241">
        <f t="shared" si="36"/>
        <v>0</v>
      </c>
      <c r="G88" s="162" t="str">
        <f t="shared" si="36"/>
        <v>£m</v>
      </c>
      <c r="H88" s="241">
        <f t="shared" si="36"/>
        <v>0</v>
      </c>
      <c r="I88" s="162">
        <f t="shared" si="36"/>
        <v>0</v>
      </c>
      <c r="J88" s="241">
        <f t="shared" si="36"/>
        <v>0</v>
      </c>
      <c r="K88" s="241">
        <f t="shared" si="36"/>
        <v>0</v>
      </c>
      <c r="L88" s="241">
        <f t="shared" si="36"/>
        <v>0</v>
      </c>
      <c r="M88" s="241">
        <f t="shared" si="36"/>
        <v>1.3690590331805514</v>
      </c>
      <c r="N88" s="241">
        <f t="shared" si="36"/>
        <v>1.3909699307474885</v>
      </c>
      <c r="O88" s="241">
        <f t="shared" si="36"/>
        <v>1.5080613559247127</v>
      </c>
      <c r="P88" s="241">
        <f t="shared" si="36"/>
        <v>1.5568589414784635</v>
      </c>
      <c r="Q88" s="241">
        <f t="shared" si="36"/>
        <v>1.5447848370748285</v>
      </c>
      <c r="R88" s="241">
        <f t="shared" si="36"/>
        <v>0</v>
      </c>
    </row>
    <row r="89" spans="1:16383" s="138" customFormat="1" x14ac:dyDescent="0.25">
      <c r="A89" s="134"/>
      <c r="B89" s="135"/>
      <c r="C89" s="136"/>
      <c r="D89" s="137"/>
      <c r="E89" s="138" t="s">
        <v>465</v>
      </c>
      <c r="G89" s="163" t="s">
        <v>238</v>
      </c>
      <c r="J89" s="242">
        <f t="shared" ref="J89:R89" si="37" xml:space="preserve"> IF( J84 = 1, $F83, J86 + J87 - J88)</f>
        <v>0</v>
      </c>
      <c r="K89" s="242">
        <f t="shared" si="37"/>
        <v>0</v>
      </c>
      <c r="L89" s="242">
        <f t="shared" si="37"/>
        <v>34.381053486975752</v>
      </c>
      <c r="M89" s="242">
        <f t="shared" si="37"/>
        <v>33.310508421051729</v>
      </c>
      <c r="N89" s="242">
        <f t="shared" si="37"/>
        <v>33.843621398817675</v>
      </c>
      <c r="O89" s="242">
        <f t="shared" si="37"/>
        <v>36.692567141747155</v>
      </c>
      <c r="P89" s="242">
        <f t="shared" si="37"/>
        <v>37.879858810784214</v>
      </c>
      <c r="Q89" s="242">
        <f t="shared" si="37"/>
        <v>37.586084366683309</v>
      </c>
      <c r="R89" s="242">
        <f t="shared" si="37"/>
        <v>0</v>
      </c>
    </row>
    <row r="90" spans="1:16383" x14ac:dyDescent="0.25"/>
    <row r="91" spans="1:16383" s="92" customFormat="1" x14ac:dyDescent="0.25">
      <c r="A91" s="164"/>
      <c r="B91" s="165"/>
      <c r="C91" s="166"/>
      <c r="D91" s="167"/>
      <c r="E91" s="7" t="str">
        <f t="shared" ref="E91:R91" si="38" xml:space="preserve"> E$86</f>
        <v>Actual Nominal RCV balance BEG</v>
      </c>
      <c r="F91" s="185">
        <f t="shared" si="38"/>
        <v>0</v>
      </c>
      <c r="G91" s="92" t="str">
        <f t="shared" si="38"/>
        <v>£m</v>
      </c>
      <c r="H91" s="185">
        <f t="shared" si="38"/>
        <v>0</v>
      </c>
      <c r="I91" s="185">
        <f t="shared" si="38"/>
        <v>0</v>
      </c>
      <c r="J91" s="185">
        <f t="shared" si="38"/>
        <v>0</v>
      </c>
      <c r="K91" s="185">
        <f t="shared" si="38"/>
        <v>0</v>
      </c>
      <c r="L91" s="185">
        <f t="shared" si="38"/>
        <v>0</v>
      </c>
      <c r="M91" s="185">
        <f t="shared" si="38"/>
        <v>34.381053486975752</v>
      </c>
      <c r="N91" s="185">
        <f t="shared" si="38"/>
        <v>33.310508421051729</v>
      </c>
      <c r="O91" s="185">
        <f t="shared" si="38"/>
        <v>33.843621398817675</v>
      </c>
      <c r="P91" s="185">
        <f t="shared" si="38"/>
        <v>36.692567141747155</v>
      </c>
      <c r="Q91" s="185">
        <f t="shared" si="38"/>
        <v>37.879858810784214</v>
      </c>
      <c r="R91" s="185">
        <f t="shared" si="38"/>
        <v>37.586084366683309</v>
      </c>
    </row>
    <row r="92" spans="1:16383" s="92" customFormat="1" x14ac:dyDescent="0.25">
      <c r="A92" s="164"/>
      <c r="B92" s="165"/>
      <c r="C92" s="166"/>
      <c r="D92" s="167"/>
      <c r="E92" s="7" t="str">
        <f t="shared" ref="E92:R92" si="39" xml:space="preserve"> E$87</f>
        <v>Actual RCV indexation - nominal</v>
      </c>
      <c r="F92" s="241">
        <f t="shared" si="39"/>
        <v>0</v>
      </c>
      <c r="G92" s="162" t="str">
        <f t="shared" si="39"/>
        <v>£m</v>
      </c>
      <c r="H92" s="241">
        <f t="shared" si="39"/>
        <v>0</v>
      </c>
      <c r="I92" s="241">
        <f t="shared" si="39"/>
        <v>0</v>
      </c>
      <c r="J92" s="241">
        <f t="shared" si="39"/>
        <v>0</v>
      </c>
      <c r="K92" s="241">
        <f t="shared" si="39"/>
        <v>0</v>
      </c>
      <c r="L92" s="241">
        <f t="shared" si="39"/>
        <v>0</v>
      </c>
      <c r="M92" s="241">
        <f t="shared" si="39"/>
        <v>0.29851396725652429</v>
      </c>
      <c r="N92" s="241">
        <f t="shared" si="39"/>
        <v>1.9240829085134341</v>
      </c>
      <c r="O92" s="241">
        <f t="shared" si="39"/>
        <v>4.3570070988541927</v>
      </c>
      <c r="P92" s="241">
        <f t="shared" si="39"/>
        <v>2.744150610515526</v>
      </c>
      <c r="Q92" s="241">
        <f t="shared" si="39"/>
        <v>1.2510103929739269</v>
      </c>
      <c r="R92" s="241">
        <f t="shared" si="39"/>
        <v>-37.586084366683309</v>
      </c>
    </row>
    <row r="93" spans="1:16383" s="92" customFormat="1" x14ac:dyDescent="0.25">
      <c r="A93" s="164"/>
      <c r="B93" s="165"/>
      <c r="C93" s="166"/>
      <c r="D93" s="167"/>
      <c r="E93" s="7" t="str">
        <f t="shared" ref="E93:R93" si="40" xml:space="preserve"> E$89</f>
        <v>Actual Nominal RCV balance END</v>
      </c>
      <c r="F93" s="185">
        <f t="shared" si="40"/>
        <v>0</v>
      </c>
      <c r="G93" s="92" t="str">
        <f t="shared" si="40"/>
        <v>£m</v>
      </c>
      <c r="H93" s="185">
        <f t="shared" si="40"/>
        <v>0</v>
      </c>
      <c r="I93" s="185">
        <f t="shared" si="40"/>
        <v>0</v>
      </c>
      <c r="J93" s="185">
        <f t="shared" si="40"/>
        <v>0</v>
      </c>
      <c r="K93" s="185">
        <f t="shared" si="40"/>
        <v>0</v>
      </c>
      <c r="L93" s="185">
        <f t="shared" si="40"/>
        <v>34.381053486975752</v>
      </c>
      <c r="M93" s="185">
        <f t="shared" si="40"/>
        <v>33.310508421051729</v>
      </c>
      <c r="N93" s="185">
        <f t="shared" si="40"/>
        <v>33.843621398817675</v>
      </c>
      <c r="O93" s="185">
        <f t="shared" si="40"/>
        <v>36.692567141747155</v>
      </c>
      <c r="P93" s="185">
        <f t="shared" si="40"/>
        <v>37.879858810784214</v>
      </c>
      <c r="Q93" s="185">
        <f t="shared" si="40"/>
        <v>37.586084366683309</v>
      </c>
      <c r="R93" s="185">
        <f t="shared" si="40"/>
        <v>0</v>
      </c>
    </row>
    <row r="94" spans="1:16383" x14ac:dyDescent="0.25">
      <c r="A94" s="49"/>
      <c r="D94" s="57"/>
      <c r="E94" s="7" t="s">
        <v>466</v>
      </c>
      <c r="G94" s="92" t="s">
        <v>238</v>
      </c>
      <c r="H94" s="243"/>
      <c r="I94" s="243"/>
      <c r="J94" s="185">
        <f t="shared" ref="J94:K94" si="41" xml:space="preserve"> ( (J91+J92) + J93) / 2</f>
        <v>0</v>
      </c>
      <c r="K94" s="185">
        <f t="shared" si="41"/>
        <v>0</v>
      </c>
      <c r="L94" s="185">
        <f xml:space="preserve"> ( (L91+L92) + L93) / 2</f>
        <v>17.190526743487876</v>
      </c>
      <c r="M94" s="185">
        <f xml:space="preserve"> ( (M91+M92) + M93) / 2</f>
        <v>33.995037937642003</v>
      </c>
      <c r="N94" s="185">
        <f t="shared" ref="N94:P94" si="42" xml:space="preserve"> ( (N91+N92) + N93) / 2</f>
        <v>34.539106364191419</v>
      </c>
      <c r="O94" s="185">
        <f t="shared" si="42"/>
        <v>37.44659781970951</v>
      </c>
      <c r="P94" s="185">
        <f t="shared" si="42"/>
        <v>38.658288281523447</v>
      </c>
      <c r="Q94" s="185">
        <f xml:space="preserve"> ( (Q91+Q92) + Q93) / 2</f>
        <v>38.358476785220724</v>
      </c>
      <c r="R94" s="185">
        <f t="shared" ref="R94" si="43"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InpR!E$105</f>
        <v>WACC on RCV - CPI(H) + RPI wedge bf and additions - WR</v>
      </c>
      <c r="F97" s="205">
        <f xml:space="preserve"> InpR!F$105</f>
        <v>0</v>
      </c>
      <c r="G97" s="223" t="str">
        <f xml:space="preserve"> InpR!G$105</f>
        <v>%</v>
      </c>
      <c r="H97" s="205">
        <f xml:space="preserve"> InpR!H$105</f>
        <v>0</v>
      </c>
      <c r="I97" s="205">
        <f xml:space="preserve"> InpR!I$105</f>
        <v>0</v>
      </c>
      <c r="J97" s="205">
        <f xml:space="preserve"> InpR!J$105</f>
        <v>0</v>
      </c>
      <c r="K97" s="205">
        <f xml:space="preserve"> InpR!K$105</f>
        <v>0</v>
      </c>
      <c r="L97" s="205">
        <f xml:space="preserve"> InpR!L$105</f>
        <v>0</v>
      </c>
      <c r="M97" s="205">
        <f xml:space="preserve"> InpR!M$105</f>
        <v>1.920357193840716E-2</v>
      </c>
      <c r="N97" s="205">
        <f xml:space="preserve"> InpR!N$105</f>
        <v>1.920357193840716E-2</v>
      </c>
      <c r="O97" s="205">
        <f xml:space="preserve"> InpR!O$105</f>
        <v>1.920357193840716E-2</v>
      </c>
      <c r="P97" s="205">
        <f xml:space="preserve"> InpR!P$105</f>
        <v>1.920357193840716E-2</v>
      </c>
      <c r="Q97" s="205">
        <f xml:space="preserve"> InpR!Q$105</f>
        <v>1.920357193840716E-2</v>
      </c>
      <c r="R97" s="205">
        <f xml:space="preserve"> InpR!R$105</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4" xml:space="preserve"> E$94</f>
        <v>Actual average RCV balance</v>
      </c>
      <c r="F99" s="184">
        <f t="shared" si="44"/>
        <v>0</v>
      </c>
      <c r="G99" s="184" t="str">
        <f t="shared" si="44"/>
        <v>£m</v>
      </c>
      <c r="H99" s="184">
        <f t="shared" si="44"/>
        <v>0</v>
      </c>
      <c r="I99" s="184">
        <f t="shared" si="44"/>
        <v>0</v>
      </c>
      <c r="J99" s="184">
        <f t="shared" si="44"/>
        <v>0</v>
      </c>
      <c r="K99" s="184">
        <f t="shared" si="44"/>
        <v>0</v>
      </c>
      <c r="L99" s="184">
        <f t="shared" si="44"/>
        <v>17.190526743487876</v>
      </c>
      <c r="M99" s="184">
        <f t="shared" si="44"/>
        <v>33.995037937642003</v>
      </c>
      <c r="N99" s="184">
        <f t="shared" si="44"/>
        <v>34.539106364191419</v>
      </c>
      <c r="O99" s="184">
        <f t="shared" si="44"/>
        <v>37.44659781970951</v>
      </c>
      <c r="P99" s="184">
        <f t="shared" si="44"/>
        <v>38.658288281523447</v>
      </c>
      <c r="Q99" s="184">
        <f t="shared" si="44"/>
        <v>38.358476785220724</v>
      </c>
      <c r="R99" s="184">
        <f t="shared" si="44"/>
        <v>0</v>
      </c>
    </row>
    <row r="100" spans="1:26" x14ac:dyDescent="0.25">
      <c r="E100" s="7" t="s">
        <v>468</v>
      </c>
      <c r="F100" s="243"/>
      <c r="G100" s="184" t="s">
        <v>238</v>
      </c>
      <c r="H100" s="243"/>
      <c r="I100" s="243"/>
      <c r="J100" s="243">
        <f t="shared" ref="J100:K100" si="45">J97*J98*J99</f>
        <v>0</v>
      </c>
      <c r="K100" s="243">
        <f t="shared" si="45"/>
        <v>0</v>
      </c>
      <c r="L100" s="243">
        <f>L97*L98*L99</f>
        <v>0</v>
      </c>
      <c r="M100" s="243">
        <f>M97*M98*M99</f>
        <v>0.65282615658438881</v>
      </c>
      <c r="N100" s="243">
        <f t="shared" ref="N100:R100" si="46">N97*N98*N99</f>
        <v>0.66327421375304652</v>
      </c>
      <c r="O100" s="243">
        <f t="shared" si="46"/>
        <v>0.71910843507939226</v>
      </c>
      <c r="P100" s="243">
        <f t="shared" si="46"/>
        <v>0.74237722002991802</v>
      </c>
      <c r="Q100" s="243">
        <f t="shared" si="46"/>
        <v>0.73661976839270715</v>
      </c>
      <c r="R100" s="243">
        <f t="shared" si="46"/>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7" xml:space="preserve"> E$89</f>
        <v>Actual Nominal RCV balance END</v>
      </c>
      <c r="F103" s="185">
        <f t="shared" si="47"/>
        <v>0</v>
      </c>
      <c r="G103" s="185" t="str">
        <f t="shared" si="47"/>
        <v>£m</v>
      </c>
      <c r="H103" s="185">
        <f t="shared" si="47"/>
        <v>0</v>
      </c>
      <c r="I103" s="185">
        <f t="shared" si="47"/>
        <v>0</v>
      </c>
      <c r="J103" s="185">
        <f t="shared" si="47"/>
        <v>0</v>
      </c>
      <c r="K103" s="185">
        <f t="shared" si="47"/>
        <v>0</v>
      </c>
      <c r="L103" s="185">
        <f t="shared" si="47"/>
        <v>34.381053486975752</v>
      </c>
      <c r="M103" s="185">
        <f t="shared" si="47"/>
        <v>33.310508421051729</v>
      </c>
      <c r="N103" s="185">
        <f t="shared" si="47"/>
        <v>33.843621398817675</v>
      </c>
      <c r="O103" s="185">
        <f t="shared" si="47"/>
        <v>36.692567141747155</v>
      </c>
      <c r="P103" s="185">
        <f t="shared" si="47"/>
        <v>37.879858810784214</v>
      </c>
      <c r="Q103" s="185">
        <f t="shared" si="47"/>
        <v>37.586084366683309</v>
      </c>
      <c r="R103" s="185">
        <f t="shared" si="47"/>
        <v>0</v>
      </c>
    </row>
    <row r="104" spans="1:26" x14ac:dyDescent="0.25">
      <c r="C104" s="267"/>
      <c r="E104" s="7" t="s">
        <v>469</v>
      </c>
      <c r="F104" s="243"/>
      <c r="G104" s="243"/>
      <c r="H104" s="243"/>
      <c r="I104" s="243"/>
      <c r="J104" s="184">
        <f>J103 * J102</f>
        <v>0</v>
      </c>
      <c r="K104" s="184">
        <f t="shared" ref="K104:R104" si="48">K103 * K102</f>
        <v>0</v>
      </c>
      <c r="L104" s="184">
        <f t="shared" si="48"/>
        <v>0</v>
      </c>
      <c r="M104" s="184">
        <f t="shared" si="48"/>
        <v>0</v>
      </c>
      <c r="N104" s="184">
        <f t="shared" si="48"/>
        <v>0</v>
      </c>
      <c r="O104" s="184">
        <f t="shared" si="48"/>
        <v>0</v>
      </c>
      <c r="P104" s="184">
        <f t="shared" si="48"/>
        <v>0</v>
      </c>
      <c r="Q104" s="184">
        <f t="shared" si="48"/>
        <v>37.586084366683309</v>
      </c>
      <c r="R104" s="184">
        <f t="shared" si="48"/>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9" xml:space="preserve"> E$75</f>
        <v>RCV run-off company should have received - nominal</v>
      </c>
      <c r="F107" s="184">
        <f t="shared" si="49"/>
        <v>0</v>
      </c>
      <c r="G107" s="184" t="str">
        <f t="shared" si="49"/>
        <v>£m</v>
      </c>
      <c r="H107" s="184">
        <f t="shared" si="49"/>
        <v>0</v>
      </c>
      <c r="I107" s="184">
        <f t="shared" si="49"/>
        <v>0</v>
      </c>
      <c r="J107" s="184">
        <f t="shared" si="49"/>
        <v>0</v>
      </c>
      <c r="K107" s="184">
        <f t="shared" si="49"/>
        <v>0</v>
      </c>
      <c r="L107" s="184">
        <f t="shared" si="49"/>
        <v>0</v>
      </c>
      <c r="M107" s="184">
        <f xml:space="preserve"> M$75</f>
        <v>1.3690590331805514</v>
      </c>
      <c r="N107" s="184">
        <f t="shared" si="49"/>
        <v>1.3909699307474885</v>
      </c>
      <c r="O107" s="184">
        <f t="shared" si="49"/>
        <v>1.5080613559247127</v>
      </c>
      <c r="P107" s="184">
        <f t="shared" si="49"/>
        <v>1.5568589414784635</v>
      </c>
      <c r="Q107" s="184">
        <f t="shared" si="49"/>
        <v>1.5447848370748285</v>
      </c>
      <c r="R107" s="184">
        <f t="shared" si="49"/>
        <v>0</v>
      </c>
    </row>
    <row r="108" spans="1:26" s="91" customFormat="1" x14ac:dyDescent="0.25">
      <c r="A108" s="50"/>
      <c r="B108" s="61"/>
      <c r="C108" s="110"/>
      <c r="D108" s="55"/>
      <c r="E108" s="7" t="str">
        <f t="shared" ref="E108:R109" si="50" xml:space="preserve"> E$100</f>
        <v>Nominal return company should have received</v>
      </c>
      <c r="F108" s="184">
        <f t="shared" si="50"/>
        <v>0</v>
      </c>
      <c r="G108" s="184" t="str">
        <f t="shared" si="50"/>
        <v>£m</v>
      </c>
      <c r="H108" s="184">
        <f t="shared" si="50"/>
        <v>0</v>
      </c>
      <c r="I108" s="184">
        <f t="shared" si="50"/>
        <v>0</v>
      </c>
      <c r="J108" s="184">
        <f t="shared" si="50"/>
        <v>0</v>
      </c>
      <c r="K108" s="184">
        <f t="shared" si="50"/>
        <v>0</v>
      </c>
      <c r="L108" s="184">
        <f t="shared" si="50"/>
        <v>0</v>
      </c>
      <c r="M108" s="184">
        <f t="shared" si="50"/>
        <v>0.65282615658438881</v>
      </c>
      <c r="N108" s="184">
        <f t="shared" si="50"/>
        <v>0.66327421375304652</v>
      </c>
      <c r="O108" s="184">
        <f t="shared" si="50"/>
        <v>0.71910843507939226</v>
      </c>
      <c r="P108" s="184">
        <f t="shared" si="50"/>
        <v>0.74237722002991802</v>
      </c>
      <c r="Q108" s="184">
        <f t="shared" si="50"/>
        <v>0.73661976839270715</v>
      </c>
      <c r="R108" s="184">
        <f t="shared" si="50"/>
        <v>0</v>
      </c>
      <c r="S108" s="92"/>
      <c r="T108" s="92"/>
      <c r="U108" s="92"/>
      <c r="V108" s="92"/>
      <c r="W108" s="92"/>
      <c r="X108" s="92"/>
      <c r="Y108" s="92"/>
      <c r="Z108" s="92"/>
    </row>
    <row r="109" spans="1:26" x14ac:dyDescent="0.25">
      <c r="E109" s="7" t="s">
        <v>471</v>
      </c>
      <c r="F109" s="243"/>
      <c r="G109" s="184" t="str">
        <f t="shared" si="50"/>
        <v>£m</v>
      </c>
      <c r="H109" s="243">
        <f>SUM(J109:R109)</f>
        <v>10.883939892245497</v>
      </c>
      <c r="I109" s="243"/>
      <c r="J109" s="243">
        <f t="shared" ref="J109:R109" si="51">SUM(J107:J108)</f>
        <v>0</v>
      </c>
      <c r="K109" s="243">
        <f t="shared" si="51"/>
        <v>0</v>
      </c>
      <c r="L109" s="243">
        <f t="shared" si="51"/>
        <v>0</v>
      </c>
      <c r="M109" s="243">
        <f t="shared" si="51"/>
        <v>2.0218851897649404</v>
      </c>
      <c r="N109" s="243">
        <f t="shared" si="51"/>
        <v>2.0542441445005348</v>
      </c>
      <c r="O109" s="243">
        <f t="shared" si="51"/>
        <v>2.2271697910041048</v>
      </c>
      <c r="P109" s="243">
        <f t="shared" si="51"/>
        <v>2.2992361615083814</v>
      </c>
      <c r="Q109" s="243">
        <f t="shared" si="51"/>
        <v>2.2814046054675359</v>
      </c>
      <c r="R109" s="243">
        <f t="shared" si="51"/>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2" xml:space="preserve"> F$61</f>
        <v>0</v>
      </c>
      <c r="G115" s="184" t="str">
        <f t="shared" si="52"/>
        <v>£m</v>
      </c>
      <c r="H115" s="184">
        <f t="shared" si="52"/>
        <v>0</v>
      </c>
      <c r="I115" s="184">
        <f t="shared" si="52"/>
        <v>0</v>
      </c>
      <c r="J115" s="184">
        <f t="shared" si="52"/>
        <v>0</v>
      </c>
      <c r="K115" s="184">
        <f t="shared" si="52"/>
        <v>0</v>
      </c>
      <c r="L115" s="184">
        <f t="shared" si="52"/>
        <v>0</v>
      </c>
      <c r="M115" s="184">
        <f xml:space="preserve"> M$61</f>
        <v>2.0589997736076193</v>
      </c>
      <c r="N115" s="184">
        <f t="shared" si="52"/>
        <v>2.0362317842282427</v>
      </c>
      <c r="O115" s="184">
        <f t="shared" si="52"/>
        <v>2.0174630283531796</v>
      </c>
      <c r="P115" s="184">
        <f t="shared" si="52"/>
        <v>1.9998290434530532</v>
      </c>
      <c r="Q115" s="184">
        <f t="shared" si="52"/>
        <v>1.9823491914510685</v>
      </c>
      <c r="R115" s="184">
        <f xml:space="preserve"> R$61</f>
        <v>0</v>
      </c>
    </row>
    <row r="116" spans="1:26" x14ac:dyDescent="0.25">
      <c r="E116" s="7" t="str">
        <f t="shared" ref="E116:R116" si="53" xml:space="preserve"> E$109</f>
        <v>Total nominal revenue company should have received</v>
      </c>
      <c r="F116" s="184">
        <f t="shared" si="53"/>
        <v>0</v>
      </c>
      <c r="G116" s="184" t="str">
        <f t="shared" si="53"/>
        <v>£m</v>
      </c>
      <c r="H116" s="184">
        <f t="shared" si="53"/>
        <v>10.883939892245497</v>
      </c>
      <c r="I116" s="184">
        <f t="shared" si="53"/>
        <v>0</v>
      </c>
      <c r="J116" s="184">
        <f t="shared" si="53"/>
        <v>0</v>
      </c>
      <c r="K116" s="184">
        <f t="shared" si="53"/>
        <v>0</v>
      </c>
      <c r="L116" s="184">
        <f t="shared" si="53"/>
        <v>0</v>
      </c>
      <c r="M116" s="184">
        <f xml:space="preserve"> M$109</f>
        <v>2.0218851897649404</v>
      </c>
      <c r="N116" s="184">
        <f t="shared" si="53"/>
        <v>2.0542441445005348</v>
      </c>
      <c r="O116" s="184">
        <f t="shared" si="53"/>
        <v>2.2271697910041048</v>
      </c>
      <c r="P116" s="184">
        <f t="shared" si="53"/>
        <v>2.2992361615083814</v>
      </c>
      <c r="Q116" s="184">
        <f t="shared" si="53"/>
        <v>2.2814046054675359</v>
      </c>
      <c r="R116" s="184">
        <f t="shared" si="53"/>
        <v>0</v>
      </c>
    </row>
    <row r="117" spans="1:26" s="184" customFormat="1" x14ac:dyDescent="0.25">
      <c r="A117" s="180"/>
      <c r="B117" s="181"/>
      <c r="C117" s="182"/>
      <c r="D117" s="183"/>
      <c r="E117" s="7" t="s">
        <v>474</v>
      </c>
      <c r="G117" s="184" t="str">
        <f t="shared" ref="G117" si="54" xml:space="preserve"> G$100</f>
        <v>£m</v>
      </c>
      <c r="H117" s="243">
        <f>SUM(J117:R117)</f>
        <v>0.78906707115233399</v>
      </c>
      <c r="M117" s="184">
        <f>M116-M115</f>
        <v>-3.7114583842678961E-2</v>
      </c>
      <c r="N117" s="184">
        <f t="shared" ref="N117:Q117" si="55">N116-N115</f>
        <v>1.8012360272292138E-2</v>
      </c>
      <c r="O117" s="184">
        <f t="shared" si="55"/>
        <v>0.20970676265092525</v>
      </c>
      <c r="P117" s="184">
        <f t="shared" si="55"/>
        <v>0.29940711805532816</v>
      </c>
      <c r="Q117" s="184">
        <f t="shared" si="55"/>
        <v>0.2990554140164674</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M127" si="56">SUM(J125:J126)</f>
        <v>0</v>
      </c>
      <c r="K127" s="172">
        <f t="shared" si="56"/>
        <v>0</v>
      </c>
      <c r="L127" s="172">
        <f t="shared" si="56"/>
        <v>3.1522140708501789E-2</v>
      </c>
      <c r="M127" s="172">
        <f t="shared" si="56"/>
        <v>2.4258091513662761E-2</v>
      </c>
      <c r="N127" s="172">
        <f t="shared" ref="N127:Q127" si="57">SUM(N125:N126)</f>
        <v>2.9587648685595269E-2</v>
      </c>
      <c r="O127" s="172">
        <f t="shared" si="57"/>
        <v>3.150368327076003E-2</v>
      </c>
      <c r="P127" s="172">
        <f t="shared" si="57"/>
        <v>3.2000000000000695E-2</v>
      </c>
      <c r="Q127" s="172">
        <f t="shared" si="57"/>
        <v>3.1999999999999806E-2</v>
      </c>
      <c r="R127" s="172">
        <f t="shared" ref="R127" si="58">SUM(R125:R126)</f>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9" xml:space="preserve"> F$141</f>
        <v>0</v>
      </c>
      <c r="G129" s="161" t="str">
        <f t="shared" si="59"/>
        <v>£m</v>
      </c>
      <c r="H129" s="326">
        <f t="shared" si="59"/>
        <v>0</v>
      </c>
      <c r="I129" s="326">
        <f t="shared" si="59"/>
        <v>0</v>
      </c>
      <c r="J129" s="326">
        <f t="shared" si="59"/>
        <v>0</v>
      </c>
      <c r="K129" s="326">
        <f xml:space="preserve"> K$141</f>
        <v>0</v>
      </c>
      <c r="L129" s="326">
        <f t="shared" si="59"/>
        <v>0</v>
      </c>
      <c r="M129" s="326">
        <f t="shared" si="59"/>
        <v>34.479747463860264</v>
      </c>
      <c r="N129" s="326">
        <f t="shared" si="59"/>
        <v>33.921970270564117</v>
      </c>
      <c r="O129" s="326">
        <f t="shared" si="59"/>
        <v>33.546868209482049</v>
      </c>
      <c r="P129" s="326">
        <f t="shared" si="59"/>
        <v>33.237653421326037</v>
      </c>
      <c r="Q129" s="326">
        <f t="shared" si="59"/>
        <v>32.947133956874815</v>
      </c>
      <c r="R129" s="326">
        <f t="shared" si="59"/>
        <v>32.659153828102745</v>
      </c>
    </row>
    <row r="130" spans="1:16383" x14ac:dyDescent="0.25">
      <c r="E130" s="178" t="str">
        <f xml:space="preserve"> E$127</f>
        <v>True up Indexation percentage</v>
      </c>
      <c r="F130" s="178">
        <f t="shared" ref="F130:R130" si="60" xml:space="preserve"> F$127</f>
        <v>0</v>
      </c>
      <c r="G130" s="178">
        <f t="shared" si="60"/>
        <v>0</v>
      </c>
      <c r="H130" s="178">
        <f t="shared" si="60"/>
        <v>0</v>
      </c>
      <c r="I130" s="178">
        <f t="shared" si="60"/>
        <v>0</v>
      </c>
      <c r="J130" s="178">
        <f t="shared" si="60"/>
        <v>0</v>
      </c>
      <c r="K130" s="178">
        <f t="shared" si="60"/>
        <v>0</v>
      </c>
      <c r="L130" s="178">
        <f t="shared" si="60"/>
        <v>3.1522140708501789E-2</v>
      </c>
      <c r="M130" s="178">
        <f t="shared" si="60"/>
        <v>2.4258091513662761E-2</v>
      </c>
      <c r="N130" s="178">
        <f t="shared" si="60"/>
        <v>2.9587648685595269E-2</v>
      </c>
      <c r="O130" s="178">
        <f t="shared" si="60"/>
        <v>3.150368327076003E-2</v>
      </c>
      <c r="P130" s="178">
        <f t="shared" si="60"/>
        <v>3.2000000000000695E-2</v>
      </c>
      <c r="Q130" s="178">
        <f t="shared" si="60"/>
        <v>3.1999999999999806E-2</v>
      </c>
      <c r="R130" s="178">
        <f t="shared" si="60"/>
        <v>2.9999999999999805E-2</v>
      </c>
    </row>
    <row r="131" spans="1:16383" x14ac:dyDescent="0.25">
      <c r="C131" s="267"/>
      <c r="E131" s="7" t="s">
        <v>480</v>
      </c>
      <c r="G131" s="91" t="s">
        <v>238</v>
      </c>
      <c r="J131" s="245">
        <f>J129*J130</f>
        <v>0</v>
      </c>
      <c r="K131" s="245">
        <f t="shared" ref="K131:L131" si="61">K129*K130</f>
        <v>0</v>
      </c>
      <c r="L131" s="245">
        <f t="shared" si="61"/>
        <v>0</v>
      </c>
      <c r="M131" s="245">
        <f>M129*M130</f>
        <v>0.83641286934630377</v>
      </c>
      <c r="N131" s="245">
        <f t="shared" ref="N131:R131" si="62">N129*N130</f>
        <v>1.0036713390886582</v>
      </c>
      <c r="O131" s="245">
        <f t="shared" si="62"/>
        <v>1.0568499107974512</v>
      </c>
      <c r="P131" s="245">
        <f t="shared" si="62"/>
        <v>1.0636049094824562</v>
      </c>
      <c r="Q131" s="245">
        <f t="shared" si="62"/>
        <v>1.0543082866199878</v>
      </c>
      <c r="R131" s="245">
        <f t="shared" si="62"/>
        <v>0.97977461484307593</v>
      </c>
    </row>
    <row r="132" spans="1:16383" x14ac:dyDescent="0.25"/>
    <row r="133" spans="1:16383" s="205" customFormat="1" x14ac:dyDescent="0.25">
      <c r="A133" s="201"/>
      <c r="B133" s="202"/>
      <c r="C133" s="203"/>
      <c r="D133" s="204"/>
      <c r="E133" s="37" t="str">
        <f xml:space="preserve"> InpR!E$98</f>
        <v>Run-off rate - CPI(H) + RPI wedge - active - WR</v>
      </c>
      <c r="F133" s="205">
        <f xml:space="preserve"> InpR!F$98</f>
        <v>0</v>
      </c>
      <c r="G133" s="223" t="str">
        <f xml:space="preserve"> InpR!G$98</f>
        <v>%</v>
      </c>
      <c r="H133" s="205">
        <f xml:space="preserve"> InpR!H$98</f>
        <v>0</v>
      </c>
      <c r="I133" s="205">
        <f xml:space="preserve"> InpR!I$98</f>
        <v>0</v>
      </c>
      <c r="J133" s="205">
        <f xml:space="preserve"> InpR!J$98</f>
        <v>0</v>
      </c>
      <c r="K133" s="205">
        <f xml:space="preserve"> InpR!K$98</f>
        <v>0</v>
      </c>
      <c r="L133" s="205">
        <f xml:space="preserve"> InpR!L$98</f>
        <v>0</v>
      </c>
      <c r="M133" s="205">
        <f xml:space="preserve"> InpR!M$98</f>
        <v>3.94773964521715E-2</v>
      </c>
      <c r="N133" s="205">
        <f xml:space="preserve"> InpR!N$98</f>
        <v>3.94773964521715E-2</v>
      </c>
      <c r="O133" s="205">
        <f xml:space="preserve"> InpR!O$98</f>
        <v>3.94773964521715E-2</v>
      </c>
      <c r="P133" s="205">
        <f xml:space="preserve"> InpR!P$98</f>
        <v>3.94773964521715E-2</v>
      </c>
      <c r="Q133" s="205">
        <f xml:space="preserve"> InpR!Q$98</f>
        <v>3.94773964521715E-2</v>
      </c>
      <c r="R133" s="205">
        <f xml:space="preserve"> InpR!R$98</f>
        <v>0</v>
      </c>
    </row>
    <row r="134" spans="1:16383" s="161" customFormat="1" x14ac:dyDescent="0.25">
      <c r="A134" s="157"/>
      <c r="B134" s="158"/>
      <c r="C134" s="159"/>
      <c r="D134" s="160"/>
      <c r="E134" s="161" t="str">
        <f xml:space="preserve"> E$141</f>
        <v>True up Nominal RCV balance BEG</v>
      </c>
      <c r="F134" s="326">
        <f t="shared" ref="F134:R134" si="63" xml:space="preserve"> F$141</f>
        <v>0</v>
      </c>
      <c r="G134" s="161" t="str">
        <f t="shared" si="63"/>
        <v>£m</v>
      </c>
      <c r="H134" s="326">
        <f t="shared" si="63"/>
        <v>0</v>
      </c>
      <c r="I134" s="326">
        <f t="shared" si="63"/>
        <v>0</v>
      </c>
      <c r="J134" s="326">
        <f t="shared" si="63"/>
        <v>0</v>
      </c>
      <c r="K134" s="326">
        <f t="shared" si="63"/>
        <v>0</v>
      </c>
      <c r="L134" s="326">
        <f t="shared" si="63"/>
        <v>0</v>
      </c>
      <c r="M134" s="326">
        <f t="shared" si="63"/>
        <v>34.479747463860264</v>
      </c>
      <c r="N134" s="326">
        <f t="shared" si="63"/>
        <v>33.921970270564117</v>
      </c>
      <c r="O134" s="326">
        <f t="shared" si="63"/>
        <v>33.546868209482049</v>
      </c>
      <c r="P134" s="326">
        <f t="shared" si="63"/>
        <v>33.237653421326037</v>
      </c>
      <c r="Q134" s="326">
        <f t="shared" si="63"/>
        <v>32.947133956874815</v>
      </c>
      <c r="R134" s="326">
        <f t="shared" si="63"/>
        <v>32.659153828102745</v>
      </c>
    </row>
    <row r="135" spans="1:16383" x14ac:dyDescent="0.25">
      <c r="C135" s="267"/>
      <c r="E135" s="7" t="str">
        <f xml:space="preserve"> E$131</f>
        <v>True up RCV indexation</v>
      </c>
      <c r="F135" s="7">
        <f t="shared" ref="F135:R135" si="64" xml:space="preserve"> F$131</f>
        <v>0</v>
      </c>
      <c r="G135" s="91" t="str">
        <f t="shared" si="64"/>
        <v>£m</v>
      </c>
      <c r="H135" s="7">
        <f t="shared" si="64"/>
        <v>0</v>
      </c>
      <c r="I135" s="7">
        <f t="shared" si="64"/>
        <v>0</v>
      </c>
      <c r="J135" s="245">
        <f t="shared" si="64"/>
        <v>0</v>
      </c>
      <c r="K135" s="245">
        <f t="shared" si="64"/>
        <v>0</v>
      </c>
      <c r="L135" s="245">
        <f t="shared" si="64"/>
        <v>0</v>
      </c>
      <c r="M135" s="245">
        <f t="shared" si="64"/>
        <v>0.83641286934630377</v>
      </c>
      <c r="N135" s="245">
        <f t="shared" si="64"/>
        <v>1.0036713390886582</v>
      </c>
      <c r="O135" s="245">
        <f t="shared" si="64"/>
        <v>1.0568499107974512</v>
      </c>
      <c r="P135" s="245">
        <f t="shared" si="64"/>
        <v>1.0636049094824562</v>
      </c>
      <c r="Q135" s="245">
        <f t="shared" si="64"/>
        <v>1.0543082866199878</v>
      </c>
      <c r="R135" s="245">
        <f t="shared" si="64"/>
        <v>0.97977461484307593</v>
      </c>
    </row>
    <row r="136" spans="1:16383" x14ac:dyDescent="0.25">
      <c r="C136" s="267"/>
      <c r="E136" s="7" t="s">
        <v>481</v>
      </c>
      <c r="F136" s="246"/>
      <c r="G136" s="162" t="s">
        <v>238</v>
      </c>
      <c r="H136" s="246"/>
      <c r="I136" s="246"/>
      <c r="J136" s="245">
        <f t="shared" ref="J136:L136" si="65" xml:space="preserve"> (J134+J135) * J133</f>
        <v>0</v>
      </c>
      <c r="K136" s="245">
        <f t="shared" si="65"/>
        <v>0</v>
      </c>
      <c r="L136" s="245">
        <f t="shared" si="65"/>
        <v>0</v>
      </c>
      <c r="M136" s="245">
        <f xml:space="preserve"> (M134+M135) * M133</f>
        <v>1.3941900626424488</v>
      </c>
      <c r="N136" s="245">
        <f t="shared" ref="N136:R136" si="66" xml:space="preserve"> (N134+N135) * N133</f>
        <v>1.3787734001707197</v>
      </c>
      <c r="O136" s="245">
        <f t="shared" si="66"/>
        <v>1.3660646989534646</v>
      </c>
      <c r="P136" s="245">
        <f t="shared" si="66"/>
        <v>1.3541243739336772</v>
      </c>
      <c r="Q136" s="245">
        <f t="shared" si="66"/>
        <v>1.3422884153920558</v>
      </c>
      <c r="R136" s="245">
        <f t="shared" si="66"/>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F137" s="138"/>
      <c r="G137" s="138"/>
      <c r="H137" s="138"/>
    </row>
    <row r="138" spans="1:16383" s="200" customFormat="1" x14ac:dyDescent="0.25">
      <c r="A138" s="196"/>
      <c r="B138" s="197"/>
      <c r="C138" s="198"/>
      <c r="D138" s="199"/>
      <c r="E138" s="200" t="str">
        <f>InpR!$E$91</f>
        <v>RCV - CPI(H) + RPI wedge initial balance - nominal - WR</v>
      </c>
      <c r="F138" s="200">
        <f>InpR!$F$91</f>
        <v>34.479747463860264</v>
      </c>
      <c r="G138" s="200" t="str">
        <f>InpR!$G$91</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7" xml:space="preserve"> I144</f>
        <v>0</v>
      </c>
      <c r="K141" s="241">
        <f t="shared" ref="K141" si="68" xml:space="preserve"> J144</f>
        <v>0</v>
      </c>
      <c r="L141" s="241">
        <f t="shared" ref="L141" si="69" xml:space="preserve"> K144</f>
        <v>0</v>
      </c>
      <c r="M141" s="241">
        <f t="shared" ref="M141" si="70" xml:space="preserve"> L144</f>
        <v>34.479747463860264</v>
      </c>
      <c r="N141" s="241">
        <f t="shared" ref="N141" si="71" xml:space="preserve"> M144</f>
        <v>33.921970270564117</v>
      </c>
      <c r="O141" s="241">
        <f t="shared" ref="O141" si="72" xml:space="preserve"> N144</f>
        <v>33.546868209482049</v>
      </c>
      <c r="P141" s="241">
        <f t="shared" ref="P141" si="73" xml:space="preserve"> O144</f>
        <v>33.237653421326037</v>
      </c>
      <c r="Q141" s="241">
        <f t="shared" ref="Q141" si="74" xml:space="preserve"> P144</f>
        <v>32.947133956874815</v>
      </c>
      <c r="R141" s="241">
        <f t="shared" ref="R141" si="75" xml:space="preserve"> Q144</f>
        <v>32.659153828102745</v>
      </c>
    </row>
    <row r="142" spans="1:16383" x14ac:dyDescent="0.25">
      <c r="A142" s="47"/>
      <c r="B142" s="51"/>
      <c r="C142" s="111"/>
      <c r="D142" s="56" t="s">
        <v>445</v>
      </c>
      <c r="E142" s="7" t="str">
        <f t="shared" ref="E142:R142" si="76" xml:space="preserve"> E$131</f>
        <v>True up RCV indexation</v>
      </c>
      <c r="F142" s="241">
        <f t="shared" si="76"/>
        <v>0</v>
      </c>
      <c r="G142" s="241" t="str">
        <f t="shared" si="76"/>
        <v>£m</v>
      </c>
      <c r="H142" s="241">
        <f t="shared" si="76"/>
        <v>0</v>
      </c>
      <c r="I142" s="241">
        <f t="shared" si="76"/>
        <v>0</v>
      </c>
      <c r="J142" s="241">
        <f t="shared" si="76"/>
        <v>0</v>
      </c>
      <c r="K142" s="241">
        <f t="shared" si="76"/>
        <v>0</v>
      </c>
      <c r="L142" s="241">
        <f t="shared" si="76"/>
        <v>0</v>
      </c>
      <c r="M142" s="241">
        <f t="shared" si="76"/>
        <v>0.83641286934630377</v>
      </c>
      <c r="N142" s="241">
        <f t="shared" si="76"/>
        <v>1.0036713390886582</v>
      </c>
      <c r="O142" s="241">
        <f t="shared" si="76"/>
        <v>1.0568499107974512</v>
      </c>
      <c r="P142" s="241">
        <f t="shared" si="76"/>
        <v>1.0636049094824562</v>
      </c>
      <c r="Q142" s="241">
        <f t="shared" si="76"/>
        <v>1.0543082866199878</v>
      </c>
      <c r="R142" s="241">
        <f t="shared" si="76"/>
        <v>0.97977461484307593</v>
      </c>
    </row>
    <row r="143" spans="1:16383" x14ac:dyDescent="0.25">
      <c r="A143" s="47"/>
      <c r="B143" s="51"/>
      <c r="C143" s="111"/>
      <c r="D143" s="56" t="s">
        <v>446</v>
      </c>
      <c r="E143" s="7" t="str">
        <f t="shared" ref="E143:R143" si="77" xml:space="preserve"> E$136</f>
        <v>True up Nominal RCV run-off</v>
      </c>
      <c r="F143" s="241">
        <f t="shared" si="77"/>
        <v>0</v>
      </c>
      <c r="G143" s="241" t="str">
        <f t="shared" si="77"/>
        <v>£m</v>
      </c>
      <c r="H143" s="241">
        <f t="shared" si="77"/>
        <v>0</v>
      </c>
      <c r="I143" s="241">
        <f t="shared" si="77"/>
        <v>0</v>
      </c>
      <c r="J143" s="241">
        <f t="shared" si="77"/>
        <v>0</v>
      </c>
      <c r="K143" s="241">
        <f t="shared" si="77"/>
        <v>0</v>
      </c>
      <c r="L143" s="241">
        <f t="shared" si="77"/>
        <v>0</v>
      </c>
      <c r="M143" s="241">
        <f t="shared" si="77"/>
        <v>1.3941900626424488</v>
      </c>
      <c r="N143" s="241">
        <f t="shared" si="77"/>
        <v>1.3787734001707197</v>
      </c>
      <c r="O143" s="241">
        <f t="shared" si="77"/>
        <v>1.3660646989534646</v>
      </c>
      <c r="P143" s="241">
        <f t="shared" si="77"/>
        <v>1.3541243739336772</v>
      </c>
      <c r="Q143" s="241">
        <f t="shared" si="77"/>
        <v>1.3422884153920558</v>
      </c>
      <c r="R143" s="241">
        <f t="shared" si="77"/>
        <v>0</v>
      </c>
    </row>
    <row r="144" spans="1:16383" s="138" customFormat="1" x14ac:dyDescent="0.25">
      <c r="A144" s="134"/>
      <c r="B144" s="135"/>
      <c r="C144" s="268"/>
      <c r="D144" s="137"/>
      <c r="E144" s="138" t="s">
        <v>483</v>
      </c>
      <c r="G144" s="163" t="s">
        <v>238</v>
      </c>
      <c r="J144" s="242">
        <f t="shared" ref="J144:K144" si="78" xml:space="preserve"> IF( J139 = 1, $F138, J141 + J142 - J143)</f>
        <v>0</v>
      </c>
      <c r="K144" s="242">
        <f t="shared" si="78"/>
        <v>0</v>
      </c>
      <c r="L144" s="242">
        <f xml:space="preserve"> IF( L139 = 1, $F138, L141 + L142 - L143)</f>
        <v>34.479747463860264</v>
      </c>
      <c r="M144" s="242">
        <f t="shared" ref="M144:R144" si="79" xml:space="preserve"> IF( M139 = 1, $F138, M141 + M142 - M143)</f>
        <v>33.921970270564117</v>
      </c>
      <c r="N144" s="242">
        <f t="shared" si="79"/>
        <v>33.546868209482049</v>
      </c>
      <c r="O144" s="242">
        <f t="shared" si="79"/>
        <v>33.237653421326037</v>
      </c>
      <c r="P144" s="242">
        <f t="shared" si="79"/>
        <v>32.947133956874815</v>
      </c>
      <c r="Q144" s="242">
        <f t="shared" si="79"/>
        <v>32.659153828102745</v>
      </c>
      <c r="R144" s="242">
        <f t="shared" si="79"/>
        <v>33.638928442945819</v>
      </c>
    </row>
    <row r="145" spans="1:18" x14ac:dyDescent="0.25"/>
    <row r="146" spans="1:18" s="92" customFormat="1" x14ac:dyDescent="0.25">
      <c r="A146" s="164"/>
      <c r="B146" s="165"/>
      <c r="C146" s="166"/>
      <c r="D146" s="167"/>
      <c r="E146" s="179" t="str">
        <f t="shared" ref="E146:R146" si="80" xml:space="preserve"> E$141</f>
        <v>True up Nominal RCV balance BEG</v>
      </c>
      <c r="F146" s="185">
        <f t="shared" si="80"/>
        <v>0</v>
      </c>
      <c r="G146" s="185" t="str">
        <f t="shared" si="80"/>
        <v>£m</v>
      </c>
      <c r="H146" s="185">
        <f t="shared" si="80"/>
        <v>0</v>
      </c>
      <c r="I146" s="185">
        <f t="shared" si="80"/>
        <v>0</v>
      </c>
      <c r="J146" s="185">
        <f t="shared" si="80"/>
        <v>0</v>
      </c>
      <c r="K146" s="185">
        <f t="shared" si="80"/>
        <v>0</v>
      </c>
      <c r="L146" s="185">
        <f t="shared" si="80"/>
        <v>0</v>
      </c>
      <c r="M146" s="185">
        <f t="shared" si="80"/>
        <v>34.479747463860264</v>
      </c>
      <c r="N146" s="185">
        <f t="shared" si="80"/>
        <v>33.921970270564117</v>
      </c>
      <c r="O146" s="185">
        <f t="shared" si="80"/>
        <v>33.546868209482049</v>
      </c>
      <c r="P146" s="185">
        <f t="shared" si="80"/>
        <v>33.237653421326037</v>
      </c>
      <c r="Q146" s="185">
        <f t="shared" si="80"/>
        <v>32.947133956874815</v>
      </c>
      <c r="R146" s="185">
        <f t="shared" si="80"/>
        <v>32.659153828102745</v>
      </c>
    </row>
    <row r="147" spans="1:18" s="92" customFormat="1" x14ac:dyDescent="0.25">
      <c r="A147" s="164"/>
      <c r="B147" s="165"/>
      <c r="C147" s="166"/>
      <c r="D147" s="167"/>
      <c r="E147" s="179" t="str">
        <f t="shared" ref="E147:R147" si="81" xml:space="preserve"> E$131</f>
        <v>True up RCV indexation</v>
      </c>
      <c r="F147" s="185">
        <f t="shared" si="81"/>
        <v>0</v>
      </c>
      <c r="G147" s="185" t="str">
        <f t="shared" si="81"/>
        <v>£m</v>
      </c>
      <c r="H147" s="185">
        <f t="shared" si="81"/>
        <v>0</v>
      </c>
      <c r="I147" s="185">
        <f t="shared" si="81"/>
        <v>0</v>
      </c>
      <c r="J147" s="185">
        <f t="shared" si="81"/>
        <v>0</v>
      </c>
      <c r="K147" s="185">
        <f t="shared" si="81"/>
        <v>0</v>
      </c>
      <c r="L147" s="185">
        <f t="shared" si="81"/>
        <v>0</v>
      </c>
      <c r="M147" s="185">
        <f t="shared" si="81"/>
        <v>0.83641286934630377</v>
      </c>
      <c r="N147" s="185">
        <f t="shared" si="81"/>
        <v>1.0036713390886582</v>
      </c>
      <c r="O147" s="185">
        <f t="shared" si="81"/>
        <v>1.0568499107974512</v>
      </c>
      <c r="P147" s="185">
        <f t="shared" si="81"/>
        <v>1.0636049094824562</v>
      </c>
      <c r="Q147" s="185">
        <f t="shared" si="81"/>
        <v>1.0543082866199878</v>
      </c>
      <c r="R147" s="185">
        <f t="shared" si="81"/>
        <v>0.97977461484307593</v>
      </c>
    </row>
    <row r="148" spans="1:18" s="92" customFormat="1" x14ac:dyDescent="0.25">
      <c r="A148" s="164"/>
      <c r="B148" s="165"/>
      <c r="C148" s="166"/>
      <c r="D148" s="167"/>
      <c r="E148" s="179" t="str">
        <f t="shared" ref="E148:R148" si="82" xml:space="preserve"> E$144</f>
        <v>True up Nominal RCV balance END</v>
      </c>
      <c r="F148" s="185">
        <f t="shared" si="82"/>
        <v>0</v>
      </c>
      <c r="G148" s="185" t="str">
        <f t="shared" si="82"/>
        <v>£m</v>
      </c>
      <c r="H148" s="185">
        <f t="shared" si="82"/>
        <v>0</v>
      </c>
      <c r="I148" s="185">
        <f t="shared" si="82"/>
        <v>0</v>
      </c>
      <c r="J148" s="185">
        <f t="shared" si="82"/>
        <v>0</v>
      </c>
      <c r="K148" s="185">
        <f t="shared" si="82"/>
        <v>0</v>
      </c>
      <c r="L148" s="185">
        <f t="shared" si="82"/>
        <v>34.479747463860264</v>
      </c>
      <c r="M148" s="185">
        <f t="shared" si="82"/>
        <v>33.921970270564117</v>
      </c>
      <c r="N148" s="185">
        <f t="shared" si="82"/>
        <v>33.546868209482049</v>
      </c>
      <c r="O148" s="185">
        <f t="shared" si="82"/>
        <v>33.237653421326037</v>
      </c>
      <c r="P148" s="185">
        <f t="shared" si="82"/>
        <v>32.947133956874815</v>
      </c>
      <c r="Q148" s="185">
        <f t="shared" si="82"/>
        <v>32.659153828102745</v>
      </c>
      <c r="R148" s="185">
        <f t="shared" si="82"/>
        <v>33.638928442945819</v>
      </c>
    </row>
    <row r="149" spans="1:18" x14ac:dyDescent="0.25">
      <c r="A149" s="49"/>
      <c r="C149" s="267"/>
      <c r="D149" s="57"/>
      <c r="E149" s="7" t="s">
        <v>484</v>
      </c>
      <c r="F149" s="243"/>
      <c r="G149" s="185" t="s">
        <v>238</v>
      </c>
      <c r="H149" s="243"/>
      <c r="I149" s="243"/>
      <c r="J149" s="185">
        <f t="shared" ref="J149:L149" si="83" xml:space="preserve"> ( (J146+J147) + J148) / 2</f>
        <v>0</v>
      </c>
      <c r="K149" s="185">
        <f t="shared" si="83"/>
        <v>0</v>
      </c>
      <c r="L149" s="185">
        <f t="shared" si="83"/>
        <v>17.239873731930132</v>
      </c>
      <c r="M149" s="185">
        <f xml:space="preserve"> ( (M146+M147) + M148) / 2</f>
        <v>34.619065301885342</v>
      </c>
      <c r="N149" s="185">
        <f t="shared" ref="N149:R149" si="84" xml:space="preserve"> ( (N146+N147) + N148) / 2</f>
        <v>34.236254909567407</v>
      </c>
      <c r="O149" s="185">
        <f t="shared" si="84"/>
        <v>33.92068577080277</v>
      </c>
      <c r="P149" s="185">
        <f t="shared" si="84"/>
        <v>33.624196143841658</v>
      </c>
      <c r="Q149" s="185">
        <f t="shared" si="84"/>
        <v>33.330298035798776</v>
      </c>
      <c r="R149" s="185">
        <f t="shared" si="84"/>
        <v>33.638928442945819</v>
      </c>
    </row>
    <row r="150" spans="1:18" x14ac:dyDescent="0.25"/>
    <row r="151" spans="1:18" s="205" customFormat="1" x14ac:dyDescent="0.25">
      <c r="A151" s="201"/>
      <c r="B151" s="202"/>
      <c r="C151" s="203"/>
      <c r="D151" s="204"/>
      <c r="E151" s="205" t="str">
        <f xml:space="preserve"> InpR!E$105</f>
        <v>WACC on RCV - CPI(H) + RPI wedge bf and additions - WR</v>
      </c>
      <c r="F151" s="205">
        <f xml:space="preserve"> InpR!F$105</f>
        <v>0</v>
      </c>
      <c r="G151" s="223" t="str">
        <f xml:space="preserve"> InpR!G$105</f>
        <v>%</v>
      </c>
      <c r="H151" s="205">
        <f xml:space="preserve"> InpR!H$105</f>
        <v>0</v>
      </c>
      <c r="I151" s="205">
        <f xml:space="preserve"> InpR!I$105</f>
        <v>0</v>
      </c>
      <c r="J151" s="205">
        <f xml:space="preserve"> InpR!J$105</f>
        <v>0</v>
      </c>
      <c r="K151" s="205">
        <f xml:space="preserve"> InpR!K$105</f>
        <v>0</v>
      </c>
      <c r="L151" s="205">
        <f xml:space="preserve"> InpR!L$105</f>
        <v>0</v>
      </c>
      <c r="M151" s="205">
        <f xml:space="preserve"> InpR!M$105</f>
        <v>1.920357193840716E-2</v>
      </c>
      <c r="N151" s="205">
        <f xml:space="preserve"> InpR!N$105</f>
        <v>1.920357193840716E-2</v>
      </c>
      <c r="O151" s="205">
        <f xml:space="preserve"> InpR!O$105</f>
        <v>1.920357193840716E-2</v>
      </c>
      <c r="P151" s="205">
        <f xml:space="preserve"> InpR!P$105</f>
        <v>1.920357193840716E-2</v>
      </c>
      <c r="Q151" s="205">
        <f xml:space="preserve"> InpR!Q$105</f>
        <v>1.920357193840716E-2</v>
      </c>
      <c r="R151" s="205">
        <f xml:space="preserve"> InpR!R$105</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5" xml:space="preserve"> F$149</f>
        <v>0</v>
      </c>
      <c r="G153" s="185" t="str">
        <f t="shared" si="85"/>
        <v>£m</v>
      </c>
      <c r="H153" s="185">
        <f t="shared" si="85"/>
        <v>0</v>
      </c>
      <c r="I153" s="185">
        <f t="shared" si="85"/>
        <v>0</v>
      </c>
      <c r="J153" s="185">
        <f t="shared" si="85"/>
        <v>0</v>
      </c>
      <c r="K153" s="185">
        <f t="shared" si="85"/>
        <v>0</v>
      </c>
      <c r="L153" s="185">
        <f t="shared" si="85"/>
        <v>17.239873731930132</v>
      </c>
      <c r="M153" s="185">
        <f t="shared" si="85"/>
        <v>34.619065301885342</v>
      </c>
      <c r="N153" s="185">
        <f t="shared" si="85"/>
        <v>34.236254909567407</v>
      </c>
      <c r="O153" s="185">
        <f t="shared" si="85"/>
        <v>33.92068577080277</v>
      </c>
      <c r="P153" s="185">
        <f t="shared" si="85"/>
        <v>33.624196143841658</v>
      </c>
      <c r="Q153" s="185">
        <f t="shared" si="85"/>
        <v>33.330298035798776</v>
      </c>
      <c r="R153" s="185">
        <f t="shared" si="85"/>
        <v>33.638928442945819</v>
      </c>
    </row>
    <row r="154" spans="1:18" x14ac:dyDescent="0.25">
      <c r="C154" s="267"/>
      <c r="E154" s="7" t="s">
        <v>485</v>
      </c>
      <c r="F154" s="243"/>
      <c r="G154" s="184" t="s">
        <v>238</v>
      </c>
      <c r="H154" s="243"/>
      <c r="I154" s="243"/>
      <c r="J154" s="245">
        <f t="shared" ref="J154:K154" si="86">J151*J152*J153</f>
        <v>0</v>
      </c>
      <c r="K154" s="245">
        <f t="shared" si="86"/>
        <v>0</v>
      </c>
      <c r="L154" s="245">
        <f>L151*L152*L153</f>
        <v>0</v>
      </c>
      <c r="M154" s="245">
        <f t="shared" ref="M154:R154" si="87">M151*M152*M153</f>
        <v>0.66480971096517039</v>
      </c>
      <c r="N154" s="245">
        <f t="shared" si="87"/>
        <v>0.65745838405752299</v>
      </c>
      <c r="O154" s="245">
        <f t="shared" si="87"/>
        <v>0.65139832939971509</v>
      </c>
      <c r="P154" s="245">
        <f t="shared" si="87"/>
        <v>0.64570466951937588</v>
      </c>
      <c r="Q154" s="245">
        <f t="shared" si="87"/>
        <v>0.64006077605901268</v>
      </c>
      <c r="R154" s="245">
        <f t="shared" si="87"/>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8" xml:space="preserve"> F$136</f>
        <v>0</v>
      </c>
      <c r="G156" s="185" t="str">
        <f t="shared" si="88"/>
        <v>£m</v>
      </c>
      <c r="H156" s="185">
        <f t="shared" si="88"/>
        <v>0</v>
      </c>
      <c r="I156" s="185">
        <f t="shared" si="88"/>
        <v>0</v>
      </c>
      <c r="J156" s="185">
        <f t="shared" si="88"/>
        <v>0</v>
      </c>
      <c r="K156" s="185">
        <f t="shared" si="88"/>
        <v>0</v>
      </c>
      <c r="L156" s="185">
        <f t="shared" si="88"/>
        <v>0</v>
      </c>
      <c r="M156" s="185">
        <f xml:space="preserve"> M$136</f>
        <v>1.3941900626424488</v>
      </c>
      <c r="N156" s="185">
        <f t="shared" si="88"/>
        <v>1.3787734001707197</v>
      </c>
      <c r="O156" s="185">
        <f t="shared" si="88"/>
        <v>1.3660646989534646</v>
      </c>
      <c r="P156" s="185">
        <f t="shared" si="88"/>
        <v>1.3541243739336772</v>
      </c>
      <c r="Q156" s="185">
        <f t="shared" si="88"/>
        <v>1.3422884153920558</v>
      </c>
      <c r="R156" s="185">
        <f t="shared" si="88"/>
        <v>0</v>
      </c>
    </row>
    <row r="157" spans="1:18" s="92" customFormat="1" x14ac:dyDescent="0.25">
      <c r="A157" s="164"/>
      <c r="B157" s="165"/>
      <c r="C157" s="166"/>
      <c r="D157" s="167"/>
      <c r="E157" s="179" t="str">
        <f xml:space="preserve"> E$154</f>
        <v>True up Nominal return</v>
      </c>
      <c r="F157" s="185">
        <f t="shared" ref="F157:R157" si="89" xml:space="preserve"> F$154</f>
        <v>0</v>
      </c>
      <c r="G157" s="185" t="str">
        <f t="shared" si="89"/>
        <v>£m</v>
      </c>
      <c r="H157" s="185">
        <f t="shared" si="89"/>
        <v>0</v>
      </c>
      <c r="I157" s="185">
        <f t="shared" si="89"/>
        <v>0</v>
      </c>
      <c r="J157" s="185">
        <f t="shared" si="89"/>
        <v>0</v>
      </c>
      <c r="K157" s="185">
        <f t="shared" si="89"/>
        <v>0</v>
      </c>
      <c r="L157" s="185">
        <f t="shared" si="89"/>
        <v>0</v>
      </c>
      <c r="M157" s="185">
        <f t="shared" si="89"/>
        <v>0.66480971096517039</v>
      </c>
      <c r="N157" s="185">
        <f t="shared" si="89"/>
        <v>0.65745838405752299</v>
      </c>
      <c r="O157" s="185">
        <f t="shared" si="89"/>
        <v>0.65139832939971509</v>
      </c>
      <c r="P157" s="185">
        <f t="shared" si="89"/>
        <v>0.64570466951937588</v>
      </c>
      <c r="Q157" s="185">
        <f t="shared" si="89"/>
        <v>0.64006077605901268</v>
      </c>
      <c r="R157" s="185">
        <f t="shared" si="89"/>
        <v>0</v>
      </c>
    </row>
    <row r="158" spans="1:18" x14ac:dyDescent="0.25">
      <c r="C158" s="267"/>
      <c r="E158" s="7" t="s">
        <v>486</v>
      </c>
      <c r="F158" s="243"/>
      <c r="G158" s="184" t="str">
        <f t="shared" ref="G158" si="90">G$273</f>
        <v>£m</v>
      </c>
      <c r="H158" s="243">
        <f>SUM(J158:R158)</f>
        <v>10.094872821093162</v>
      </c>
      <c r="I158" s="243"/>
      <c r="J158" s="243">
        <f t="shared" ref="J158:K158" si="91">SUM(J156:J157)</f>
        <v>0</v>
      </c>
      <c r="K158" s="243">
        <f t="shared" si="91"/>
        <v>0</v>
      </c>
      <c r="L158" s="243">
        <f>SUM(L156:L157)</f>
        <v>0</v>
      </c>
      <c r="M158" s="243">
        <f>SUM(M156:M157)</f>
        <v>2.0589997736076193</v>
      </c>
      <c r="N158" s="243">
        <f t="shared" ref="N158:R158" si="92">SUM(N156:N157)</f>
        <v>2.0362317842282427</v>
      </c>
      <c r="O158" s="243">
        <f t="shared" si="92"/>
        <v>2.0174630283531796</v>
      </c>
      <c r="P158" s="243">
        <f t="shared" si="92"/>
        <v>1.9998290434530532</v>
      </c>
      <c r="Q158" s="243">
        <f t="shared" si="92"/>
        <v>1.9823491914510685</v>
      </c>
      <c r="R158" s="243">
        <f t="shared" si="92"/>
        <v>0</v>
      </c>
    </row>
    <row r="159" spans="1:18" x14ac:dyDescent="0.25"/>
    <row r="160" spans="1:18" x14ac:dyDescent="0.25">
      <c r="C160" s="267"/>
      <c r="E160" s="7" t="str">
        <f xml:space="preserve"> E$158</f>
        <v>Total True up Nominal revenue to company</v>
      </c>
      <c r="F160" s="243">
        <f t="shared" ref="F160:R160" si="93" xml:space="preserve"> F$158</f>
        <v>0</v>
      </c>
      <c r="G160" s="184" t="str">
        <f t="shared" si="93"/>
        <v>£m</v>
      </c>
      <c r="H160" s="243">
        <f t="shared" si="93"/>
        <v>10.094872821093162</v>
      </c>
      <c r="I160" s="243">
        <f t="shared" si="93"/>
        <v>0</v>
      </c>
      <c r="J160" s="243">
        <f t="shared" si="93"/>
        <v>0</v>
      </c>
      <c r="K160" s="243">
        <f t="shared" si="93"/>
        <v>0</v>
      </c>
      <c r="L160" s="243">
        <f t="shared" si="93"/>
        <v>0</v>
      </c>
      <c r="M160" s="243">
        <f xml:space="preserve"> M$158</f>
        <v>2.0589997736076193</v>
      </c>
      <c r="N160" s="243">
        <f t="shared" si="93"/>
        <v>2.0362317842282427</v>
      </c>
      <c r="O160" s="243">
        <f t="shared" si="93"/>
        <v>2.0174630283531796</v>
      </c>
      <c r="P160" s="243">
        <f t="shared" si="93"/>
        <v>1.9998290434530532</v>
      </c>
      <c r="Q160" s="243">
        <f t="shared" si="93"/>
        <v>1.9823491914510685</v>
      </c>
      <c r="R160" s="243">
        <f t="shared" si="93"/>
        <v>0</v>
      </c>
    </row>
    <row r="161" spans="1:16383" x14ac:dyDescent="0.25">
      <c r="E161" s="7" t="str">
        <f t="shared" ref="E161:R161" si="94" xml:space="preserve"> E$109</f>
        <v>Total nominal revenue company should have received</v>
      </c>
      <c r="F161" s="184">
        <f t="shared" si="94"/>
        <v>0</v>
      </c>
      <c r="G161" s="184" t="str">
        <f t="shared" si="94"/>
        <v>£m</v>
      </c>
      <c r="H161" s="184">
        <f t="shared" si="94"/>
        <v>10.883939892245497</v>
      </c>
      <c r="I161" s="184">
        <f t="shared" si="94"/>
        <v>0</v>
      </c>
      <c r="J161" s="184">
        <f t="shared" si="94"/>
        <v>0</v>
      </c>
      <c r="K161" s="184">
        <f t="shared" si="94"/>
        <v>0</v>
      </c>
      <c r="L161" s="184">
        <f t="shared" si="94"/>
        <v>0</v>
      </c>
      <c r="M161" s="184">
        <f xml:space="preserve"> M$109</f>
        <v>2.0218851897649404</v>
      </c>
      <c r="N161" s="184">
        <f t="shared" si="94"/>
        <v>2.0542441445005348</v>
      </c>
      <c r="O161" s="184">
        <f t="shared" si="94"/>
        <v>2.2271697910041048</v>
      </c>
      <c r="P161" s="184">
        <f t="shared" si="94"/>
        <v>2.2992361615083814</v>
      </c>
      <c r="Q161" s="184">
        <f t="shared" si="94"/>
        <v>2.2814046054675359</v>
      </c>
      <c r="R161" s="184">
        <f t="shared" si="94"/>
        <v>0</v>
      </c>
    </row>
    <row r="162" spans="1:16383" s="185" customFormat="1" x14ac:dyDescent="0.25">
      <c r="A162" s="251"/>
      <c r="B162" s="181"/>
      <c r="C162" s="182"/>
      <c r="D162" s="252"/>
      <c r="E162" s="7" t="s">
        <v>487</v>
      </c>
      <c r="G162" s="185" t="str">
        <f t="shared" ref="G162" si="95" xml:space="preserve"> G$271</f>
        <v>£m</v>
      </c>
      <c r="H162" s="185">
        <f xml:space="preserve"> SUM(J162:R162)</f>
        <v>0.78906707115233399</v>
      </c>
      <c r="J162" s="185">
        <f t="shared" ref="J162:K162" si="96">J161-J160</f>
        <v>0</v>
      </c>
      <c r="K162" s="185">
        <f t="shared" si="96"/>
        <v>0</v>
      </c>
      <c r="L162" s="185">
        <f>L161-L160</f>
        <v>0</v>
      </c>
      <c r="M162" s="185">
        <f>M161-M160</f>
        <v>-3.7114583842678961E-2</v>
      </c>
      <c r="N162" s="185">
        <f t="shared" ref="N162:R162" si="97">N161-N160</f>
        <v>1.8012360272292138E-2</v>
      </c>
      <c r="O162" s="185">
        <f t="shared" si="97"/>
        <v>0.20970676265092525</v>
      </c>
      <c r="P162" s="185">
        <f t="shared" si="97"/>
        <v>0.29940711805532816</v>
      </c>
      <c r="Q162" s="185">
        <f t="shared" si="97"/>
        <v>0.2990554140164674</v>
      </c>
      <c r="R162" s="185">
        <f t="shared" si="97"/>
        <v>0</v>
      </c>
    </row>
    <row r="163" spans="1:16383" x14ac:dyDescent="0.25"/>
    <row r="164" spans="1:16383" s="185" customFormat="1" x14ac:dyDescent="0.25">
      <c r="A164" s="251"/>
      <c r="B164" s="181"/>
      <c r="C164" s="182"/>
      <c r="D164" s="252"/>
      <c r="E164" s="7" t="str">
        <f xml:space="preserve"> E$162</f>
        <v>Value of True up nominal</v>
      </c>
      <c r="F164" s="185">
        <f t="shared" ref="F164:R164" si="98" xml:space="preserve"> F$162</f>
        <v>0</v>
      </c>
      <c r="G164" s="185" t="str">
        <f t="shared" si="98"/>
        <v>£m</v>
      </c>
      <c r="H164" s="185">
        <f t="shared" si="98"/>
        <v>0.78906707115233399</v>
      </c>
      <c r="I164" s="185">
        <f t="shared" si="98"/>
        <v>0</v>
      </c>
      <c r="J164" s="185">
        <f t="shared" si="98"/>
        <v>0</v>
      </c>
      <c r="K164" s="185">
        <f t="shared" si="98"/>
        <v>0</v>
      </c>
      <c r="L164" s="185">
        <f t="shared" si="98"/>
        <v>0</v>
      </c>
      <c r="M164" s="185">
        <f xml:space="preserve"> M$162</f>
        <v>-3.7114583842678961E-2</v>
      </c>
      <c r="N164" s="185">
        <f t="shared" si="98"/>
        <v>1.8012360272292138E-2</v>
      </c>
      <c r="O164" s="185">
        <f t="shared" si="98"/>
        <v>0.20970676265092525</v>
      </c>
      <c r="P164" s="185">
        <f t="shared" si="98"/>
        <v>0.29940711805532816</v>
      </c>
      <c r="Q164" s="185">
        <f t="shared" si="98"/>
        <v>0.2990554140164674</v>
      </c>
      <c r="R164" s="185">
        <f t="shared" si="98"/>
        <v>0</v>
      </c>
    </row>
    <row r="165" spans="1:16383" s="91" customFormat="1" x14ac:dyDescent="0.25">
      <c r="A165" s="170"/>
      <c r="B165" s="165"/>
      <c r="C165" s="166"/>
      <c r="D165" s="171"/>
      <c r="E165" s="7" t="str">
        <f t="shared" ref="E165:R165" si="99" xml:space="preserve"> E$117</f>
        <v>Difference in nominal revenue</v>
      </c>
      <c r="F165" s="247">
        <f t="shared" si="99"/>
        <v>0</v>
      </c>
      <c r="G165" s="247" t="str">
        <f t="shared" si="99"/>
        <v>£m</v>
      </c>
      <c r="H165" s="247">
        <f t="shared" si="99"/>
        <v>0.78906707115233399</v>
      </c>
      <c r="I165" s="247">
        <f t="shared" si="99"/>
        <v>0</v>
      </c>
      <c r="J165" s="247">
        <f t="shared" si="99"/>
        <v>0</v>
      </c>
      <c r="K165" s="247">
        <f t="shared" si="99"/>
        <v>0</v>
      </c>
      <c r="L165" s="247">
        <f t="shared" si="99"/>
        <v>0</v>
      </c>
      <c r="M165" s="247">
        <f xml:space="preserve"> M$117</f>
        <v>-3.7114583842678961E-2</v>
      </c>
      <c r="N165" s="247">
        <f t="shared" si="99"/>
        <v>1.8012360272292138E-2</v>
      </c>
      <c r="O165" s="247">
        <f t="shared" si="99"/>
        <v>0.20970676265092525</v>
      </c>
      <c r="P165" s="247">
        <f t="shared" si="99"/>
        <v>0.29940711805532816</v>
      </c>
      <c r="Q165" s="247">
        <f t="shared" si="99"/>
        <v>0.2990554140164674</v>
      </c>
      <c r="R165" s="247">
        <f t="shared" si="99"/>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100">IF( ABS(J164-J165)&gt;ChK_Tol,1,0)</f>
        <v>0</v>
      </c>
      <c r="K166" s="225">
        <f t="shared" si="100"/>
        <v>0</v>
      </c>
      <c r="L166" s="225">
        <f t="shared" si="100"/>
        <v>0</v>
      </c>
      <c r="M166" s="225">
        <f t="shared" si="100"/>
        <v>0</v>
      </c>
      <c r="N166" s="225">
        <f t="shared" si="100"/>
        <v>0</v>
      </c>
      <c r="O166" s="225">
        <f t="shared" si="100"/>
        <v>0</v>
      </c>
      <c r="P166" s="225">
        <f t="shared" si="100"/>
        <v>0</v>
      </c>
      <c r="Q166" s="225">
        <f t="shared" si="100"/>
        <v>0</v>
      </c>
      <c r="R166" s="225">
        <f t="shared" si="100"/>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101" xml:space="preserve"> N164=N165</f>
        <v>1</v>
      </c>
      <c r="O167" s="186" t="b">
        <f t="shared" si="101"/>
        <v>1</v>
      </c>
      <c r="P167" s="186" t="b">
        <f t="shared" si="101"/>
        <v>1</v>
      </c>
      <c r="Q167" s="186" t="b">
        <f t="shared" si="101"/>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102">F$37</f>
        <v>0</v>
      </c>
      <c r="G170" s="168" t="str">
        <f t="shared" si="102"/>
        <v>£m</v>
      </c>
      <c r="H170" s="246">
        <f t="shared" si="102"/>
        <v>0</v>
      </c>
      <c r="I170" s="246">
        <f t="shared" si="102"/>
        <v>0</v>
      </c>
      <c r="J170" s="185">
        <f t="shared" si="102"/>
        <v>0</v>
      </c>
      <c r="K170" s="185">
        <f t="shared" si="102"/>
        <v>0</v>
      </c>
      <c r="L170" s="185">
        <f t="shared" si="102"/>
        <v>34.479747463860264</v>
      </c>
      <c r="M170" s="185">
        <f t="shared" si="102"/>
        <v>33.921970270564117</v>
      </c>
      <c r="N170" s="185">
        <f t="shared" si="102"/>
        <v>33.546868209482049</v>
      </c>
      <c r="O170" s="185">
        <f t="shared" si="102"/>
        <v>33.237653421326037</v>
      </c>
      <c r="P170" s="185">
        <f t="shared" si="102"/>
        <v>32.947133956874815</v>
      </c>
      <c r="Q170" s="185">
        <f t="shared" si="102"/>
        <v>32.659153828102745</v>
      </c>
      <c r="R170" s="185">
        <f t="shared" si="102"/>
        <v>33.638928442945819</v>
      </c>
    </row>
    <row r="171" spans="1:16383" x14ac:dyDescent="0.25">
      <c r="A171" s="49"/>
      <c r="D171" s="57"/>
      <c r="E171" s="7" t="str">
        <f>E$89 &amp; " - nominal"</f>
        <v>Actual Nominal RCV balance END - nominal</v>
      </c>
      <c r="F171" s="185">
        <f t="shared" ref="F171:R171" si="103">F$89</f>
        <v>0</v>
      </c>
      <c r="G171" s="168" t="str">
        <f t="shared" si="103"/>
        <v>£m</v>
      </c>
      <c r="H171" s="246">
        <f t="shared" si="103"/>
        <v>0</v>
      </c>
      <c r="I171" s="246">
        <f t="shared" si="103"/>
        <v>0</v>
      </c>
      <c r="J171" s="185">
        <f t="shared" si="103"/>
        <v>0</v>
      </c>
      <c r="K171" s="185">
        <f t="shared" si="103"/>
        <v>0</v>
      </c>
      <c r="L171" s="185">
        <f t="shared" si="103"/>
        <v>34.381053486975752</v>
      </c>
      <c r="M171" s="185">
        <f t="shared" si="103"/>
        <v>33.310508421051729</v>
      </c>
      <c r="N171" s="185">
        <f t="shared" si="103"/>
        <v>33.843621398817675</v>
      </c>
      <c r="O171" s="185">
        <f t="shared" si="103"/>
        <v>36.692567141747155</v>
      </c>
      <c r="P171" s="185">
        <f t="shared" si="103"/>
        <v>37.879858810784214</v>
      </c>
      <c r="Q171" s="185">
        <f t="shared" si="103"/>
        <v>37.586084366683309</v>
      </c>
      <c r="R171" s="185">
        <f t="shared" si="103"/>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59"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4" xml:space="preserve"> IF(K$172 = 0, 0, K170 / K$172)</f>
        <v>0</v>
      </c>
      <c r="L174" s="185">
        <f t="shared" si="104"/>
        <v>33.102583332675252</v>
      </c>
      <c r="M174" s="185">
        <f t="shared" si="104"/>
        <v>31.933722482831946</v>
      </c>
      <c r="N174" s="185">
        <f t="shared" si="104"/>
        <v>30.960104165733547</v>
      </c>
      <c r="O174" s="185">
        <f t="shared" si="104"/>
        <v>30.051133965955092</v>
      </c>
      <c r="P174" s="185">
        <f t="shared" si="104"/>
        <v>29.17577554016961</v>
      </c>
      <c r="Q174" s="185">
        <f xml:space="preserve"> IF(Q$172 = 0, 0, Q170 / Q$172)</f>
        <v>28.325915399222904</v>
      </c>
      <c r="R174" s="185">
        <f t="shared" si="104"/>
        <v>28.603620452156481</v>
      </c>
      <c r="S174" s="92"/>
      <c r="T174" s="92"/>
      <c r="U174" s="92"/>
      <c r="V174" s="92"/>
      <c r="W174" s="92"/>
      <c r="X174" s="92"/>
      <c r="Y174" s="92"/>
      <c r="Z174" s="92"/>
    </row>
    <row r="175" spans="1:16383" s="360" customFormat="1" x14ac:dyDescent="0.25">
      <c r="A175" s="340"/>
      <c r="B175" s="341"/>
      <c r="C175" s="342"/>
      <c r="D175" s="343"/>
      <c r="E175" s="7" t="s">
        <v>491</v>
      </c>
      <c r="F175" s="185"/>
      <c r="G175" s="185" t="s">
        <v>238</v>
      </c>
      <c r="H175" s="243"/>
      <c r="I175" s="185"/>
      <c r="J175" s="185">
        <f t="shared" ref="J175:R175" si="105" xml:space="preserve"> IF(J$173 = 0, 0, J171 / J$173)</f>
        <v>0</v>
      </c>
      <c r="K175" s="185">
        <f t="shared" si="105"/>
        <v>0</v>
      </c>
      <c r="L175" s="185">
        <f t="shared" si="105"/>
        <v>33.102583332675252</v>
      </c>
      <c r="M175" s="185">
        <f t="shared" si="105"/>
        <v>31.817094501922615</v>
      </c>
      <c r="N175" s="185">
        <f t="shared" si="105"/>
        <v>31.180811051540722</v>
      </c>
      <c r="O175" s="185">
        <f t="shared" si="105"/>
        <v>31.078716198759903</v>
      </c>
      <c r="P175" s="185">
        <f t="shared" si="105"/>
        <v>30.398197785399603</v>
      </c>
      <c r="Q175" s="185">
        <f t="shared" si="105"/>
        <v>29.222976132405442</v>
      </c>
      <c r="R175" s="185">
        <f t="shared" si="105"/>
        <v>0</v>
      </c>
    </row>
    <row r="176" spans="1:16383" s="91" customFormat="1" x14ac:dyDescent="0.25">
      <c r="A176" s="170"/>
      <c r="B176" s="165"/>
      <c r="C176" s="166"/>
      <c r="D176" s="171"/>
      <c r="E176" s="7" t="s">
        <v>492</v>
      </c>
      <c r="F176" s="184"/>
      <c r="G176" s="184" t="s">
        <v>238</v>
      </c>
      <c r="H176" s="243"/>
      <c r="I176" s="184"/>
      <c r="J176" s="185">
        <f>J175-J174</f>
        <v>0</v>
      </c>
      <c r="K176" s="185">
        <f t="shared" ref="K176:R176" si="106">K175-K174</f>
        <v>0</v>
      </c>
      <c r="L176" s="185">
        <f t="shared" si="106"/>
        <v>0</v>
      </c>
      <c r="M176" s="185">
        <f t="shared" si="106"/>
        <v>-0.1166279809093318</v>
      </c>
      <c r="N176" s="185">
        <f t="shared" si="106"/>
        <v>0.22070688580717501</v>
      </c>
      <c r="O176" s="185">
        <f t="shared" si="106"/>
        <v>1.0275822328048108</v>
      </c>
      <c r="P176" s="185">
        <f t="shared" si="106"/>
        <v>1.2224222452299927</v>
      </c>
      <c r="Q176" s="185">
        <f>Q175-Q174</f>
        <v>0.89706073318253843</v>
      </c>
      <c r="R176" s="185">
        <f t="shared" si="106"/>
        <v>-28.603620452156481</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7">F$176</f>
        <v>0</v>
      </c>
      <c r="G178" s="168" t="str">
        <f t="shared" si="107"/>
        <v>£m</v>
      </c>
      <c r="H178" s="246">
        <f t="shared" si="107"/>
        <v>0</v>
      </c>
      <c r="I178" s="246">
        <f t="shared" si="107"/>
        <v>0</v>
      </c>
      <c r="J178" s="185">
        <f t="shared" si="107"/>
        <v>0</v>
      </c>
      <c r="K178" s="185">
        <f t="shared" si="107"/>
        <v>0</v>
      </c>
      <c r="L178" s="185">
        <f t="shared" si="107"/>
        <v>0</v>
      </c>
      <c r="M178" s="185">
        <f t="shared" si="107"/>
        <v>-0.1166279809093318</v>
      </c>
      <c r="N178" s="185">
        <f t="shared" si="107"/>
        <v>0.22070688580717501</v>
      </c>
      <c r="O178" s="185">
        <f t="shared" si="107"/>
        <v>1.0275822328048108</v>
      </c>
      <c r="P178" s="185">
        <f t="shared" si="107"/>
        <v>1.2224222452299927</v>
      </c>
      <c r="Q178" s="185">
        <f t="shared" si="107"/>
        <v>0.89706073318253843</v>
      </c>
      <c r="R178" s="185">
        <f t="shared" si="107"/>
        <v>-28.603620452156481</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493</v>
      </c>
      <c r="F180" s="260"/>
      <c r="G180" s="260" t="s">
        <v>238</v>
      </c>
      <c r="H180" s="259"/>
      <c r="I180" s="260"/>
      <c r="J180" s="260">
        <f xml:space="preserve"> J178 * J179</f>
        <v>0</v>
      </c>
      <c r="K180" s="260">
        <f t="shared" ref="K180:P180" si="108" xml:space="preserve"> K178 * K179</f>
        <v>0</v>
      </c>
      <c r="L180" s="260">
        <f t="shared" si="108"/>
        <v>0</v>
      </c>
      <c r="M180" s="260">
        <f t="shared" si="108"/>
        <v>0</v>
      </c>
      <c r="N180" s="260">
        <f t="shared" si="108"/>
        <v>0</v>
      </c>
      <c r="O180" s="260">
        <f t="shared" si="108"/>
        <v>0</v>
      </c>
      <c r="P180" s="260">
        <f t="shared" si="108"/>
        <v>0</v>
      </c>
      <c r="Q180" s="260">
        <f xml:space="preserve"> Q178 * Q179</f>
        <v>0.89706073318253843</v>
      </c>
      <c r="R180" s="260">
        <f t="shared" ref="R180" si="109"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10">F$136</f>
        <v>0</v>
      </c>
      <c r="G184" s="184" t="str">
        <f t="shared" si="110"/>
        <v>£m</v>
      </c>
      <c r="H184" s="184">
        <f t="shared" si="110"/>
        <v>0</v>
      </c>
      <c r="I184" s="184">
        <f t="shared" si="110"/>
        <v>0</v>
      </c>
      <c r="J184" s="184">
        <f t="shared" si="110"/>
        <v>0</v>
      </c>
      <c r="K184" s="184">
        <f t="shared" si="110"/>
        <v>0</v>
      </c>
      <c r="L184" s="184">
        <f t="shared" si="110"/>
        <v>0</v>
      </c>
      <c r="M184" s="184">
        <f t="shared" si="110"/>
        <v>1.3941900626424488</v>
      </c>
      <c r="N184" s="184">
        <f t="shared" si="110"/>
        <v>1.3787734001707197</v>
      </c>
      <c r="O184" s="184">
        <f t="shared" si="110"/>
        <v>1.3660646989534646</v>
      </c>
      <c r="P184" s="184">
        <f t="shared" si="110"/>
        <v>1.3541243739336772</v>
      </c>
      <c r="Q184" s="184">
        <f t="shared" si="110"/>
        <v>1.3422884153920558</v>
      </c>
      <c r="R184" s="184">
        <f t="shared" si="110"/>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11">F$154</f>
        <v>0</v>
      </c>
      <c r="G185" s="184" t="str">
        <f t="shared" si="111"/>
        <v>£m</v>
      </c>
      <c r="H185" s="184">
        <f t="shared" si="111"/>
        <v>0</v>
      </c>
      <c r="I185" s="184">
        <f t="shared" si="111"/>
        <v>0</v>
      </c>
      <c r="J185" s="184">
        <f t="shared" si="111"/>
        <v>0</v>
      </c>
      <c r="K185" s="184">
        <f t="shared" si="111"/>
        <v>0</v>
      </c>
      <c r="L185" s="184">
        <f t="shared" si="111"/>
        <v>0</v>
      </c>
      <c r="M185" s="184">
        <f t="shared" si="111"/>
        <v>0.66480971096517039</v>
      </c>
      <c r="N185" s="184">
        <f t="shared" si="111"/>
        <v>0.65745838405752299</v>
      </c>
      <c r="O185" s="184">
        <f t="shared" si="111"/>
        <v>0.65139832939971509</v>
      </c>
      <c r="P185" s="184">
        <f t="shared" si="111"/>
        <v>0.64570466951937588</v>
      </c>
      <c r="Q185" s="184">
        <f t="shared" si="111"/>
        <v>0.64006077605901268</v>
      </c>
      <c r="R185" s="184">
        <f t="shared" si="111"/>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2">F$158</f>
        <v>0</v>
      </c>
      <c r="G186" s="184" t="str">
        <f t="shared" si="112"/>
        <v>£m</v>
      </c>
      <c r="H186" s="184">
        <f t="shared" si="112"/>
        <v>10.094872821093162</v>
      </c>
      <c r="I186" s="184">
        <f t="shared" si="112"/>
        <v>0</v>
      </c>
      <c r="J186" s="184">
        <f t="shared" si="112"/>
        <v>0</v>
      </c>
      <c r="K186" s="184">
        <f t="shared" si="112"/>
        <v>0</v>
      </c>
      <c r="L186" s="184">
        <f t="shared" si="112"/>
        <v>0</v>
      </c>
      <c r="M186" s="184">
        <f t="shared" si="112"/>
        <v>2.0589997736076193</v>
      </c>
      <c r="N186" s="184">
        <f t="shared" si="112"/>
        <v>2.0362317842282427</v>
      </c>
      <c r="O186" s="184">
        <f t="shared" si="112"/>
        <v>2.0174630283531796</v>
      </c>
      <c r="P186" s="184">
        <f t="shared" si="112"/>
        <v>1.9998290434530532</v>
      </c>
      <c r="Q186" s="184">
        <f t="shared" si="112"/>
        <v>1.9823491914510685</v>
      </c>
      <c r="R186" s="184">
        <f t="shared" si="112"/>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3">F$107</f>
        <v>0</v>
      </c>
      <c r="G187" s="184" t="str">
        <f t="shared" si="113"/>
        <v>£m</v>
      </c>
      <c r="H187" s="184">
        <f t="shared" si="113"/>
        <v>0</v>
      </c>
      <c r="I187" s="184">
        <f t="shared" si="113"/>
        <v>0</v>
      </c>
      <c r="J187" s="184">
        <f t="shared" si="113"/>
        <v>0</v>
      </c>
      <c r="K187" s="184">
        <f t="shared" si="113"/>
        <v>0</v>
      </c>
      <c r="L187" s="184">
        <f t="shared" si="113"/>
        <v>0</v>
      </c>
      <c r="M187" s="184">
        <f t="shared" si="113"/>
        <v>1.3690590331805514</v>
      </c>
      <c r="N187" s="184">
        <f t="shared" si="113"/>
        <v>1.3909699307474885</v>
      </c>
      <c r="O187" s="184">
        <f t="shared" si="113"/>
        <v>1.5080613559247127</v>
      </c>
      <c r="P187" s="184">
        <f t="shared" si="113"/>
        <v>1.5568589414784635</v>
      </c>
      <c r="Q187" s="184">
        <f t="shared" si="113"/>
        <v>1.5447848370748285</v>
      </c>
      <c r="R187" s="184">
        <f t="shared" si="113"/>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4">F$108</f>
        <v>0</v>
      </c>
      <c r="G188" s="184" t="str">
        <f t="shared" si="114"/>
        <v>£m</v>
      </c>
      <c r="H188" s="184">
        <f t="shared" si="114"/>
        <v>0</v>
      </c>
      <c r="I188" s="184">
        <f t="shared" si="114"/>
        <v>0</v>
      </c>
      <c r="J188" s="184">
        <f t="shared" si="114"/>
        <v>0</v>
      </c>
      <c r="K188" s="184">
        <f t="shared" si="114"/>
        <v>0</v>
      </c>
      <c r="L188" s="184">
        <f t="shared" si="114"/>
        <v>0</v>
      </c>
      <c r="M188" s="184">
        <f t="shared" si="114"/>
        <v>0.65282615658438881</v>
      </c>
      <c r="N188" s="184">
        <f t="shared" si="114"/>
        <v>0.66327421375304652</v>
      </c>
      <c r="O188" s="184">
        <f t="shared" si="114"/>
        <v>0.71910843507939226</v>
      </c>
      <c r="P188" s="184">
        <f t="shared" si="114"/>
        <v>0.74237722002991802</v>
      </c>
      <c r="Q188" s="184">
        <f t="shared" si="114"/>
        <v>0.73661976839270715</v>
      </c>
      <c r="R188" s="184">
        <f t="shared" si="114"/>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5">F$109</f>
        <v>0</v>
      </c>
      <c r="G189" s="184" t="str">
        <f t="shared" si="115"/>
        <v>£m</v>
      </c>
      <c r="H189" s="184">
        <f t="shared" si="115"/>
        <v>10.883939892245497</v>
      </c>
      <c r="I189" s="184">
        <f t="shared" si="115"/>
        <v>0</v>
      </c>
      <c r="J189" s="184">
        <f t="shared" si="115"/>
        <v>0</v>
      </c>
      <c r="K189" s="184">
        <f t="shared" si="115"/>
        <v>0</v>
      </c>
      <c r="L189" s="184">
        <f t="shared" si="115"/>
        <v>0</v>
      </c>
      <c r="M189" s="184">
        <f t="shared" si="115"/>
        <v>2.0218851897649404</v>
      </c>
      <c r="N189" s="184">
        <f t="shared" si="115"/>
        <v>2.0542441445005348</v>
      </c>
      <c r="O189" s="184">
        <f t="shared" si="115"/>
        <v>2.2271697910041048</v>
      </c>
      <c r="P189" s="184">
        <f t="shared" si="115"/>
        <v>2.2992361615083814</v>
      </c>
      <c r="Q189" s="184">
        <f t="shared" si="115"/>
        <v>2.2814046054675359</v>
      </c>
      <c r="R189" s="184">
        <f t="shared" si="115"/>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358"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6" xml:space="preserve"> E184 &amp; "- real"</f>
        <v>True up Nominal RCV run-off- real</v>
      </c>
      <c r="F192" s="185"/>
      <c r="G192" s="185" t="str">
        <f t="shared" ref="G192:G197" si="117">G$273</f>
        <v>£m</v>
      </c>
      <c r="H192" s="243">
        <f t="shared" ref="H192:H197" si="118">SUM(J192:R192)</f>
        <v>6.1833444484888602</v>
      </c>
      <c r="I192" s="185"/>
      <c r="J192" s="185">
        <f xml:space="preserve"> IF(J$190 = 0, 0, J184 / J$190)</f>
        <v>0</v>
      </c>
      <c r="K192" s="185">
        <f t="shared" ref="K192:R192" si="119" xml:space="preserve"> IF(K$190 = 0, 0, K184 / K$190)</f>
        <v>0</v>
      </c>
      <c r="L192" s="185">
        <f t="shared" si="119"/>
        <v>0</v>
      </c>
      <c r="M192" s="185">
        <f t="shared" si="119"/>
        <v>1.3124732494497779</v>
      </c>
      <c r="N192" s="185">
        <f t="shared" si="119"/>
        <v>1.2724576202962099</v>
      </c>
      <c r="O192" s="185">
        <f t="shared" si="119"/>
        <v>1.2350990232082062</v>
      </c>
      <c r="P192" s="185">
        <f t="shared" si="119"/>
        <v>1.1991218671424961</v>
      </c>
      <c r="Q192" s="185">
        <f t="shared" si="119"/>
        <v>1.1641926883921694</v>
      </c>
      <c r="R192" s="185">
        <f t="shared" si="119"/>
        <v>0</v>
      </c>
      <c r="S192" s="92"/>
      <c r="T192" s="92"/>
      <c r="U192" s="92"/>
      <c r="V192" s="92"/>
      <c r="W192" s="92"/>
      <c r="X192" s="92"/>
      <c r="Y192" s="92"/>
      <c r="Z192" s="92"/>
    </row>
    <row r="193" spans="1:26" s="91" customFormat="1" x14ac:dyDescent="0.25">
      <c r="A193" s="340"/>
      <c r="B193" s="341"/>
      <c r="C193" s="342"/>
      <c r="D193" s="343"/>
      <c r="E193" s="7" t="str">
        <f t="shared" si="116"/>
        <v>True up Nominal return- real</v>
      </c>
      <c r="F193" s="185"/>
      <c r="G193" s="185" t="str">
        <f t="shared" si="117"/>
        <v>£m</v>
      </c>
      <c r="H193" s="243">
        <f t="shared" si="118"/>
        <v>2.9484842459762985</v>
      </c>
      <c r="I193" s="185"/>
      <c r="J193" s="185">
        <f t="shared" ref="J193:R193" si="120" xml:space="preserve"> IF(J$190 = 0, 0, J185 / J$190)</f>
        <v>0</v>
      </c>
      <c r="K193" s="185">
        <f t="shared" si="120"/>
        <v>0</v>
      </c>
      <c r="L193" s="185">
        <f t="shared" si="120"/>
        <v>0</v>
      </c>
      <c r="M193" s="185">
        <f t="shared" si="120"/>
        <v>0.62584362419171535</v>
      </c>
      <c r="N193" s="185">
        <f t="shared" si="120"/>
        <v>0.60676245329220957</v>
      </c>
      <c r="O193" s="185">
        <f t="shared" si="120"/>
        <v>0.58894826941754708</v>
      </c>
      <c r="P193" s="185">
        <f t="shared" si="120"/>
        <v>0.57179281596376119</v>
      </c>
      <c r="Q193" s="185">
        <f t="shared" si="120"/>
        <v>0.55513708311106558</v>
      </c>
      <c r="R193" s="185">
        <f t="shared" si="120"/>
        <v>0</v>
      </c>
      <c r="S193" s="92"/>
      <c r="T193" s="92"/>
      <c r="U193" s="92"/>
      <c r="V193" s="92"/>
      <c r="W193" s="92"/>
      <c r="X193" s="92"/>
      <c r="Y193" s="92"/>
      <c r="Z193" s="92"/>
    </row>
    <row r="194" spans="1:26" s="91" customFormat="1" x14ac:dyDescent="0.25">
      <c r="A194" s="340"/>
      <c r="B194" s="341"/>
      <c r="C194" s="342"/>
      <c r="D194" s="343"/>
      <c r="E194" s="7" t="str">
        <f t="shared" si="116"/>
        <v>Total True up Nominal revenue to company- real</v>
      </c>
      <c r="F194" s="185"/>
      <c r="G194" s="185" t="str">
        <f t="shared" si="117"/>
        <v>£m</v>
      </c>
      <c r="H194" s="243">
        <f t="shared" si="118"/>
        <v>9.1318286944651579</v>
      </c>
      <c r="I194" s="185"/>
      <c r="J194" s="185">
        <f t="shared" ref="J194:R194" si="121" xml:space="preserve"> IF(J$190 = 0, 0, J186 / J$190)</f>
        <v>0</v>
      </c>
      <c r="K194" s="185">
        <f t="shared" si="121"/>
        <v>0</v>
      </c>
      <c r="L194" s="185">
        <f t="shared" si="121"/>
        <v>0</v>
      </c>
      <c r="M194" s="185">
        <f t="shared" si="121"/>
        <v>1.9383168736414933</v>
      </c>
      <c r="N194" s="185">
        <f t="shared" si="121"/>
        <v>1.8792200735884195</v>
      </c>
      <c r="O194" s="185">
        <f t="shared" si="121"/>
        <v>1.8240472926257529</v>
      </c>
      <c r="P194" s="185">
        <f t="shared" si="121"/>
        <v>1.7709146831062574</v>
      </c>
      <c r="Q194" s="185">
        <f xml:space="preserve"> IF(Q$190 = 0, 0, Q186 / Q$190)</f>
        <v>1.719329771503235</v>
      </c>
      <c r="R194" s="185">
        <f t="shared" si="121"/>
        <v>0</v>
      </c>
      <c r="S194" s="92"/>
      <c r="T194" s="92"/>
      <c r="U194" s="92"/>
      <c r="V194" s="92"/>
      <c r="W194" s="92"/>
      <c r="X194" s="92"/>
      <c r="Y194" s="92"/>
      <c r="Z194" s="92"/>
    </row>
    <row r="195" spans="1:26" s="360" customFormat="1" x14ac:dyDescent="0.25">
      <c r="A195" s="336"/>
      <c r="B195" s="341"/>
      <c r="C195" s="342"/>
      <c r="D195" s="343"/>
      <c r="E195" s="7" t="str">
        <f t="shared" si="116"/>
        <v>RCV run-off company should have received - nominal- real</v>
      </c>
      <c r="F195" s="185"/>
      <c r="G195" s="185" t="str">
        <f t="shared" si="117"/>
        <v>£m</v>
      </c>
      <c r="H195" s="243">
        <f t="shared" si="118"/>
        <v>6.3169661922364364</v>
      </c>
      <c r="I195" s="185"/>
      <c r="J195" s="185">
        <f xml:space="preserve"> IF(J$191 = 0, 0, J187 / J$191)</f>
        <v>0</v>
      </c>
      <c r="K195" s="185">
        <f t="shared" ref="K195:L195" si="122" xml:space="preserve"> IF(K$191 = 0, 0, K187 / K$191)</f>
        <v>0</v>
      </c>
      <c r="L195" s="185">
        <f t="shared" si="122"/>
        <v>0</v>
      </c>
      <c r="M195" s="185">
        <f xml:space="preserve"> IF(M$191 = 0, 0, M187 / M$191)</f>
        <v>1.3076798494581816</v>
      </c>
      <c r="N195" s="185">
        <f t="shared" ref="N195:Q195" si="123" xml:space="preserve"> IF(N$191 = 0, 0, N187 / N$191)</f>
        <v>1.2815286543338802</v>
      </c>
      <c r="O195" s="185">
        <f t="shared" si="123"/>
        <v>1.2773325646592928</v>
      </c>
      <c r="P195" s="185">
        <f t="shared" si="123"/>
        <v>1.249363316358423</v>
      </c>
      <c r="Q195" s="185">
        <f t="shared" si="123"/>
        <v>1.201061807426659</v>
      </c>
      <c r="R195" s="185">
        <f t="shared" ref="R195" si="124" xml:space="preserve"> IF(R$191 = 0, 0, R187 / R$191)</f>
        <v>0</v>
      </c>
    </row>
    <row r="196" spans="1:26" s="360" customFormat="1" x14ac:dyDescent="0.25">
      <c r="A196" s="336"/>
      <c r="B196" s="341"/>
      <c r="C196" s="342"/>
      <c r="D196" s="343"/>
      <c r="E196" s="7" t="str">
        <f t="shared" si="116"/>
        <v>Nominal return company should have received- real</v>
      </c>
      <c r="F196" s="185"/>
      <c r="G196" s="185" t="str">
        <f t="shared" si="117"/>
        <v>£m</v>
      </c>
      <c r="H196" s="243">
        <f t="shared" si="118"/>
        <v>3.012200833276542</v>
      </c>
      <c r="I196" s="185"/>
      <c r="J196" s="185">
        <f t="shared" ref="J196:L196" si="125" xml:space="preserve"> IF(J$191 = 0, 0, J188 / J$191)</f>
        <v>0</v>
      </c>
      <c r="K196" s="185">
        <f t="shared" si="125"/>
        <v>0</v>
      </c>
      <c r="L196" s="185">
        <f t="shared" si="125"/>
        <v>0</v>
      </c>
      <c r="M196" s="185">
        <f xml:space="preserve"> IF(M$191 = 0, 0, M188 / M$191)</f>
        <v>0.6235579251695077</v>
      </c>
      <c r="N196" s="185">
        <f t="shared" ref="N196:Q196" si="126" xml:space="preserve"> IF(N$191 = 0, 0, N188 / N$191)</f>
        <v>0.61108791197845869</v>
      </c>
      <c r="O196" s="185">
        <f t="shared" si="126"/>
        <v>0.60908703617357807</v>
      </c>
      <c r="P196" s="185">
        <f t="shared" si="126"/>
        <v>0.59575009713129845</v>
      </c>
      <c r="Q196" s="185">
        <f t="shared" si="126"/>
        <v>0.57271786282369896</v>
      </c>
      <c r="R196" s="185">
        <f t="shared" ref="R196" si="127" xml:space="preserve"> IF(R$191 = 0, 0, R188 / R$191)</f>
        <v>0</v>
      </c>
    </row>
    <row r="197" spans="1:26" s="360" customFormat="1" x14ac:dyDescent="0.25">
      <c r="A197" s="336"/>
      <c r="B197" s="341"/>
      <c r="C197" s="342"/>
      <c r="D197" s="343"/>
      <c r="E197" s="7" t="str">
        <f t="shared" si="116"/>
        <v>Total nominal revenue company should have received- real</v>
      </c>
      <c r="F197" s="185"/>
      <c r="G197" s="185" t="str">
        <f t="shared" si="117"/>
        <v>£m</v>
      </c>
      <c r="H197" s="243">
        <f t="shared" si="118"/>
        <v>9.3291670255129784</v>
      </c>
      <c r="I197" s="185"/>
      <c r="J197" s="185">
        <f t="shared" ref="J197:L197" si="128" xml:space="preserve"> IF(J$191 = 0, 0, J189 / J$191)</f>
        <v>0</v>
      </c>
      <c r="K197" s="185">
        <f t="shared" si="128"/>
        <v>0</v>
      </c>
      <c r="L197" s="185">
        <f t="shared" si="128"/>
        <v>0</v>
      </c>
      <c r="M197" s="185">
        <f xml:space="preserve"> IF(M$191 = 0, 0, M189 / M$191)</f>
        <v>1.9312377746276894</v>
      </c>
      <c r="N197" s="185">
        <f t="shared" ref="N197:Q197" si="129" xml:space="preserve"> IF(N$191 = 0, 0, N189 / N$191)</f>
        <v>1.8926165663123387</v>
      </c>
      <c r="O197" s="185">
        <f t="shared" si="129"/>
        <v>1.8864196008328709</v>
      </c>
      <c r="P197" s="185">
        <f t="shared" si="129"/>
        <v>1.8451134134897214</v>
      </c>
      <c r="Q197" s="185">
        <f t="shared" si="129"/>
        <v>1.7737796702503581</v>
      </c>
      <c r="R197" s="185">
        <f t="shared" ref="R197" si="130" xml:space="preserve"> IF(R$191 = 0, 0, R189 / R$191)</f>
        <v>0</v>
      </c>
    </row>
    <row r="198" spans="1:26" x14ac:dyDescent="0.25"/>
    <row r="199" spans="1:26" s="91" customFormat="1" x14ac:dyDescent="0.25">
      <c r="A199" s="170"/>
      <c r="B199" s="165"/>
      <c r="C199" s="166"/>
      <c r="D199" s="171"/>
      <c r="E199" s="7" t="str">
        <f>E$192</f>
        <v>True up Nominal RCV run-off- real</v>
      </c>
      <c r="F199" s="184">
        <f t="shared" ref="F199:R199" si="131">F$192</f>
        <v>0</v>
      </c>
      <c r="G199" s="184" t="str">
        <f t="shared" si="131"/>
        <v>£m</v>
      </c>
      <c r="H199" s="243">
        <f t="shared" si="131"/>
        <v>6.1833444484888602</v>
      </c>
      <c r="I199" s="184">
        <f t="shared" si="131"/>
        <v>0</v>
      </c>
      <c r="J199" s="184">
        <f t="shared" si="131"/>
        <v>0</v>
      </c>
      <c r="K199" s="184">
        <f t="shared" si="131"/>
        <v>0</v>
      </c>
      <c r="L199" s="184">
        <f t="shared" si="131"/>
        <v>0</v>
      </c>
      <c r="M199" s="185">
        <f t="shared" si="131"/>
        <v>1.3124732494497779</v>
      </c>
      <c r="N199" s="184">
        <f t="shared" si="131"/>
        <v>1.2724576202962099</v>
      </c>
      <c r="O199" s="184">
        <f t="shared" si="131"/>
        <v>1.2350990232082062</v>
      </c>
      <c r="P199" s="184">
        <f t="shared" si="131"/>
        <v>1.1991218671424961</v>
      </c>
      <c r="Q199" s="184">
        <f t="shared" si="131"/>
        <v>1.1641926883921694</v>
      </c>
      <c r="R199" s="184">
        <f t="shared" si="131"/>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2">F$195</f>
        <v>0</v>
      </c>
      <c r="G200" s="184" t="str">
        <f t="shared" si="132"/>
        <v>£m</v>
      </c>
      <c r="H200" s="243">
        <f t="shared" si="132"/>
        <v>6.3169661922364364</v>
      </c>
      <c r="I200" s="184">
        <f t="shared" si="132"/>
        <v>0</v>
      </c>
      <c r="J200" s="184">
        <f t="shared" si="132"/>
        <v>0</v>
      </c>
      <c r="K200" s="184">
        <f t="shared" si="132"/>
        <v>0</v>
      </c>
      <c r="L200" s="184">
        <f t="shared" si="132"/>
        <v>0</v>
      </c>
      <c r="M200" s="185">
        <f t="shared" si="132"/>
        <v>1.3076798494581816</v>
      </c>
      <c r="N200" s="184">
        <f t="shared" si="132"/>
        <v>1.2815286543338802</v>
      </c>
      <c r="O200" s="184">
        <f t="shared" si="132"/>
        <v>1.2773325646592928</v>
      </c>
      <c r="P200" s="184">
        <f t="shared" si="132"/>
        <v>1.249363316358423</v>
      </c>
      <c r="Q200" s="184">
        <f t="shared" si="132"/>
        <v>1.201061807426659</v>
      </c>
      <c r="R200" s="184">
        <f t="shared" si="132"/>
        <v>0</v>
      </c>
      <c r="S200" s="92"/>
      <c r="T200" s="92"/>
      <c r="U200" s="92"/>
      <c r="V200" s="92"/>
      <c r="W200" s="92"/>
      <c r="X200" s="92"/>
      <c r="Y200" s="92"/>
      <c r="Z200" s="92"/>
    </row>
    <row r="201" spans="1:26" x14ac:dyDescent="0.25">
      <c r="C201" s="267"/>
      <c r="E201" s="7" t="s">
        <v>495</v>
      </c>
      <c r="G201" s="7" t="s">
        <v>238</v>
      </c>
      <c r="H201" s="185">
        <f xml:space="preserve"> SUM(J201:R201)</f>
        <v>0.13362174374757707</v>
      </c>
      <c r="I201" s="185"/>
      <c r="J201" s="184">
        <f t="shared" ref="J201:K201" si="133">J200-J199</f>
        <v>0</v>
      </c>
      <c r="K201" s="184">
        <f t="shared" si="133"/>
        <v>0</v>
      </c>
      <c r="L201" s="184">
        <f>L200-L199</f>
        <v>0</v>
      </c>
      <c r="M201" s="185">
        <f>M200-M199</f>
        <v>-4.7933999915963366E-3</v>
      </c>
      <c r="N201" s="184">
        <f t="shared" ref="N201:R201" si="134">N200-N199</f>
        <v>9.0710340376702892E-3</v>
      </c>
      <c r="O201" s="184">
        <f t="shared" si="134"/>
        <v>4.2233541451086598E-2</v>
      </c>
      <c r="P201" s="184">
        <f t="shared" si="134"/>
        <v>5.0241449215926881E-2</v>
      </c>
      <c r="Q201" s="184">
        <f t="shared" si="134"/>
        <v>3.6869119034489639E-2</v>
      </c>
      <c r="R201" s="184">
        <f t="shared" si="134"/>
        <v>0</v>
      </c>
    </row>
    <row r="202" spans="1:26" x14ac:dyDescent="0.25"/>
    <row r="203" spans="1:26" x14ac:dyDescent="0.25">
      <c r="C203" s="267"/>
      <c r="E203" s="7" t="str">
        <f>E$193</f>
        <v>True up Nominal return- real</v>
      </c>
      <c r="F203" s="7">
        <f t="shared" ref="F203:R203" si="135">F$193</f>
        <v>0</v>
      </c>
      <c r="G203" s="7" t="str">
        <f t="shared" si="135"/>
        <v>£m</v>
      </c>
      <c r="H203" s="185">
        <f t="shared" si="135"/>
        <v>2.9484842459762985</v>
      </c>
      <c r="I203" s="185">
        <f t="shared" si="135"/>
        <v>0</v>
      </c>
      <c r="J203" s="184">
        <f t="shared" si="135"/>
        <v>0</v>
      </c>
      <c r="K203" s="184">
        <f t="shared" si="135"/>
        <v>0</v>
      </c>
      <c r="L203" s="184">
        <f t="shared" si="135"/>
        <v>0</v>
      </c>
      <c r="M203" s="185">
        <f t="shared" si="135"/>
        <v>0.62584362419171535</v>
      </c>
      <c r="N203" s="184">
        <f t="shared" si="135"/>
        <v>0.60676245329220957</v>
      </c>
      <c r="O203" s="184">
        <f t="shared" si="135"/>
        <v>0.58894826941754708</v>
      </c>
      <c r="P203" s="184">
        <f t="shared" si="135"/>
        <v>0.57179281596376119</v>
      </c>
      <c r="Q203" s="184">
        <f t="shared" si="135"/>
        <v>0.55513708311106558</v>
      </c>
      <c r="R203" s="184">
        <f t="shared" si="135"/>
        <v>0</v>
      </c>
    </row>
    <row r="204" spans="1:26" x14ac:dyDescent="0.25">
      <c r="C204" s="267"/>
      <c r="E204" s="7" t="str">
        <f>E$196</f>
        <v>Nominal return company should have received- real</v>
      </c>
      <c r="F204" s="7">
        <f t="shared" ref="F204:R204" si="136">F$196</f>
        <v>0</v>
      </c>
      <c r="G204" s="7" t="str">
        <f t="shared" si="136"/>
        <v>£m</v>
      </c>
      <c r="H204" s="185">
        <f t="shared" si="136"/>
        <v>3.012200833276542</v>
      </c>
      <c r="I204" s="185">
        <f t="shared" si="136"/>
        <v>0</v>
      </c>
      <c r="J204" s="184">
        <f t="shared" si="136"/>
        <v>0</v>
      </c>
      <c r="K204" s="184">
        <f t="shared" si="136"/>
        <v>0</v>
      </c>
      <c r="L204" s="184">
        <f t="shared" si="136"/>
        <v>0</v>
      </c>
      <c r="M204" s="185">
        <f t="shared" si="136"/>
        <v>0.6235579251695077</v>
      </c>
      <c r="N204" s="184">
        <f t="shared" si="136"/>
        <v>0.61108791197845869</v>
      </c>
      <c r="O204" s="184">
        <f t="shared" si="136"/>
        <v>0.60908703617357807</v>
      </c>
      <c r="P204" s="184">
        <f t="shared" si="136"/>
        <v>0.59575009713129845</v>
      </c>
      <c r="Q204" s="184">
        <f t="shared" si="136"/>
        <v>0.57271786282369896</v>
      </c>
      <c r="R204" s="184">
        <f t="shared" si="136"/>
        <v>0</v>
      </c>
    </row>
    <row r="205" spans="1:26" x14ac:dyDescent="0.25">
      <c r="C205" s="267"/>
      <c r="E205" s="7" t="s">
        <v>496</v>
      </c>
      <c r="G205" s="7" t="s">
        <v>238</v>
      </c>
      <c r="H205" s="185">
        <f xml:space="preserve"> SUM(J205:R205)</f>
        <v>6.3716587300243099E-2</v>
      </c>
      <c r="I205" s="185"/>
      <c r="J205" s="184">
        <f t="shared" ref="J205:K205" si="137">J204-J203</f>
        <v>0</v>
      </c>
      <c r="K205" s="184">
        <f t="shared" si="137"/>
        <v>0</v>
      </c>
      <c r="L205" s="184">
        <f>L204-L203</f>
        <v>0</v>
      </c>
      <c r="M205" s="185">
        <f>M204-M203</f>
        <v>-2.2856990222076545E-3</v>
      </c>
      <c r="N205" s="184">
        <f t="shared" ref="N205" si="138">N204-N203</f>
        <v>4.3254586862491173E-3</v>
      </c>
      <c r="O205" s="184">
        <f>O204-O203</f>
        <v>2.013876675603099E-2</v>
      </c>
      <c r="P205" s="184">
        <f t="shared" ref="P205:R205" si="139">P204-P203</f>
        <v>2.3957281167537259E-2</v>
      </c>
      <c r="Q205" s="184">
        <f t="shared" si="139"/>
        <v>1.7580779712633388E-2</v>
      </c>
      <c r="R205" s="184">
        <f t="shared" si="139"/>
        <v>0</v>
      </c>
    </row>
    <row r="206" spans="1:26" x14ac:dyDescent="0.25"/>
    <row r="207" spans="1:26" x14ac:dyDescent="0.25">
      <c r="C207" s="267"/>
      <c r="E207" s="7" t="str">
        <f>E$194</f>
        <v>Total True up Nominal revenue to company- real</v>
      </c>
      <c r="F207" s="7">
        <f t="shared" ref="F207:R207" si="140">F$194</f>
        <v>0</v>
      </c>
      <c r="G207" s="7" t="str">
        <f t="shared" si="140"/>
        <v>£m</v>
      </c>
      <c r="H207" s="185">
        <f t="shared" si="140"/>
        <v>9.1318286944651579</v>
      </c>
      <c r="I207" s="185">
        <f t="shared" si="140"/>
        <v>0</v>
      </c>
      <c r="J207" s="184">
        <f t="shared" si="140"/>
        <v>0</v>
      </c>
      <c r="K207" s="184">
        <f t="shared" si="140"/>
        <v>0</v>
      </c>
      <c r="L207" s="184">
        <f t="shared" si="140"/>
        <v>0</v>
      </c>
      <c r="M207" s="185">
        <f t="shared" si="140"/>
        <v>1.9383168736414933</v>
      </c>
      <c r="N207" s="184">
        <f t="shared" si="140"/>
        <v>1.8792200735884195</v>
      </c>
      <c r="O207" s="184">
        <f t="shared" si="140"/>
        <v>1.8240472926257529</v>
      </c>
      <c r="P207" s="184">
        <f t="shared" si="140"/>
        <v>1.7709146831062574</v>
      </c>
      <c r="Q207" s="184">
        <f t="shared" si="140"/>
        <v>1.719329771503235</v>
      </c>
      <c r="R207" s="184">
        <f t="shared" si="140"/>
        <v>0</v>
      </c>
    </row>
    <row r="208" spans="1:26" x14ac:dyDescent="0.25">
      <c r="C208" s="267"/>
      <c r="E208" s="7" t="str">
        <f>E$197</f>
        <v>Total nominal revenue company should have received- real</v>
      </c>
      <c r="F208" s="7">
        <f t="shared" ref="F208:R208" si="141">F$197</f>
        <v>0</v>
      </c>
      <c r="G208" s="7" t="str">
        <f t="shared" si="141"/>
        <v>£m</v>
      </c>
      <c r="H208" s="185">
        <f t="shared" si="141"/>
        <v>9.3291670255129784</v>
      </c>
      <c r="I208" s="185">
        <f t="shared" si="141"/>
        <v>0</v>
      </c>
      <c r="J208" s="184">
        <f t="shared" si="141"/>
        <v>0</v>
      </c>
      <c r="K208" s="184">
        <f t="shared" si="141"/>
        <v>0</v>
      </c>
      <c r="L208" s="184">
        <f t="shared" si="141"/>
        <v>0</v>
      </c>
      <c r="M208" s="185">
        <f t="shared" si="141"/>
        <v>1.9312377746276894</v>
      </c>
      <c r="N208" s="184">
        <f t="shared" si="141"/>
        <v>1.8926165663123387</v>
      </c>
      <c r="O208" s="184">
        <f t="shared" si="141"/>
        <v>1.8864196008328709</v>
      </c>
      <c r="P208" s="184">
        <f t="shared" si="141"/>
        <v>1.8451134134897214</v>
      </c>
      <c r="Q208" s="184">
        <f t="shared" si="141"/>
        <v>1.7737796702503581</v>
      </c>
      <c r="R208" s="184">
        <f t="shared" si="141"/>
        <v>0</v>
      </c>
    </row>
    <row r="209" spans="1:18" x14ac:dyDescent="0.25">
      <c r="C209" s="267"/>
      <c r="E209" s="7" t="s">
        <v>497</v>
      </c>
      <c r="G209" s="7" t="s">
        <v>238</v>
      </c>
      <c r="H209" s="185">
        <f xml:space="preserve"> SUM(J209:R209)</f>
        <v>0.19733833104782028</v>
      </c>
      <c r="I209" s="185"/>
      <c r="J209" s="184">
        <f t="shared" ref="J209:K209" si="142">J208-J207</f>
        <v>0</v>
      </c>
      <c r="K209" s="184">
        <f t="shared" si="142"/>
        <v>0</v>
      </c>
      <c r="L209" s="184">
        <f>L208-L207</f>
        <v>0</v>
      </c>
      <c r="M209" s="185">
        <f>M208-M207</f>
        <v>-7.0790990138038801E-3</v>
      </c>
      <c r="N209" s="184">
        <f t="shared" ref="N209:R209" si="143">N208-N207</f>
        <v>1.3396492723919184E-2</v>
      </c>
      <c r="O209" s="184">
        <f t="shared" si="143"/>
        <v>6.2372308207117921E-2</v>
      </c>
      <c r="P209" s="184">
        <f t="shared" si="143"/>
        <v>7.4198730383463918E-2</v>
      </c>
      <c r="Q209" s="184">
        <f t="shared" si="143"/>
        <v>5.4449898747123138E-2</v>
      </c>
      <c r="R209" s="184">
        <f t="shared" si="143"/>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InpR!E$112</f>
        <v>WACC real on RCV - CPI(H) bf and additions - WR</v>
      </c>
      <c r="F213" s="205">
        <f>InpR!F$112</f>
        <v>0</v>
      </c>
      <c r="G213" s="223" t="str">
        <f>InpR!G$112</f>
        <v>%</v>
      </c>
      <c r="H213" s="205">
        <f>InpR!H$112</f>
        <v>0</v>
      </c>
      <c r="I213" s="205">
        <f>InpR!I$112</f>
        <v>0</v>
      </c>
      <c r="J213" s="205">
        <f>InpR!J$112</f>
        <v>0</v>
      </c>
      <c r="K213" s="205">
        <f>InpR!K$112</f>
        <v>0</v>
      </c>
      <c r="L213" s="205">
        <f>InpR!L$112</f>
        <v>0</v>
      </c>
      <c r="M213" s="205">
        <f>InpR!M$112</f>
        <v>2.9195763820156317E-2</v>
      </c>
      <c r="N213" s="205">
        <f>InpR!N$112</f>
        <v>2.9195763820156317E-2</v>
      </c>
      <c r="O213" s="205">
        <f>InpR!O$112</f>
        <v>2.9195763820156317E-2</v>
      </c>
      <c r="P213" s="205">
        <f>InpR!P$112</f>
        <v>2.9195763820156317E-2</v>
      </c>
      <c r="Q213" s="205">
        <f>InpR!Q$112</f>
        <v>2.9195763820156317E-2</v>
      </c>
      <c r="R213" s="205">
        <f>InpR!R$112</f>
        <v>0</v>
      </c>
    </row>
    <row r="214" spans="1:18" x14ac:dyDescent="0.25">
      <c r="E214" s="7" t="s">
        <v>499</v>
      </c>
      <c r="G214" s="7" t="s">
        <v>500</v>
      </c>
      <c r="J214" s="254">
        <f xml:space="preserve"> (1 + J$289) ^ J$288</f>
        <v>1</v>
      </c>
      <c r="K214" s="254">
        <f t="shared" ref="K214:R214" si="144" xml:space="preserve"> (1 + K$289) ^ K$288</f>
        <v>1</v>
      </c>
      <c r="L214" s="254">
        <f t="shared" si="144"/>
        <v>1</v>
      </c>
      <c r="M214" s="254">
        <f t="shared" si="144"/>
        <v>1.1219976826191176</v>
      </c>
      <c r="N214" s="254">
        <f t="shared" si="144"/>
        <v>1.0901693555893588</v>
      </c>
      <c r="O214" s="254">
        <f t="shared" si="144"/>
        <v>1.059243920265355</v>
      </c>
      <c r="P214" s="254">
        <f t="shared" si="144"/>
        <v>1.0291957638201563</v>
      </c>
      <c r="Q214" s="254">
        <f t="shared" si="144"/>
        <v>1</v>
      </c>
      <c r="R214" s="254">
        <f t="shared" si="144"/>
        <v>1</v>
      </c>
    </row>
    <row r="215" spans="1:18" x14ac:dyDescent="0.25"/>
    <row r="216" spans="1:18" x14ac:dyDescent="0.25">
      <c r="B216" s="61" t="s">
        <v>501</v>
      </c>
    </row>
    <row r="217" spans="1:18" x14ac:dyDescent="0.25">
      <c r="C217" s="267"/>
      <c r="E217" s="7" t="str">
        <f>E$201</f>
        <v>Value of True up run-off - real</v>
      </c>
      <c r="F217" s="7">
        <f t="shared" ref="F217:R217" si="145">F$201</f>
        <v>0</v>
      </c>
      <c r="G217" s="7" t="str">
        <f t="shared" si="145"/>
        <v>£m</v>
      </c>
      <c r="H217" s="185">
        <f t="shared" si="145"/>
        <v>0.13362174374757707</v>
      </c>
      <c r="I217" s="185">
        <f t="shared" si="145"/>
        <v>0</v>
      </c>
      <c r="J217" s="184">
        <f t="shared" si="145"/>
        <v>0</v>
      </c>
      <c r="K217" s="184">
        <f t="shared" si="145"/>
        <v>0</v>
      </c>
      <c r="L217" s="184">
        <f t="shared" si="145"/>
        <v>0</v>
      </c>
      <c r="M217" s="185">
        <f t="shared" si="145"/>
        <v>-4.7933999915963366E-3</v>
      </c>
      <c r="N217" s="184">
        <f t="shared" si="145"/>
        <v>9.0710340376702892E-3</v>
      </c>
      <c r="O217" s="184">
        <f t="shared" si="145"/>
        <v>4.2233541451086598E-2</v>
      </c>
      <c r="P217" s="184">
        <f t="shared" si="145"/>
        <v>5.0241449215926881E-2</v>
      </c>
      <c r="Q217" s="184">
        <f t="shared" si="145"/>
        <v>3.6869119034489639E-2</v>
      </c>
      <c r="R217" s="184">
        <f t="shared" si="145"/>
        <v>0</v>
      </c>
    </row>
    <row r="218" spans="1:18" x14ac:dyDescent="0.25">
      <c r="E218" s="7" t="str">
        <f>E$290</f>
        <v xml:space="preserve">Time value of money factor </v>
      </c>
      <c r="F218" s="184">
        <f t="shared" ref="F218:R218" si="146">F$290</f>
        <v>0</v>
      </c>
      <c r="G218" s="7" t="str">
        <f t="shared" si="146"/>
        <v>Factor</v>
      </c>
      <c r="H218" s="246">
        <f t="shared" si="146"/>
        <v>0</v>
      </c>
      <c r="I218" s="246">
        <f t="shared" si="146"/>
        <v>0</v>
      </c>
      <c r="J218" s="184">
        <f t="shared" si="146"/>
        <v>1</v>
      </c>
      <c r="K218" s="184">
        <f t="shared" si="146"/>
        <v>1</v>
      </c>
      <c r="L218" s="184">
        <f t="shared" si="146"/>
        <v>1</v>
      </c>
      <c r="M218" s="185">
        <f t="shared" si="146"/>
        <v>1.1219976826191176</v>
      </c>
      <c r="N218" s="184">
        <f t="shared" si="146"/>
        <v>1.0901693555893588</v>
      </c>
      <c r="O218" s="184">
        <f t="shared" si="146"/>
        <v>1.059243920265355</v>
      </c>
      <c r="P218" s="184">
        <f t="shared" si="146"/>
        <v>1.0291957638201563</v>
      </c>
      <c r="Q218" s="184">
        <f t="shared" si="146"/>
        <v>1</v>
      </c>
      <c r="R218" s="184">
        <f t="shared" si="146"/>
        <v>1</v>
      </c>
    </row>
    <row r="219" spans="1:18" x14ac:dyDescent="0.25">
      <c r="A219" s="49"/>
      <c r="C219" s="267"/>
      <c r="D219" s="57"/>
      <c r="E219" s="7" t="s">
        <v>502</v>
      </c>
      <c r="G219" s="7" t="s">
        <v>238</v>
      </c>
      <c r="H219" s="185">
        <f xml:space="preserve"> SUM(J219:R219)</f>
        <v>0.137823807397984</v>
      </c>
      <c r="J219" s="185">
        <f xml:space="preserve"> J217 * J218</f>
        <v>0</v>
      </c>
      <c r="K219" s="185">
        <f t="shared" ref="K219:R219" si="147" xml:space="preserve"> K217 * K218</f>
        <v>0</v>
      </c>
      <c r="L219" s="185">
        <f t="shared" si="147"/>
        <v>0</v>
      </c>
      <c r="M219" s="185">
        <f t="shared" si="147"/>
        <v>-5.3781836824375873E-3</v>
      </c>
      <c r="N219" s="185">
        <f xml:space="preserve"> N217 * N218</f>
        <v>9.888963331376158E-3</v>
      </c>
      <c r="O219" s="185">
        <f t="shared" si="147"/>
        <v>4.4735622013338333E-2</v>
      </c>
      <c r="P219" s="185">
        <f t="shared" si="147"/>
        <v>5.1708286701217458E-2</v>
      </c>
      <c r="Q219" s="185">
        <f t="shared" si="147"/>
        <v>3.6869119034489639E-2</v>
      </c>
      <c r="R219" s="185">
        <f t="shared" si="147"/>
        <v>0</v>
      </c>
    </row>
    <row r="220" spans="1:18" x14ac:dyDescent="0.25"/>
    <row r="221" spans="1:18" x14ac:dyDescent="0.25">
      <c r="B221" s="61" t="s">
        <v>503</v>
      </c>
    </row>
    <row r="222" spans="1:18" x14ac:dyDescent="0.25">
      <c r="E222" s="7" t="str">
        <f>E205</f>
        <v>Value of True up return - real</v>
      </c>
      <c r="F222" s="184">
        <f t="shared" ref="F222:R222" si="148">F205</f>
        <v>0</v>
      </c>
      <c r="G222" s="7" t="str">
        <f t="shared" si="148"/>
        <v>£m</v>
      </c>
      <c r="H222" s="246">
        <f t="shared" si="148"/>
        <v>6.3716587300243099E-2</v>
      </c>
      <c r="I222" s="246">
        <f t="shared" si="148"/>
        <v>0</v>
      </c>
      <c r="J222" s="184">
        <f t="shared" si="148"/>
        <v>0</v>
      </c>
      <c r="K222" s="184">
        <f t="shared" si="148"/>
        <v>0</v>
      </c>
      <c r="L222" s="184">
        <f t="shared" si="148"/>
        <v>0</v>
      </c>
      <c r="M222" s="185">
        <f t="shared" si="148"/>
        <v>-2.2856990222076545E-3</v>
      </c>
      <c r="N222" s="184">
        <f t="shared" si="148"/>
        <v>4.3254586862491173E-3</v>
      </c>
      <c r="O222" s="184">
        <f t="shared" si="148"/>
        <v>2.013876675603099E-2</v>
      </c>
      <c r="P222" s="184">
        <f t="shared" si="148"/>
        <v>2.3957281167537259E-2</v>
      </c>
      <c r="Q222" s="184">
        <f t="shared" si="148"/>
        <v>1.7580779712633388E-2</v>
      </c>
      <c r="R222" s="184">
        <f t="shared" si="148"/>
        <v>0</v>
      </c>
    </row>
    <row r="223" spans="1:18" x14ac:dyDescent="0.25">
      <c r="E223" s="7" t="str">
        <f>E$290</f>
        <v xml:space="preserve">Time value of money factor </v>
      </c>
      <c r="F223" s="184">
        <f t="shared" ref="F223:R223" si="149">F$290</f>
        <v>0</v>
      </c>
      <c r="G223" s="7" t="str">
        <f t="shared" si="149"/>
        <v>Factor</v>
      </c>
      <c r="H223" s="246">
        <f t="shared" si="149"/>
        <v>0</v>
      </c>
      <c r="I223" s="246">
        <f t="shared" si="149"/>
        <v>0</v>
      </c>
      <c r="J223" s="184">
        <f t="shared" si="149"/>
        <v>1</v>
      </c>
      <c r="K223" s="184">
        <f t="shared" si="149"/>
        <v>1</v>
      </c>
      <c r="L223" s="184">
        <f t="shared" si="149"/>
        <v>1</v>
      </c>
      <c r="M223" s="185">
        <f t="shared" si="149"/>
        <v>1.1219976826191176</v>
      </c>
      <c r="N223" s="184">
        <f t="shared" si="149"/>
        <v>1.0901693555893588</v>
      </c>
      <c r="O223" s="184">
        <f t="shared" si="149"/>
        <v>1.059243920265355</v>
      </c>
      <c r="P223" s="184">
        <f t="shared" si="149"/>
        <v>1.0291957638201563</v>
      </c>
      <c r="Q223" s="184">
        <f t="shared" si="149"/>
        <v>1</v>
      </c>
      <c r="R223" s="184">
        <f t="shared" si="149"/>
        <v>1</v>
      </c>
    </row>
    <row r="224" spans="1:18" x14ac:dyDescent="0.25">
      <c r="A224" s="49"/>
      <c r="C224" s="267"/>
      <c r="D224" s="57"/>
      <c r="E224" s="7" t="s">
        <v>504</v>
      </c>
      <c r="G224" s="7" t="s">
        <v>238</v>
      </c>
      <c r="H224" s="185">
        <f xml:space="preserve"> SUM(J224:R224)</f>
        <v>6.5720311753413835E-2</v>
      </c>
      <c r="J224" s="185">
        <f xml:space="preserve"> J222 * J223</f>
        <v>0</v>
      </c>
      <c r="K224" s="185">
        <f t="shared" ref="K224:M224" si="150" xml:space="preserve"> K222 * K223</f>
        <v>0</v>
      </c>
      <c r="L224" s="185">
        <f t="shared" si="150"/>
        <v>0</v>
      </c>
      <c r="M224" s="185">
        <f t="shared" si="150"/>
        <v>-2.5645490060817715E-3</v>
      </c>
      <c r="N224" s="185">
        <f xml:space="preserve"> N222 * N223</f>
        <v>4.715482508616595E-3</v>
      </c>
      <c r="O224" s="185">
        <f t="shared" ref="O224:R224" si="151" xml:space="preserve"> O222 * O223</f>
        <v>2.133186624796787E-2</v>
      </c>
      <c r="P224" s="185">
        <f t="shared" si="151"/>
        <v>2.4656732290277754E-2</v>
      </c>
      <c r="Q224" s="185">
        <f t="shared" si="151"/>
        <v>1.7580779712633388E-2</v>
      </c>
      <c r="R224" s="185">
        <f t="shared" si="151"/>
        <v>0</v>
      </c>
    </row>
    <row r="225" spans="1:26" x14ac:dyDescent="0.25"/>
    <row r="226" spans="1:26" x14ac:dyDescent="0.25">
      <c r="B226" s="61" t="s">
        <v>505</v>
      </c>
    </row>
    <row r="227" spans="1:26" x14ac:dyDescent="0.25">
      <c r="E227" s="7" t="str">
        <f xml:space="preserve"> E$219</f>
        <v>Revenue adjustment for RCV run-off - real - WR</v>
      </c>
      <c r="F227" s="184">
        <f t="shared" ref="F227:R227" si="152" xml:space="preserve"> F$219</f>
        <v>0</v>
      </c>
      <c r="G227" s="7" t="str">
        <f t="shared" si="152"/>
        <v>£m</v>
      </c>
      <c r="H227" s="246">
        <f t="shared" si="152"/>
        <v>0.137823807397984</v>
      </c>
      <c r="I227" s="246">
        <f t="shared" si="152"/>
        <v>0</v>
      </c>
      <c r="J227" s="184">
        <f t="shared" si="152"/>
        <v>0</v>
      </c>
      <c r="K227" s="184">
        <f t="shared" si="152"/>
        <v>0</v>
      </c>
      <c r="L227" s="184">
        <f t="shared" si="152"/>
        <v>0</v>
      </c>
      <c r="M227" s="185">
        <f t="shared" si="152"/>
        <v>-5.3781836824375873E-3</v>
      </c>
      <c r="N227" s="184">
        <f t="shared" si="152"/>
        <v>9.888963331376158E-3</v>
      </c>
      <c r="O227" s="184">
        <f t="shared" si="152"/>
        <v>4.4735622013338333E-2</v>
      </c>
      <c r="P227" s="184">
        <f t="shared" si="152"/>
        <v>5.1708286701217458E-2</v>
      </c>
      <c r="Q227" s="184">
        <f t="shared" si="152"/>
        <v>3.6869119034489639E-2</v>
      </c>
      <c r="R227" s="184">
        <f t="shared" si="152"/>
        <v>0</v>
      </c>
    </row>
    <row r="228" spans="1:26" x14ac:dyDescent="0.25">
      <c r="E228" s="7" t="str">
        <f xml:space="preserve"> E$224</f>
        <v>Revenue adjustment for return - real -WR</v>
      </c>
      <c r="F228" s="184">
        <f t="shared" ref="F228:R228" si="153" xml:space="preserve"> F$224</f>
        <v>0</v>
      </c>
      <c r="G228" s="7" t="str">
        <f t="shared" si="153"/>
        <v>£m</v>
      </c>
      <c r="H228" s="246">
        <f t="shared" si="153"/>
        <v>6.5720311753413835E-2</v>
      </c>
      <c r="I228" s="246">
        <f t="shared" si="153"/>
        <v>0</v>
      </c>
      <c r="J228" s="184">
        <f t="shared" si="153"/>
        <v>0</v>
      </c>
      <c r="K228" s="184">
        <f t="shared" si="153"/>
        <v>0</v>
      </c>
      <c r="L228" s="184">
        <f t="shared" si="153"/>
        <v>0</v>
      </c>
      <c r="M228" s="185">
        <f t="shared" si="153"/>
        <v>-2.5645490060817715E-3</v>
      </c>
      <c r="N228" s="184">
        <f t="shared" si="153"/>
        <v>4.715482508616595E-3</v>
      </c>
      <c r="O228" s="184">
        <f t="shared" si="153"/>
        <v>2.133186624796787E-2</v>
      </c>
      <c r="P228" s="184">
        <f t="shared" si="153"/>
        <v>2.4656732290277754E-2</v>
      </c>
      <c r="Q228" s="184">
        <f t="shared" si="153"/>
        <v>1.7580779712633388E-2</v>
      </c>
      <c r="R228" s="184">
        <f t="shared" si="153"/>
        <v>0</v>
      </c>
    </row>
    <row r="229" spans="1:26" x14ac:dyDescent="0.25">
      <c r="A229" s="49"/>
      <c r="C229" s="267"/>
      <c r="D229" s="57"/>
      <c r="E229" s="7" t="s">
        <v>506</v>
      </c>
      <c r="G229" s="7" t="s">
        <v>238</v>
      </c>
      <c r="H229" s="185">
        <f xml:space="preserve"> SUM(J229:R229)</f>
        <v>0.20354411915139783</v>
      </c>
      <c r="J229" s="185">
        <f xml:space="preserve"> J$227 + J$228</f>
        <v>0</v>
      </c>
      <c r="K229" s="185">
        <f t="shared" ref="K229:R229" si="154" xml:space="preserve"> K$227 + K$228</f>
        <v>0</v>
      </c>
      <c r="L229" s="185">
        <f t="shared" si="154"/>
        <v>0</v>
      </c>
      <c r="M229" s="185">
        <f t="shared" si="154"/>
        <v>-7.9427326885193588E-3</v>
      </c>
      <c r="N229" s="185">
        <f xml:space="preserve"> N$227 + N$228</f>
        <v>1.4604445839992753E-2</v>
      </c>
      <c r="O229" s="185">
        <f t="shared" si="154"/>
        <v>6.6067488261306206E-2</v>
      </c>
      <c r="P229" s="185">
        <f t="shared" si="154"/>
        <v>7.6365018991495212E-2</v>
      </c>
      <c r="Q229" s="185">
        <f t="shared" si="154"/>
        <v>5.4449898747123027E-2</v>
      </c>
      <c r="R229" s="185">
        <f t="shared" si="154"/>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479</v>
      </c>
      <c r="J240" s="172">
        <f t="shared" ref="J240:L240" si="155">SUM(J238:J239)</f>
        <v>0</v>
      </c>
      <c r="K240" s="172">
        <f t="shared" si="155"/>
        <v>0</v>
      </c>
      <c r="L240" s="172">
        <f t="shared" si="155"/>
        <v>3.1522140708501789E-2</v>
      </c>
      <c r="M240" s="172">
        <f>SUM(M238:M239)</f>
        <v>2.4258091513662761E-2</v>
      </c>
      <c r="N240" s="172">
        <f t="shared" ref="N240:R240" si="156">SUM(N238:N239)</f>
        <v>2.9587648685595269E-2</v>
      </c>
      <c r="O240" s="172">
        <f t="shared" si="156"/>
        <v>3.150368327076003E-2</v>
      </c>
      <c r="P240" s="172">
        <f t="shared" si="156"/>
        <v>3.2000000000000695E-2</v>
      </c>
      <c r="Q240" s="172">
        <f t="shared" si="156"/>
        <v>3.1999999999999806E-2</v>
      </c>
      <c r="R240" s="172">
        <f t="shared" si="156"/>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7" xml:space="preserve"> E$258</f>
        <v>2019-20 wedge Nominal RCV balance BEG</v>
      </c>
      <c r="F242" s="244">
        <f xml:space="preserve"> F$258</f>
        <v>0</v>
      </c>
      <c r="G242" s="244" t="str">
        <f t="shared" si="157"/>
        <v>£m</v>
      </c>
      <c r="H242" s="244">
        <f t="shared" si="157"/>
        <v>0</v>
      </c>
      <c r="I242" s="244">
        <f t="shared" si="157"/>
        <v>0</v>
      </c>
      <c r="J242" s="244">
        <f t="shared" si="157"/>
        <v>0</v>
      </c>
      <c r="K242" s="244">
        <f t="shared" si="157"/>
        <v>0</v>
      </c>
      <c r="L242" s="244">
        <f t="shared" si="157"/>
        <v>0</v>
      </c>
      <c r="M242" s="244">
        <f t="shared" si="157"/>
        <v>1.5853798585801878E-2</v>
      </c>
      <c r="N242" s="244">
        <f t="shared" si="157"/>
        <v>1.6238381482735438E-2</v>
      </c>
      <c r="O242" s="244">
        <f t="shared" si="157"/>
        <v>1.671883700926929E-2</v>
      </c>
      <c r="P242" s="244">
        <f t="shared" si="157"/>
        <v>1.724554195506477E-2</v>
      </c>
      <c r="Q242" s="244">
        <f t="shared" si="157"/>
        <v>1.7797399297626856E-2</v>
      </c>
      <c r="R242" s="244">
        <f t="shared" si="157"/>
        <v>1.836691607515091E-2</v>
      </c>
    </row>
    <row r="243" spans="1:16383" x14ac:dyDescent="0.25">
      <c r="E243" s="178" t="str">
        <f t="shared" ref="E243:R243" si="158" xml:space="preserve"> E$240</f>
        <v>True up Indexation percentage</v>
      </c>
      <c r="F243" s="178">
        <f t="shared" si="158"/>
        <v>0</v>
      </c>
      <c r="G243" s="178">
        <f t="shared" si="158"/>
        <v>0</v>
      </c>
      <c r="H243" s="178">
        <f t="shared" si="158"/>
        <v>0</v>
      </c>
      <c r="I243" s="178">
        <f t="shared" si="158"/>
        <v>0</v>
      </c>
      <c r="J243" s="178">
        <f t="shared" si="158"/>
        <v>0</v>
      </c>
      <c r="K243" s="178">
        <f t="shared" si="158"/>
        <v>0</v>
      </c>
      <c r="L243" s="178">
        <f t="shared" si="158"/>
        <v>3.1522140708501789E-2</v>
      </c>
      <c r="M243" s="178">
        <f t="shared" si="158"/>
        <v>2.4258091513662761E-2</v>
      </c>
      <c r="N243" s="178">
        <f t="shared" si="158"/>
        <v>2.9587648685595269E-2</v>
      </c>
      <c r="O243" s="178">
        <f t="shared" si="158"/>
        <v>3.150368327076003E-2</v>
      </c>
      <c r="P243" s="178">
        <f t="shared" si="158"/>
        <v>3.2000000000000695E-2</v>
      </c>
      <c r="Q243" s="178">
        <f t="shared" si="158"/>
        <v>3.1999999999999806E-2</v>
      </c>
      <c r="R243" s="178">
        <f t="shared" si="158"/>
        <v>2.9999999999999805E-2</v>
      </c>
    </row>
    <row r="244" spans="1:16383" x14ac:dyDescent="0.25">
      <c r="A244" s="49"/>
      <c r="C244" s="267"/>
      <c r="D244" s="57"/>
      <c r="E244" s="7" t="s">
        <v>510</v>
      </c>
      <c r="G244" s="92" t="s">
        <v>238</v>
      </c>
      <c r="J244" s="321">
        <f>J242*J243</f>
        <v>0</v>
      </c>
      <c r="K244" s="321">
        <f t="shared" ref="K244:L244" si="159">K242*K243</f>
        <v>0</v>
      </c>
      <c r="L244" s="321">
        <f t="shared" si="159"/>
        <v>0</v>
      </c>
      <c r="M244" s="321">
        <f>M242*M243</f>
        <v>3.8458289693355923E-4</v>
      </c>
      <c r="N244" s="321">
        <f t="shared" ref="N244:R244" si="160">N242*N243</f>
        <v>4.8045552653385175E-4</v>
      </c>
      <c r="O244" s="321">
        <f t="shared" si="160"/>
        <v>5.2670494579548058E-4</v>
      </c>
      <c r="P244" s="321">
        <f t="shared" si="160"/>
        <v>5.518573425620846E-4</v>
      </c>
      <c r="Q244" s="321">
        <f t="shared" si="160"/>
        <v>5.6951677752405594E-4</v>
      </c>
      <c r="R244" s="321">
        <f t="shared" si="160"/>
        <v>5.510074822545237E-4</v>
      </c>
    </row>
    <row r="245" spans="1:16383" x14ac:dyDescent="0.25"/>
    <row r="246" spans="1:16383" s="205" customFormat="1" x14ac:dyDescent="0.25">
      <c r="A246" s="201"/>
      <c r="B246" s="202"/>
      <c r="C246" s="203"/>
      <c r="D246" s="204"/>
      <c r="E246" s="37" t="str">
        <f xml:space="preserve"> InpR!E$98</f>
        <v>Run-off rate - CPI(H) + RPI wedge - active - WR</v>
      </c>
      <c r="F246" s="205">
        <f xml:space="preserve"> InpR!F$98</f>
        <v>0</v>
      </c>
      <c r="G246" s="223" t="str">
        <f xml:space="preserve"> InpR!G$98</f>
        <v>%</v>
      </c>
      <c r="H246" s="205">
        <f xml:space="preserve"> InpR!H$98</f>
        <v>0</v>
      </c>
      <c r="I246" s="205">
        <f xml:space="preserve"> InpR!I$98</f>
        <v>0</v>
      </c>
      <c r="J246" s="205">
        <f xml:space="preserve"> InpR!J$98</f>
        <v>0</v>
      </c>
      <c r="K246" s="205">
        <f xml:space="preserve"> InpR!K$98</f>
        <v>0</v>
      </c>
      <c r="L246" s="205">
        <f xml:space="preserve"> InpR!L$98</f>
        <v>0</v>
      </c>
      <c r="M246" s="205">
        <f xml:space="preserve"> InpR!M$98</f>
        <v>3.94773964521715E-2</v>
      </c>
      <c r="N246" s="205">
        <f xml:space="preserve"> InpR!N$98</f>
        <v>3.94773964521715E-2</v>
      </c>
      <c r="O246" s="205">
        <f xml:space="preserve"> InpR!O$98</f>
        <v>3.94773964521715E-2</v>
      </c>
      <c r="P246" s="205">
        <f xml:space="preserve"> InpR!P$98</f>
        <v>3.94773964521715E-2</v>
      </c>
      <c r="Q246" s="205">
        <f xml:space="preserve"> InpR!Q$98</f>
        <v>3.94773964521715E-2</v>
      </c>
      <c r="R246" s="205">
        <f xml:space="preserve"> InpR!R$98</f>
        <v>0</v>
      </c>
    </row>
    <row r="247" spans="1:16383" s="161" customFormat="1" x14ac:dyDescent="0.25">
      <c r="A247" s="157"/>
      <c r="B247" s="158"/>
      <c r="C247" s="159"/>
      <c r="D247" s="160"/>
      <c r="E247" s="161" t="str">
        <f t="shared" ref="E247:R247" si="161" xml:space="preserve"> E$258</f>
        <v>2019-20 wedge Nominal RCV balance BEG</v>
      </c>
      <c r="F247" s="244">
        <f t="shared" si="161"/>
        <v>0</v>
      </c>
      <c r="G247" s="244" t="str">
        <f t="shared" si="161"/>
        <v>£m</v>
      </c>
      <c r="H247" s="244">
        <f t="shared" si="161"/>
        <v>0</v>
      </c>
      <c r="I247" s="244">
        <f t="shared" si="161"/>
        <v>0</v>
      </c>
      <c r="J247" s="244">
        <f t="shared" si="161"/>
        <v>0</v>
      </c>
      <c r="K247" s="244">
        <f t="shared" si="161"/>
        <v>0</v>
      </c>
      <c r="L247" s="244">
        <f t="shared" si="161"/>
        <v>0</v>
      </c>
      <c r="M247" s="244">
        <f t="shared" si="161"/>
        <v>1.5853798585801878E-2</v>
      </c>
      <c r="N247" s="244">
        <f t="shared" si="161"/>
        <v>1.6238381482735438E-2</v>
      </c>
      <c r="O247" s="244">
        <f t="shared" si="161"/>
        <v>1.671883700926929E-2</v>
      </c>
      <c r="P247" s="244">
        <f t="shared" si="161"/>
        <v>1.724554195506477E-2</v>
      </c>
      <c r="Q247" s="244">
        <f t="shared" si="161"/>
        <v>1.7797399297626856E-2</v>
      </c>
      <c r="R247" s="244">
        <f t="shared" si="161"/>
        <v>1.836691607515091E-2</v>
      </c>
    </row>
    <row r="248" spans="1:16383" s="91" customFormat="1" x14ac:dyDescent="0.25">
      <c r="A248" s="170"/>
      <c r="B248" s="165"/>
      <c r="C248" s="265"/>
      <c r="D248" s="171"/>
      <c r="E248" s="7" t="str">
        <f t="shared" ref="E248:R248" si="162" xml:space="preserve"> E$244</f>
        <v>2019-20 wedge RCV indexation</v>
      </c>
      <c r="F248" s="245">
        <f t="shared" si="162"/>
        <v>0</v>
      </c>
      <c r="G248" s="162" t="str">
        <f t="shared" si="162"/>
        <v>£m</v>
      </c>
      <c r="H248" s="245">
        <f t="shared" si="162"/>
        <v>0</v>
      </c>
      <c r="I248" s="245">
        <f t="shared" si="162"/>
        <v>0</v>
      </c>
      <c r="J248" s="245">
        <f t="shared" si="162"/>
        <v>0</v>
      </c>
      <c r="K248" s="245">
        <f t="shared" si="162"/>
        <v>0</v>
      </c>
      <c r="L248" s="245">
        <f t="shared" si="162"/>
        <v>0</v>
      </c>
      <c r="M248" s="245">
        <f t="shared" si="162"/>
        <v>3.8458289693355923E-4</v>
      </c>
      <c r="N248" s="245">
        <f t="shared" si="162"/>
        <v>4.8045552653385175E-4</v>
      </c>
      <c r="O248" s="245">
        <f t="shared" si="162"/>
        <v>5.2670494579548058E-4</v>
      </c>
      <c r="P248" s="245">
        <f t="shared" si="162"/>
        <v>5.518573425620846E-4</v>
      </c>
      <c r="Q248" s="245">
        <f t="shared" si="162"/>
        <v>5.6951677752405594E-4</v>
      </c>
      <c r="R248" s="245">
        <f t="shared" si="162"/>
        <v>5.510074822545237E-4</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3" xml:space="preserve"> (J247+J248) * J246</f>
        <v>0</v>
      </c>
      <c r="K249" s="321">
        <f t="shared" si="163"/>
        <v>0</v>
      </c>
      <c r="L249" s="321">
        <f t="shared" si="163"/>
        <v>0</v>
      </c>
      <c r="M249" s="321">
        <f xml:space="preserve"> (M247+M248) * M246</f>
        <v>6.4104902353554741E-4</v>
      </c>
      <c r="N249" s="321">
        <f t="shared" si="163"/>
        <v>6.6001615683416103E-4</v>
      </c>
      <c r="O249" s="321">
        <f t="shared" si="163"/>
        <v>6.8080909679264865E-4</v>
      </c>
      <c r="P249" s="321">
        <f t="shared" si="163"/>
        <v>7.02594987890014E-4</v>
      </c>
      <c r="Q249" s="321">
        <f t="shared" si="163"/>
        <v>7.2507802750249419E-4</v>
      </c>
      <c r="R249" s="321">
        <f t="shared" si="163"/>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F250" s="138"/>
      <c r="G250" s="138"/>
      <c r="H250" s="138"/>
    </row>
    <row r="251" spans="1:16383" s="200" customFormat="1" x14ac:dyDescent="0.25">
      <c r="A251" s="196"/>
      <c r="B251" s="197"/>
      <c r="C251" s="198"/>
      <c r="D251" s="199"/>
      <c r="E251" s="200" t="str">
        <f>InpR!$E$119</f>
        <v>2019-20 RPI-CPIH wedge adjustment at 2017-18 FYA CPIH prices - WR</v>
      </c>
      <c r="F251" s="249">
        <f>InpR!$F$119</f>
        <v>1.50857632274288E-2</v>
      </c>
      <c r="G251" s="200" t="str">
        <f>InpR!$G$119</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246" t="s">
        <v>513</v>
      </c>
      <c r="F255" s="246">
        <f xml:space="preserve"> $F$251 * $F$254</f>
        <v>1.5853798585801878E-2</v>
      </c>
      <c r="G255" s="246"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4" xml:space="preserve"> I261</f>
        <v>0</v>
      </c>
      <c r="K258" s="241">
        <f t="shared" si="164"/>
        <v>0</v>
      </c>
      <c r="L258" s="241">
        <f t="shared" si="164"/>
        <v>0</v>
      </c>
      <c r="M258" s="241">
        <f t="shared" si="164"/>
        <v>1.5853798585801878E-2</v>
      </c>
      <c r="N258" s="241">
        <f t="shared" si="164"/>
        <v>1.6238381482735438E-2</v>
      </c>
      <c r="O258" s="241">
        <f t="shared" si="164"/>
        <v>1.671883700926929E-2</v>
      </c>
      <c r="P258" s="241">
        <f t="shared" si="164"/>
        <v>1.724554195506477E-2</v>
      </c>
      <c r="Q258" s="241">
        <f t="shared" si="164"/>
        <v>1.7797399297626856E-2</v>
      </c>
      <c r="R258" s="241">
        <f t="shared" si="164"/>
        <v>1.836691607515091E-2</v>
      </c>
    </row>
    <row r="259" spans="1:26" x14ac:dyDescent="0.25">
      <c r="A259" s="47"/>
      <c r="B259" s="51"/>
      <c r="C259" s="111"/>
      <c r="D259" s="56" t="s">
        <v>445</v>
      </c>
      <c r="E259" s="7" t="str">
        <f t="shared" ref="E259:R259" si="165" xml:space="preserve"> E$244</f>
        <v>2019-20 wedge RCV indexation</v>
      </c>
      <c r="F259" s="241">
        <f t="shared" si="165"/>
        <v>0</v>
      </c>
      <c r="G259" s="241" t="str">
        <f t="shared" si="165"/>
        <v>£m</v>
      </c>
      <c r="H259" s="241">
        <f t="shared" si="165"/>
        <v>0</v>
      </c>
      <c r="I259" s="241">
        <f t="shared" si="165"/>
        <v>0</v>
      </c>
      <c r="J259" s="241">
        <f t="shared" si="165"/>
        <v>0</v>
      </c>
      <c r="K259" s="241">
        <f t="shared" si="165"/>
        <v>0</v>
      </c>
      <c r="L259" s="241">
        <f t="shared" si="165"/>
        <v>0</v>
      </c>
      <c r="M259" s="241">
        <f t="shared" si="165"/>
        <v>3.8458289693355923E-4</v>
      </c>
      <c r="N259" s="241">
        <f t="shared" si="165"/>
        <v>4.8045552653385175E-4</v>
      </c>
      <c r="O259" s="241">
        <f t="shared" si="165"/>
        <v>5.2670494579548058E-4</v>
      </c>
      <c r="P259" s="241">
        <f t="shared" si="165"/>
        <v>5.518573425620846E-4</v>
      </c>
      <c r="Q259" s="241">
        <f t="shared" si="165"/>
        <v>5.6951677752405594E-4</v>
      </c>
      <c r="R259" s="241">
        <f t="shared" si="165"/>
        <v>5.510074822545237E-4</v>
      </c>
    </row>
    <row r="260" spans="1:26" x14ac:dyDescent="0.25">
      <c r="A260" s="365"/>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 si="166" xml:space="preserve"> IF( J256 = 1, $F251, J258 + J259 - J260)</f>
        <v>0</v>
      </c>
      <c r="K261" s="242">
        <f t="shared" ref="K261" si="167" xml:space="preserve"> IF( K256 = 1, $F255, K258 + K259 - K260)</f>
        <v>0</v>
      </c>
      <c r="L261" s="242">
        <f xml:space="preserve"> IF( L256 = 1, $F255, L258 + L259 - L260)</f>
        <v>1.5853798585801878E-2</v>
      </c>
      <c r="M261" s="242">
        <f t="shared" ref="M261:R261" si="168" xml:space="preserve"> IF( M256 = 1, $F255, M258 + M259 - M260)</f>
        <v>1.6238381482735438E-2</v>
      </c>
      <c r="N261" s="242">
        <f t="shared" si="168"/>
        <v>1.671883700926929E-2</v>
      </c>
      <c r="O261" s="242">
        <f t="shared" si="168"/>
        <v>1.724554195506477E-2</v>
      </c>
      <c r="P261" s="242">
        <f t="shared" si="168"/>
        <v>1.7797399297626856E-2</v>
      </c>
      <c r="Q261" s="242">
        <f t="shared" si="168"/>
        <v>1.836691607515091E-2</v>
      </c>
      <c r="R261" s="242">
        <f t="shared" si="168"/>
        <v>1.8917923557405434E-2</v>
      </c>
    </row>
    <row r="262" spans="1:26" x14ac:dyDescent="0.25"/>
    <row r="263" spans="1:26" s="92" customFormat="1" x14ac:dyDescent="0.25">
      <c r="A263" s="164"/>
      <c r="B263" s="165"/>
      <c r="C263" s="166"/>
      <c r="D263" s="167"/>
      <c r="E263" s="179" t="str">
        <f t="shared" ref="E263:R263" si="169" xml:space="preserve"> E$258</f>
        <v>2019-20 wedge Nominal RCV balance BEG</v>
      </c>
      <c r="F263" s="185">
        <f t="shared" si="169"/>
        <v>0</v>
      </c>
      <c r="G263" s="185" t="str">
        <f t="shared" si="169"/>
        <v>£m</v>
      </c>
      <c r="H263" s="185">
        <f t="shared" si="169"/>
        <v>0</v>
      </c>
      <c r="I263" s="185">
        <f t="shared" si="169"/>
        <v>0</v>
      </c>
      <c r="J263" s="185">
        <f t="shared" si="169"/>
        <v>0</v>
      </c>
      <c r="K263" s="185">
        <f t="shared" si="169"/>
        <v>0</v>
      </c>
      <c r="L263" s="185">
        <f t="shared" si="169"/>
        <v>0</v>
      </c>
      <c r="M263" s="185">
        <f t="shared" si="169"/>
        <v>1.5853798585801878E-2</v>
      </c>
      <c r="N263" s="185">
        <f t="shared" si="169"/>
        <v>1.6238381482735438E-2</v>
      </c>
      <c r="O263" s="185">
        <f t="shared" si="169"/>
        <v>1.671883700926929E-2</v>
      </c>
      <c r="P263" s="185">
        <f t="shared" si="169"/>
        <v>1.724554195506477E-2</v>
      </c>
      <c r="Q263" s="185">
        <f t="shared" si="169"/>
        <v>1.7797399297626856E-2</v>
      </c>
      <c r="R263" s="185">
        <f t="shared" si="169"/>
        <v>1.836691607515091E-2</v>
      </c>
    </row>
    <row r="264" spans="1:26" s="91" customFormat="1" x14ac:dyDescent="0.25">
      <c r="A264" s="170"/>
      <c r="B264" s="165"/>
      <c r="C264" s="166"/>
      <c r="D264" s="171"/>
      <c r="E264" s="179" t="str">
        <f t="shared" ref="E264:R264" si="170" xml:space="preserve"> E$244</f>
        <v>2019-20 wedge RCV indexation</v>
      </c>
      <c r="F264" s="184">
        <f t="shared" si="170"/>
        <v>0</v>
      </c>
      <c r="G264" s="185" t="str">
        <f t="shared" si="170"/>
        <v>£m</v>
      </c>
      <c r="H264" s="184">
        <f t="shared" si="170"/>
        <v>0</v>
      </c>
      <c r="I264" s="184">
        <f t="shared" si="170"/>
        <v>0</v>
      </c>
      <c r="J264" s="184">
        <f t="shared" si="170"/>
        <v>0</v>
      </c>
      <c r="K264" s="184">
        <f t="shared" si="170"/>
        <v>0</v>
      </c>
      <c r="L264" s="184">
        <f t="shared" si="170"/>
        <v>0</v>
      </c>
      <c r="M264" s="184">
        <f t="shared" si="170"/>
        <v>3.8458289693355923E-4</v>
      </c>
      <c r="N264" s="184">
        <f t="shared" si="170"/>
        <v>4.8045552653385175E-4</v>
      </c>
      <c r="O264" s="184">
        <f t="shared" si="170"/>
        <v>5.2670494579548058E-4</v>
      </c>
      <c r="P264" s="184">
        <f t="shared" si="170"/>
        <v>5.518573425620846E-4</v>
      </c>
      <c r="Q264" s="184">
        <f t="shared" si="170"/>
        <v>5.6951677752405594E-4</v>
      </c>
      <c r="R264" s="184">
        <f t="shared" si="170"/>
        <v>5.510074822545237E-4</v>
      </c>
      <c r="S264" s="92"/>
      <c r="T264" s="92"/>
      <c r="U264" s="92"/>
      <c r="V264" s="92"/>
      <c r="W264" s="92"/>
      <c r="X264" s="92"/>
      <c r="Y264" s="92"/>
      <c r="Z264" s="92"/>
    </row>
    <row r="265" spans="1:26" s="92" customFormat="1" x14ac:dyDescent="0.25">
      <c r="A265" s="164"/>
      <c r="B265" s="165"/>
      <c r="C265" s="166"/>
      <c r="D265" s="167"/>
      <c r="E265" s="179" t="str">
        <f t="shared" ref="E265:R265" si="171" xml:space="preserve"> E$261</f>
        <v>2019-20 wedge Nominal RCV balance END</v>
      </c>
      <c r="F265" s="185">
        <f t="shared" si="171"/>
        <v>0</v>
      </c>
      <c r="G265" s="185" t="str">
        <f t="shared" si="171"/>
        <v>£m</v>
      </c>
      <c r="H265" s="185">
        <f t="shared" si="171"/>
        <v>0</v>
      </c>
      <c r="I265" s="185">
        <f t="shared" si="171"/>
        <v>0</v>
      </c>
      <c r="J265" s="185">
        <f t="shared" si="171"/>
        <v>0</v>
      </c>
      <c r="K265" s="185">
        <f t="shared" si="171"/>
        <v>0</v>
      </c>
      <c r="L265" s="185">
        <f t="shared" si="171"/>
        <v>1.5853798585801878E-2</v>
      </c>
      <c r="M265" s="185">
        <f t="shared" si="171"/>
        <v>1.6238381482735438E-2</v>
      </c>
      <c r="N265" s="185">
        <f t="shared" si="171"/>
        <v>1.671883700926929E-2</v>
      </c>
      <c r="O265" s="185">
        <f t="shared" si="171"/>
        <v>1.724554195506477E-2</v>
      </c>
      <c r="P265" s="185">
        <f t="shared" si="171"/>
        <v>1.7797399297626856E-2</v>
      </c>
      <c r="Q265" s="185">
        <f t="shared" si="171"/>
        <v>1.836691607515091E-2</v>
      </c>
      <c r="R265" s="185">
        <f t="shared" si="171"/>
        <v>1.8917923557405434E-2</v>
      </c>
    </row>
    <row r="266" spans="1:26" x14ac:dyDescent="0.25">
      <c r="A266" s="49"/>
      <c r="C266" s="267"/>
      <c r="D266" s="57"/>
      <c r="E266" s="7" t="s">
        <v>517</v>
      </c>
      <c r="F266" s="243"/>
      <c r="G266" s="185" t="s">
        <v>238</v>
      </c>
      <c r="H266" s="243"/>
      <c r="I266" s="243"/>
      <c r="J266" s="185">
        <f t="shared" ref="J266:L266" si="172" xml:space="preserve"> ( (J263+J264) + J265) / 2</f>
        <v>0</v>
      </c>
      <c r="K266" s="185">
        <f t="shared" si="172"/>
        <v>0</v>
      </c>
      <c r="L266" s="185">
        <f t="shared" si="172"/>
        <v>7.926899292900939E-3</v>
      </c>
      <c r="M266" s="185">
        <f xml:space="preserve"> ( (M263+M264) + M265) / 2</f>
        <v>1.6238381482735438E-2</v>
      </c>
      <c r="N266" s="185">
        <f t="shared" ref="N266:R266" si="173" xml:space="preserve"> ( (N263+N264) + N265) / 2</f>
        <v>1.671883700926929E-2</v>
      </c>
      <c r="O266" s="185">
        <f t="shared" si="173"/>
        <v>1.724554195506477E-2</v>
      </c>
      <c r="P266" s="185">
        <f t="shared" si="173"/>
        <v>1.7797399297626856E-2</v>
      </c>
      <c r="Q266" s="185">
        <f t="shared" si="173"/>
        <v>1.836691607515091E-2</v>
      </c>
      <c r="R266" s="185">
        <f t="shared" si="173"/>
        <v>1.8917923557405434E-2</v>
      </c>
    </row>
    <row r="267" spans="1:26" x14ac:dyDescent="0.25"/>
    <row r="268" spans="1:26" s="205" customFormat="1" x14ac:dyDescent="0.25">
      <c r="A268" s="201"/>
      <c r="B268" s="202"/>
      <c r="C268" s="203"/>
      <c r="D268" s="204"/>
      <c r="E268" s="205" t="str">
        <f xml:space="preserve"> InpR!E$105</f>
        <v>WACC on RCV - CPI(H) + RPI wedge bf and additions - WR</v>
      </c>
      <c r="F268" s="205">
        <f xml:space="preserve"> InpR!F$105</f>
        <v>0</v>
      </c>
      <c r="G268" s="223" t="str">
        <f xml:space="preserve"> InpR!G$105</f>
        <v>%</v>
      </c>
      <c r="H268" s="205">
        <f xml:space="preserve"> InpR!H$105</f>
        <v>0</v>
      </c>
      <c r="I268" s="205">
        <f xml:space="preserve"> InpR!I$105</f>
        <v>0</v>
      </c>
      <c r="J268" s="205">
        <f xml:space="preserve"> InpR!J$105</f>
        <v>0</v>
      </c>
      <c r="K268" s="205">
        <f xml:space="preserve"> InpR!K$105</f>
        <v>0</v>
      </c>
      <c r="L268" s="205">
        <f xml:space="preserve"> InpR!L$105</f>
        <v>0</v>
      </c>
      <c r="M268" s="205">
        <f xml:space="preserve"> InpR!M$105</f>
        <v>1.920357193840716E-2</v>
      </c>
      <c r="N268" s="205">
        <f xml:space="preserve"> InpR!N$105</f>
        <v>1.920357193840716E-2</v>
      </c>
      <c r="O268" s="205">
        <f xml:space="preserve"> InpR!O$105</f>
        <v>1.920357193840716E-2</v>
      </c>
      <c r="P268" s="205">
        <f xml:space="preserve"> InpR!P$105</f>
        <v>1.920357193840716E-2</v>
      </c>
      <c r="Q268" s="205">
        <f xml:space="preserve"> InpR!Q$105</f>
        <v>1.920357193840716E-2</v>
      </c>
      <c r="R268" s="205">
        <f xml:space="preserve"> InpR!R$105</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4" xml:space="preserve"> E$266</f>
        <v>2019-20 wedge Nominal RCV average balance</v>
      </c>
      <c r="F270" s="184">
        <f t="shared" si="174"/>
        <v>0</v>
      </c>
      <c r="G270" s="184" t="str">
        <f t="shared" si="174"/>
        <v>£m</v>
      </c>
      <c r="H270" s="245">
        <f t="shared" si="174"/>
        <v>0</v>
      </c>
      <c r="I270" s="184">
        <f t="shared" si="174"/>
        <v>0</v>
      </c>
      <c r="J270" s="245">
        <f t="shared" si="174"/>
        <v>0</v>
      </c>
      <c r="K270" s="245">
        <f t="shared" si="174"/>
        <v>0</v>
      </c>
      <c r="L270" s="245">
        <f t="shared" si="174"/>
        <v>7.926899292900939E-3</v>
      </c>
      <c r="M270" s="245">
        <f t="shared" si="174"/>
        <v>1.6238381482735438E-2</v>
      </c>
      <c r="N270" s="245">
        <f t="shared" si="174"/>
        <v>1.671883700926929E-2</v>
      </c>
      <c r="O270" s="245">
        <f t="shared" si="174"/>
        <v>1.724554195506477E-2</v>
      </c>
      <c r="P270" s="245">
        <f t="shared" si="174"/>
        <v>1.7797399297626856E-2</v>
      </c>
      <c r="Q270" s="245">
        <f t="shared" si="174"/>
        <v>1.836691607515091E-2</v>
      </c>
      <c r="R270" s="245">
        <f t="shared" si="174"/>
        <v>1.8917923557405434E-2</v>
      </c>
    </row>
    <row r="271" spans="1:26" x14ac:dyDescent="0.25">
      <c r="C271" s="267"/>
      <c r="E271" s="7" t="s">
        <v>518</v>
      </c>
      <c r="F271" s="243"/>
      <c r="G271" s="184" t="s">
        <v>238</v>
      </c>
      <c r="H271" s="243"/>
      <c r="I271" s="243"/>
      <c r="J271" s="245">
        <f t="shared" ref="J271:K271" si="175">J268*J269*J270</f>
        <v>0</v>
      </c>
      <c r="K271" s="245">
        <f t="shared" si="175"/>
        <v>0</v>
      </c>
      <c r="L271" s="245">
        <f>L268*L269*L270</f>
        <v>0</v>
      </c>
      <c r="M271" s="245">
        <f t="shared" ref="M271:R271" si="176">M268*M269*M270</f>
        <v>3.1183492696700872E-4</v>
      </c>
      <c r="N271" s="245">
        <f t="shared" si="176"/>
        <v>3.2106138923400682E-4</v>
      </c>
      <c r="O271" s="245">
        <f t="shared" si="176"/>
        <v>3.311760055509052E-4</v>
      </c>
      <c r="P271" s="245">
        <f t="shared" si="176"/>
        <v>3.4177363772853439E-4</v>
      </c>
      <c r="Q271" s="245">
        <f t="shared" si="176"/>
        <v>3.5271039413584739E-4</v>
      </c>
      <c r="R271" s="245">
        <f t="shared" si="176"/>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7" xml:space="preserve"> F$249</f>
        <v>0</v>
      </c>
      <c r="G273" s="184" t="str">
        <f t="shared" si="177"/>
        <v>£m</v>
      </c>
      <c r="H273" s="184">
        <f t="shared" si="177"/>
        <v>0</v>
      </c>
      <c r="I273" s="184">
        <f t="shared" si="177"/>
        <v>0</v>
      </c>
      <c r="J273" s="184">
        <f t="shared" si="177"/>
        <v>0</v>
      </c>
      <c r="K273" s="184">
        <f t="shared" si="177"/>
        <v>0</v>
      </c>
      <c r="L273" s="184">
        <f t="shared" si="177"/>
        <v>0</v>
      </c>
      <c r="M273" s="184">
        <f t="shared" si="177"/>
        <v>6.4104902353554741E-4</v>
      </c>
      <c r="N273" s="184">
        <f t="shared" si="177"/>
        <v>6.6001615683416103E-4</v>
      </c>
      <c r="O273" s="184">
        <f t="shared" si="177"/>
        <v>6.8080909679264865E-4</v>
      </c>
      <c r="P273" s="184">
        <f t="shared" si="177"/>
        <v>7.02594987890014E-4</v>
      </c>
      <c r="Q273" s="184">
        <f t="shared" si="177"/>
        <v>7.2507802750249419E-4</v>
      </c>
      <c r="R273" s="184">
        <f t="shared" si="177"/>
        <v>0</v>
      </c>
      <c r="S273" s="92"/>
      <c r="T273" s="92"/>
      <c r="U273" s="92"/>
      <c r="V273" s="92"/>
      <c r="W273" s="92"/>
      <c r="X273" s="92"/>
      <c r="Y273" s="92"/>
      <c r="Z273" s="92"/>
    </row>
    <row r="274" spans="1:26" x14ac:dyDescent="0.25">
      <c r="E274" s="7" t="str">
        <f xml:space="preserve"> E$271</f>
        <v>2019-20 wedge Nominal return</v>
      </c>
      <c r="F274" s="184">
        <f t="shared" ref="F274:R274" si="178" xml:space="preserve"> F$271</f>
        <v>0</v>
      </c>
      <c r="G274" s="184" t="str">
        <f t="shared" si="178"/>
        <v>£m</v>
      </c>
      <c r="H274" s="184">
        <f t="shared" si="178"/>
        <v>0</v>
      </c>
      <c r="I274" s="184">
        <f t="shared" si="178"/>
        <v>0</v>
      </c>
      <c r="J274" s="184">
        <f t="shared" si="178"/>
        <v>0</v>
      </c>
      <c r="K274" s="184">
        <f t="shared" si="178"/>
        <v>0</v>
      </c>
      <c r="L274" s="184">
        <f t="shared" si="178"/>
        <v>0</v>
      </c>
      <c r="M274" s="184">
        <f t="shared" si="178"/>
        <v>3.1183492696700872E-4</v>
      </c>
      <c r="N274" s="184">
        <f t="shared" si="178"/>
        <v>3.2106138923400682E-4</v>
      </c>
      <c r="O274" s="184">
        <f t="shared" si="178"/>
        <v>3.311760055509052E-4</v>
      </c>
      <c r="P274" s="184">
        <f t="shared" si="178"/>
        <v>3.4177363772853439E-4</v>
      </c>
      <c r="Q274" s="184">
        <f t="shared" si="178"/>
        <v>3.5271039413584739E-4</v>
      </c>
      <c r="R274" s="184">
        <f t="shared" si="178"/>
        <v>0</v>
      </c>
    </row>
    <row r="275" spans="1:26" x14ac:dyDescent="0.25">
      <c r="C275" s="267"/>
      <c r="E275" s="7" t="s">
        <v>519</v>
      </c>
      <c r="F275" s="243"/>
      <c r="G275" s="184" t="str">
        <f t="shared" ref="G275" si="179">G$273</f>
        <v>£m</v>
      </c>
      <c r="H275" s="243">
        <f>SUM(J275:R275)</f>
        <v>5.0681036461711678E-3</v>
      </c>
      <c r="I275" s="243"/>
      <c r="J275" s="243">
        <f t="shared" ref="J275:R275" si="180">SUM(J273:J274)</f>
        <v>0</v>
      </c>
      <c r="K275" s="243">
        <f t="shared" si="180"/>
        <v>0</v>
      </c>
      <c r="L275" s="243">
        <f>SUM(L273:L274)</f>
        <v>0</v>
      </c>
      <c r="M275" s="243">
        <f>SUM(M273:M274)</f>
        <v>9.5288395050255608E-4</v>
      </c>
      <c r="N275" s="243">
        <f t="shared" si="180"/>
        <v>9.810775460681678E-4</v>
      </c>
      <c r="O275" s="243">
        <f t="shared" si="180"/>
        <v>1.0119851023435537E-3</v>
      </c>
      <c r="P275" s="243">
        <f t="shared" si="180"/>
        <v>1.0443686256185484E-3</v>
      </c>
      <c r="Q275" s="243">
        <f t="shared" si="180"/>
        <v>1.0777884216383415E-3</v>
      </c>
      <c r="R275" s="243">
        <f t="shared" si="180"/>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81">F$249</f>
        <v>0</v>
      </c>
      <c r="G279" s="185" t="str">
        <f t="shared" si="181"/>
        <v>£m</v>
      </c>
      <c r="H279" s="185">
        <f t="shared" si="181"/>
        <v>0</v>
      </c>
      <c r="I279" s="185">
        <f t="shared" si="181"/>
        <v>0</v>
      </c>
      <c r="J279" s="185">
        <f t="shared" si="181"/>
        <v>0</v>
      </c>
      <c r="K279" s="185">
        <f t="shared" si="181"/>
        <v>0</v>
      </c>
      <c r="L279" s="185">
        <f t="shared" si="181"/>
        <v>0</v>
      </c>
      <c r="M279" s="185">
        <f t="shared" si="181"/>
        <v>6.4104902353554741E-4</v>
      </c>
      <c r="N279" s="185">
        <f t="shared" si="181"/>
        <v>6.6001615683416103E-4</v>
      </c>
      <c r="O279" s="185">
        <f t="shared" si="181"/>
        <v>6.8080909679264865E-4</v>
      </c>
      <c r="P279" s="185">
        <f t="shared" si="181"/>
        <v>7.02594987890014E-4</v>
      </c>
      <c r="Q279" s="185">
        <f t="shared" si="181"/>
        <v>7.2507802750249419E-4</v>
      </c>
      <c r="R279" s="185">
        <f t="shared" si="181"/>
        <v>0</v>
      </c>
    </row>
    <row r="280" spans="1:26" s="92" customFormat="1" x14ac:dyDescent="0.25">
      <c r="A280" s="164"/>
      <c r="B280" s="165"/>
      <c r="C280" s="166"/>
      <c r="D280" s="167"/>
      <c r="E280" s="7" t="str">
        <f>E$271</f>
        <v>2019-20 wedge Nominal return</v>
      </c>
      <c r="F280" s="185">
        <f t="shared" ref="F280:R280" si="182">F$271</f>
        <v>0</v>
      </c>
      <c r="G280" s="185" t="str">
        <f t="shared" si="182"/>
        <v>£m</v>
      </c>
      <c r="H280" s="185">
        <f t="shared" si="182"/>
        <v>0</v>
      </c>
      <c r="I280" s="185">
        <f t="shared" si="182"/>
        <v>0</v>
      </c>
      <c r="J280" s="185">
        <f t="shared" si="182"/>
        <v>0</v>
      </c>
      <c r="K280" s="185">
        <f t="shared" si="182"/>
        <v>0</v>
      </c>
      <c r="L280" s="185">
        <f t="shared" si="182"/>
        <v>0</v>
      </c>
      <c r="M280" s="185">
        <f t="shared" si="182"/>
        <v>3.1183492696700872E-4</v>
      </c>
      <c r="N280" s="185">
        <f t="shared" si="182"/>
        <v>3.2106138923400682E-4</v>
      </c>
      <c r="O280" s="185">
        <f t="shared" si="182"/>
        <v>3.311760055509052E-4</v>
      </c>
      <c r="P280" s="185">
        <f t="shared" si="182"/>
        <v>3.4177363772853439E-4</v>
      </c>
      <c r="Q280" s="185">
        <f t="shared" si="182"/>
        <v>3.5271039413584739E-4</v>
      </c>
      <c r="R280" s="185">
        <f t="shared" si="182"/>
        <v>0</v>
      </c>
    </row>
    <row r="281" spans="1:26" s="92" customFormat="1" x14ac:dyDescent="0.25">
      <c r="A281" s="164"/>
      <c r="B281" s="165"/>
      <c r="C281" s="166"/>
      <c r="D281" s="167"/>
      <c r="E281" s="7" t="str">
        <f>E$275</f>
        <v>Total 2019-20 wedge Nominal revenue to company</v>
      </c>
      <c r="F281" s="185">
        <f t="shared" ref="F281:R281" si="183">F$275</f>
        <v>0</v>
      </c>
      <c r="G281" s="185" t="str">
        <f t="shared" si="183"/>
        <v>£m</v>
      </c>
      <c r="H281" s="185">
        <f t="shared" si="183"/>
        <v>5.0681036461711678E-3</v>
      </c>
      <c r="I281" s="185">
        <f t="shared" si="183"/>
        <v>0</v>
      </c>
      <c r="J281" s="185">
        <f t="shared" si="183"/>
        <v>0</v>
      </c>
      <c r="K281" s="185">
        <f t="shared" si="183"/>
        <v>0</v>
      </c>
      <c r="L281" s="185">
        <f t="shared" si="183"/>
        <v>0</v>
      </c>
      <c r="M281" s="185">
        <f t="shared" si="183"/>
        <v>9.5288395050255608E-4</v>
      </c>
      <c r="N281" s="185">
        <f t="shared" si="183"/>
        <v>9.810775460681678E-4</v>
      </c>
      <c r="O281" s="185">
        <f t="shared" si="183"/>
        <v>1.0119851023435537E-3</v>
      </c>
      <c r="P281" s="185">
        <f t="shared" si="183"/>
        <v>1.0443686256185484E-3</v>
      </c>
      <c r="Q281" s="185">
        <f t="shared" si="183"/>
        <v>1.0777884216383415E-3</v>
      </c>
      <c r="R281" s="185">
        <f t="shared" si="183"/>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4">G$273</f>
        <v>£m</v>
      </c>
      <c r="H283" s="243">
        <f>SUM(J283:R283)</f>
        <v>3.0791832711116519E-3</v>
      </c>
      <c r="I283" s="185"/>
      <c r="J283" s="185">
        <f t="shared" ref="J283:R283" si="185" xml:space="preserve"> IF(J$282 = 0, 0, J279 / J$282)</f>
        <v>0</v>
      </c>
      <c r="K283" s="185">
        <f t="shared" si="185"/>
        <v>0</v>
      </c>
      <c r="L283" s="185">
        <f t="shared" si="185"/>
        <v>0</v>
      </c>
      <c r="M283" s="185">
        <f t="shared" si="185"/>
        <v>6.0347560746606792E-4</v>
      </c>
      <c r="N283" s="185">
        <f t="shared" si="185"/>
        <v>6.0912299887585391E-4</v>
      </c>
      <c r="O283" s="185">
        <f t="shared" si="185"/>
        <v>6.1553940386867853E-4</v>
      </c>
      <c r="P283" s="185">
        <f t="shared" si="185"/>
        <v>6.2217107227470763E-4</v>
      </c>
      <c r="Q283" s="185">
        <f t="shared" si="185"/>
        <v>6.288741886263439E-4</v>
      </c>
      <c r="R283" s="185">
        <f t="shared" si="185"/>
        <v>0</v>
      </c>
    </row>
    <row r="284" spans="1:26" s="92" customFormat="1" x14ac:dyDescent="0.25">
      <c r="A284" s="164"/>
      <c r="B284" s="165"/>
      <c r="C284" s="166"/>
      <c r="D284" s="167"/>
      <c r="E284" s="7" t="s">
        <v>521</v>
      </c>
      <c r="F284" s="185"/>
      <c r="G284" s="185" t="str">
        <f t="shared" si="184"/>
        <v>£m</v>
      </c>
      <c r="H284" s="243">
        <f t="shared" ref="H284:H285" si="186">SUM(J284:R284)</f>
        <v>1.4978525123857274E-3</v>
      </c>
      <c r="I284" s="185"/>
      <c r="J284" s="185">
        <f t="shared" ref="J284:R284" si="187" xml:space="preserve"> IF(J$282 = 0, 0, J280 / J$282)</f>
        <v>0</v>
      </c>
      <c r="K284" s="185">
        <f t="shared" si="187"/>
        <v>0</v>
      </c>
      <c r="L284" s="185">
        <f t="shared" si="187"/>
        <v>0</v>
      </c>
      <c r="M284" s="185">
        <f t="shared" si="187"/>
        <v>2.9355753627494183E-4</v>
      </c>
      <c r="N284" s="185">
        <f t="shared" si="187"/>
        <v>2.9630468013316366E-4</v>
      </c>
      <c r="O284" s="185">
        <f t="shared" si="187"/>
        <v>2.9942590660550576E-4</v>
      </c>
      <c r="P284" s="185">
        <f t="shared" si="187"/>
        <v>3.0265184683338101E-4</v>
      </c>
      <c r="Q284" s="185">
        <f t="shared" si="187"/>
        <v>3.0591254253873527E-4</v>
      </c>
      <c r="R284" s="185">
        <f t="shared" si="187"/>
        <v>0</v>
      </c>
    </row>
    <row r="285" spans="1:26" s="92" customFormat="1" x14ac:dyDescent="0.25">
      <c r="A285" s="164"/>
      <c r="B285" s="165"/>
      <c r="C285" s="166"/>
      <c r="D285" s="167"/>
      <c r="E285" s="7" t="s">
        <v>522</v>
      </c>
      <c r="F285" s="185"/>
      <c r="G285" s="185" t="str">
        <f t="shared" si="184"/>
        <v>£m</v>
      </c>
      <c r="H285" s="243">
        <f t="shared" si="186"/>
        <v>4.5770357834973791E-3</v>
      </c>
      <c r="I285" s="185"/>
      <c r="J285" s="185">
        <f t="shared" ref="J285:R285" si="188" xml:space="preserve"> IF(J$282 = 0, 0, J281 / J$282)</f>
        <v>0</v>
      </c>
      <c r="K285" s="185">
        <f t="shared" si="188"/>
        <v>0</v>
      </c>
      <c r="L285" s="185">
        <f t="shared" si="188"/>
        <v>0</v>
      </c>
      <c r="M285" s="185">
        <f t="shared" si="188"/>
        <v>8.9703314374100975E-4</v>
      </c>
      <c r="N285" s="185">
        <f t="shared" si="188"/>
        <v>9.0542767900901751E-4</v>
      </c>
      <c r="O285" s="185">
        <f t="shared" si="188"/>
        <v>9.1496531047418424E-4</v>
      </c>
      <c r="P285" s="185">
        <f t="shared" si="188"/>
        <v>9.2482291910808863E-4</v>
      </c>
      <c r="Q285" s="185">
        <f t="shared" si="188"/>
        <v>9.3478673116507917E-4</v>
      </c>
      <c r="R285" s="185">
        <f t="shared" si="188"/>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InpR!E$112</f>
        <v>WACC real on RCV - CPI(H) bf and additions - WR</v>
      </c>
      <c r="F289" s="205">
        <f>InpR!F$112</f>
        <v>0</v>
      </c>
      <c r="G289" s="223" t="str">
        <f>InpR!G$112</f>
        <v>%</v>
      </c>
      <c r="H289" s="205">
        <f>InpR!H$112</f>
        <v>0</v>
      </c>
      <c r="I289" s="205">
        <f>InpR!I$112</f>
        <v>0</v>
      </c>
      <c r="J289" s="205">
        <f>InpR!J$112</f>
        <v>0</v>
      </c>
      <c r="K289" s="205">
        <f>InpR!K$112</f>
        <v>0</v>
      </c>
      <c r="L289" s="205">
        <f>InpR!L$112</f>
        <v>0</v>
      </c>
      <c r="M289" s="205">
        <f>InpR!M$112</f>
        <v>2.9195763820156317E-2</v>
      </c>
      <c r="N289" s="205">
        <f>InpR!N$112</f>
        <v>2.9195763820156317E-2</v>
      </c>
      <c r="O289" s="205">
        <f>InpR!O$112</f>
        <v>2.9195763820156317E-2</v>
      </c>
      <c r="P289" s="205">
        <f>InpR!P$112</f>
        <v>2.9195763820156317E-2</v>
      </c>
      <c r="Q289" s="205">
        <f>InpR!Q$112</f>
        <v>2.9195763820156317E-2</v>
      </c>
      <c r="R289" s="205">
        <f>InpR!R$112</f>
        <v>0</v>
      </c>
    </row>
    <row r="290" spans="1:18" x14ac:dyDescent="0.25">
      <c r="E290" s="7" t="s">
        <v>499</v>
      </c>
      <c r="G290" s="7" t="s">
        <v>500</v>
      </c>
      <c r="J290" s="254">
        <f xml:space="preserve"> (1 + J$289) ^ J$288</f>
        <v>1</v>
      </c>
      <c r="K290" s="254">
        <f t="shared" ref="K290:R290" si="189" xml:space="preserve"> (1 + K$289) ^ K$288</f>
        <v>1</v>
      </c>
      <c r="L290" s="254">
        <f t="shared" si="189"/>
        <v>1</v>
      </c>
      <c r="M290" s="254">
        <f t="shared" si="189"/>
        <v>1.1219976826191176</v>
      </c>
      <c r="N290" s="254">
        <f t="shared" si="189"/>
        <v>1.0901693555893588</v>
      </c>
      <c r="O290" s="254">
        <f t="shared" si="189"/>
        <v>1.059243920265355</v>
      </c>
      <c r="P290" s="254">
        <f t="shared" si="189"/>
        <v>1.0291957638201563</v>
      </c>
      <c r="Q290" s="254">
        <f t="shared" si="189"/>
        <v>1</v>
      </c>
      <c r="R290" s="254">
        <f t="shared" si="189"/>
        <v>1</v>
      </c>
    </row>
    <row r="291" spans="1:18" x14ac:dyDescent="0.25"/>
    <row r="292" spans="1:18" x14ac:dyDescent="0.25">
      <c r="B292" s="61" t="s">
        <v>501</v>
      </c>
    </row>
    <row r="293" spans="1:18" x14ac:dyDescent="0.25">
      <c r="A293" s="49"/>
      <c r="D293" s="57"/>
      <c r="E293" s="7" t="str">
        <f>E$283</f>
        <v>2019-20 wedge RCV run-off - real</v>
      </c>
      <c r="F293" s="185">
        <f t="shared" ref="F293:R293" si="190">F$283</f>
        <v>0</v>
      </c>
      <c r="G293" s="7" t="str">
        <f t="shared" si="190"/>
        <v>£m</v>
      </c>
      <c r="H293" s="246">
        <f t="shared" si="190"/>
        <v>3.0791832711116519E-3</v>
      </c>
      <c r="I293" s="246">
        <f t="shared" si="190"/>
        <v>0</v>
      </c>
      <c r="J293" s="185">
        <f t="shared" si="190"/>
        <v>0</v>
      </c>
      <c r="K293" s="185">
        <f t="shared" si="190"/>
        <v>0</v>
      </c>
      <c r="L293" s="185">
        <f t="shared" si="190"/>
        <v>0</v>
      </c>
      <c r="M293" s="185">
        <f t="shared" si="190"/>
        <v>6.0347560746606792E-4</v>
      </c>
      <c r="N293" s="185">
        <f t="shared" si="190"/>
        <v>6.0912299887585391E-4</v>
      </c>
      <c r="O293" s="185">
        <f t="shared" si="190"/>
        <v>6.1553940386867853E-4</v>
      </c>
      <c r="P293" s="185">
        <f t="shared" si="190"/>
        <v>6.2217107227470763E-4</v>
      </c>
      <c r="Q293" s="185">
        <f t="shared" si="190"/>
        <v>6.288741886263439E-4</v>
      </c>
      <c r="R293" s="185">
        <f t="shared" si="190"/>
        <v>0</v>
      </c>
    </row>
    <row r="294" spans="1:18" x14ac:dyDescent="0.25">
      <c r="A294" s="49"/>
      <c r="D294" s="57"/>
      <c r="E294" s="7" t="str">
        <f>E$290</f>
        <v xml:space="preserve">Time value of money factor </v>
      </c>
      <c r="F294" s="185">
        <f t="shared" ref="F294:R294" si="191">F$290</f>
        <v>0</v>
      </c>
      <c r="G294" s="7" t="str">
        <f t="shared" si="191"/>
        <v>Factor</v>
      </c>
      <c r="H294" s="246">
        <f t="shared" si="191"/>
        <v>0</v>
      </c>
      <c r="I294" s="246">
        <f t="shared" si="191"/>
        <v>0</v>
      </c>
      <c r="J294" s="185">
        <f t="shared" si="191"/>
        <v>1</v>
      </c>
      <c r="K294" s="185">
        <f t="shared" si="191"/>
        <v>1</v>
      </c>
      <c r="L294" s="185">
        <f t="shared" si="191"/>
        <v>1</v>
      </c>
      <c r="M294" s="185">
        <f t="shared" si="191"/>
        <v>1.1219976826191176</v>
      </c>
      <c r="N294" s="185">
        <f t="shared" si="191"/>
        <v>1.0901693555893588</v>
      </c>
      <c r="O294" s="185">
        <f t="shared" si="191"/>
        <v>1.059243920265355</v>
      </c>
      <c r="P294" s="185">
        <f t="shared" si="191"/>
        <v>1.0291957638201563</v>
      </c>
      <c r="Q294" s="185">
        <f t="shared" si="191"/>
        <v>1</v>
      </c>
      <c r="R294" s="185">
        <f t="shared" si="191"/>
        <v>1</v>
      </c>
    </row>
    <row r="295" spans="1:18" x14ac:dyDescent="0.25">
      <c r="A295" s="49"/>
      <c r="C295" s="267"/>
      <c r="D295" s="57"/>
      <c r="E295" s="7" t="s">
        <v>523</v>
      </c>
      <c r="G295" s="7" t="s">
        <v>238</v>
      </c>
      <c r="H295" s="185">
        <f xml:space="preserve"> SUM(J295:R295)</f>
        <v>3.2623618520678161E-3</v>
      </c>
      <c r="J295" s="185">
        <f xml:space="preserve"> J293 * J294</f>
        <v>0</v>
      </c>
      <c r="K295" s="185">
        <f t="shared" ref="K295:R295" si="192" xml:space="preserve"> K293 * K294</f>
        <v>0</v>
      </c>
      <c r="L295" s="185">
        <f t="shared" si="192"/>
        <v>0</v>
      </c>
      <c r="M295" s="185">
        <f t="shared" si="192"/>
        <v>6.7709823309409242E-4</v>
      </c>
      <c r="N295" s="185">
        <f t="shared" si="192"/>
        <v>6.6404722715914736E-4</v>
      </c>
      <c r="O295" s="185">
        <f t="shared" si="192"/>
        <v>6.520063712316587E-4</v>
      </c>
      <c r="P295" s="185">
        <f t="shared" si="192"/>
        <v>6.4033583195657342E-4</v>
      </c>
      <c r="Q295" s="185">
        <f xml:space="preserve"> Q293 * Q294</f>
        <v>6.288741886263439E-4</v>
      </c>
      <c r="R295" s="185">
        <f t="shared" si="192"/>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93">F$284</f>
        <v>0</v>
      </c>
      <c r="G299" s="7" t="str">
        <f t="shared" si="193"/>
        <v>£m</v>
      </c>
      <c r="H299" s="246">
        <f t="shared" si="193"/>
        <v>1.4978525123857274E-3</v>
      </c>
      <c r="I299" s="246">
        <f t="shared" si="193"/>
        <v>0</v>
      </c>
      <c r="J299" s="185">
        <f t="shared" si="193"/>
        <v>0</v>
      </c>
      <c r="K299" s="185">
        <f t="shared" si="193"/>
        <v>0</v>
      </c>
      <c r="L299" s="185">
        <f t="shared" si="193"/>
        <v>0</v>
      </c>
      <c r="M299" s="185">
        <f t="shared" si="193"/>
        <v>2.9355753627494183E-4</v>
      </c>
      <c r="N299" s="185">
        <f t="shared" si="193"/>
        <v>2.9630468013316366E-4</v>
      </c>
      <c r="O299" s="185">
        <f t="shared" si="193"/>
        <v>2.9942590660550576E-4</v>
      </c>
      <c r="P299" s="185">
        <f t="shared" si="193"/>
        <v>3.0265184683338101E-4</v>
      </c>
      <c r="Q299" s="185">
        <f t="shared" si="193"/>
        <v>3.0591254253873527E-4</v>
      </c>
      <c r="R299" s="185">
        <f t="shared" si="193"/>
        <v>0</v>
      </c>
    </row>
    <row r="300" spans="1:18" x14ac:dyDescent="0.25">
      <c r="A300" s="49"/>
      <c r="D300" s="57"/>
      <c r="E300" s="7" t="str">
        <f>E$290</f>
        <v xml:space="preserve">Time value of money factor </v>
      </c>
      <c r="F300" s="185">
        <f t="shared" ref="F300:R300" si="194">F$290</f>
        <v>0</v>
      </c>
      <c r="G300" s="7" t="str">
        <f t="shared" si="194"/>
        <v>Factor</v>
      </c>
      <c r="H300" s="246">
        <f t="shared" si="194"/>
        <v>0</v>
      </c>
      <c r="I300" s="246">
        <f t="shared" si="194"/>
        <v>0</v>
      </c>
      <c r="J300" s="185">
        <f t="shared" si="194"/>
        <v>1</v>
      </c>
      <c r="K300" s="185">
        <f t="shared" si="194"/>
        <v>1</v>
      </c>
      <c r="L300" s="185">
        <f t="shared" si="194"/>
        <v>1</v>
      </c>
      <c r="M300" s="185">
        <f t="shared" si="194"/>
        <v>1.1219976826191176</v>
      </c>
      <c r="N300" s="185">
        <f t="shared" si="194"/>
        <v>1.0901693555893588</v>
      </c>
      <c r="O300" s="185">
        <f t="shared" si="194"/>
        <v>1.059243920265355</v>
      </c>
      <c r="P300" s="185">
        <f t="shared" si="194"/>
        <v>1.0291957638201563</v>
      </c>
      <c r="Q300" s="185">
        <f t="shared" si="194"/>
        <v>1</v>
      </c>
      <c r="R300" s="185">
        <f t="shared" si="194"/>
        <v>1</v>
      </c>
    </row>
    <row r="301" spans="1:18" x14ac:dyDescent="0.25">
      <c r="A301" s="49"/>
      <c r="C301" s="267"/>
      <c r="D301" s="57"/>
      <c r="E301" s="7" t="s">
        <v>524</v>
      </c>
      <c r="G301" s="7" t="s">
        <v>238</v>
      </c>
      <c r="H301" s="185">
        <f xml:space="preserve"> SUM(J301:R301)</f>
        <v>1.5869587699685662E-3</v>
      </c>
      <c r="J301" s="185">
        <f xml:space="preserve"> J299 * J300</f>
        <v>0</v>
      </c>
      <c r="K301" s="185">
        <f t="shared" ref="K301:R301" si="195" xml:space="preserve"> K299 * K300</f>
        <v>0</v>
      </c>
      <c r="L301" s="185">
        <f t="shared" si="195"/>
        <v>0</v>
      </c>
      <c r="M301" s="185">
        <f t="shared" si="195"/>
        <v>3.293708754158623E-4</v>
      </c>
      <c r="N301" s="185">
        <f t="shared" si="195"/>
        <v>3.2302228219888211E-4</v>
      </c>
      <c r="O301" s="185">
        <f t="shared" si="195"/>
        <v>3.1716507114182399E-4</v>
      </c>
      <c r="P301" s="185">
        <f t="shared" si="195"/>
        <v>3.1148799867326252E-4</v>
      </c>
      <c r="Q301" s="185">
        <f t="shared" si="195"/>
        <v>3.0591254253873527E-4</v>
      </c>
      <c r="R301" s="185">
        <f t="shared" si="195"/>
        <v>0</v>
      </c>
    </row>
    <row r="302" spans="1:18" x14ac:dyDescent="0.25"/>
    <row r="303" spans="1:18" x14ac:dyDescent="0.25"/>
    <row r="304" spans="1:18" x14ac:dyDescent="0.25">
      <c r="B304" s="61" t="s">
        <v>505</v>
      </c>
    </row>
    <row r="305" spans="1:18" x14ac:dyDescent="0.25">
      <c r="A305" s="49"/>
      <c r="D305" s="57"/>
      <c r="E305" s="7" t="str">
        <f t="shared" ref="E305:R305" si="196" xml:space="preserve"> E$295</f>
        <v>Revenue adjustment for 2019-20 wedge run-off - real - WR</v>
      </c>
      <c r="F305" s="185">
        <f t="shared" si="196"/>
        <v>0</v>
      </c>
      <c r="G305" s="7" t="str">
        <f t="shared" si="196"/>
        <v>£m</v>
      </c>
      <c r="H305" s="246">
        <f t="shared" si="196"/>
        <v>3.2623618520678161E-3</v>
      </c>
      <c r="I305" s="246">
        <f t="shared" si="196"/>
        <v>0</v>
      </c>
      <c r="J305" s="185">
        <f t="shared" si="196"/>
        <v>0</v>
      </c>
      <c r="K305" s="185">
        <f t="shared" si="196"/>
        <v>0</v>
      </c>
      <c r="L305" s="185">
        <f t="shared" si="196"/>
        <v>0</v>
      </c>
      <c r="M305" s="185">
        <f t="shared" si="196"/>
        <v>6.7709823309409242E-4</v>
      </c>
      <c r="N305" s="185">
        <f t="shared" si="196"/>
        <v>6.6404722715914736E-4</v>
      </c>
      <c r="O305" s="185">
        <f t="shared" si="196"/>
        <v>6.520063712316587E-4</v>
      </c>
      <c r="P305" s="185">
        <f t="shared" si="196"/>
        <v>6.4033583195657342E-4</v>
      </c>
      <c r="Q305" s="185">
        <f t="shared" si="196"/>
        <v>6.288741886263439E-4</v>
      </c>
      <c r="R305" s="185">
        <f t="shared" si="196"/>
        <v>0</v>
      </c>
    </row>
    <row r="306" spans="1:18" x14ac:dyDescent="0.25">
      <c r="A306" s="49"/>
      <c r="D306" s="57"/>
      <c r="E306" s="7" t="str">
        <f t="shared" ref="E306:R306" si="197" xml:space="preserve"> E$301</f>
        <v>Revenue adjustment for 2019-20 wedge return - real -WR</v>
      </c>
      <c r="F306" s="185">
        <f t="shared" si="197"/>
        <v>0</v>
      </c>
      <c r="G306" s="7" t="str">
        <f t="shared" si="197"/>
        <v>£m</v>
      </c>
      <c r="H306" s="246">
        <f t="shared" si="197"/>
        <v>1.5869587699685662E-3</v>
      </c>
      <c r="I306" s="246">
        <f t="shared" si="197"/>
        <v>0</v>
      </c>
      <c r="J306" s="185">
        <f t="shared" si="197"/>
        <v>0</v>
      </c>
      <c r="K306" s="185">
        <f t="shared" si="197"/>
        <v>0</v>
      </c>
      <c r="L306" s="185">
        <f t="shared" si="197"/>
        <v>0</v>
      </c>
      <c r="M306" s="185">
        <f t="shared" si="197"/>
        <v>3.293708754158623E-4</v>
      </c>
      <c r="N306" s="185">
        <f t="shared" si="197"/>
        <v>3.2302228219888211E-4</v>
      </c>
      <c r="O306" s="185">
        <f t="shared" si="197"/>
        <v>3.1716507114182399E-4</v>
      </c>
      <c r="P306" s="185">
        <f t="shared" si="197"/>
        <v>3.1148799867326252E-4</v>
      </c>
      <c r="Q306" s="185">
        <f t="shared" si="197"/>
        <v>3.0591254253873527E-4</v>
      </c>
      <c r="R306" s="185">
        <f t="shared" si="197"/>
        <v>0</v>
      </c>
    </row>
    <row r="307" spans="1:18" x14ac:dyDescent="0.25">
      <c r="A307" s="49"/>
      <c r="C307" s="267"/>
      <c r="D307" s="57"/>
      <c r="E307" s="7" t="s">
        <v>525</v>
      </c>
      <c r="G307" s="7" t="s">
        <v>238</v>
      </c>
      <c r="H307" s="185">
        <f xml:space="preserve"> SUM(J307:R307)</f>
        <v>4.8493206220363815E-3</v>
      </c>
      <c r="J307" s="185">
        <f xml:space="preserve"> J$305 + J$306</f>
        <v>0</v>
      </c>
      <c r="K307" s="185">
        <f t="shared" ref="K307:R307" si="198" xml:space="preserve"> K$305 + K$306</f>
        <v>0</v>
      </c>
      <c r="L307" s="185">
        <f t="shared" si="198"/>
        <v>0</v>
      </c>
      <c r="M307" s="185">
        <f t="shared" si="198"/>
        <v>1.0064691085099548E-3</v>
      </c>
      <c r="N307" s="185">
        <f t="shared" si="198"/>
        <v>9.8706950935802942E-4</v>
      </c>
      <c r="O307" s="185">
        <f t="shared" si="198"/>
        <v>9.6917144237348269E-4</v>
      </c>
      <c r="P307" s="185">
        <f t="shared" si="198"/>
        <v>9.5182383062983593E-4</v>
      </c>
      <c r="Q307" s="185">
        <f xml:space="preserve"> Q$305 + Q$306</f>
        <v>9.3478673116507917E-4</v>
      </c>
      <c r="R307" s="185">
        <f t="shared" si="198"/>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WR</v>
      </c>
      <c r="F313" s="185">
        <f t="shared" ref="F313:R313" si="199" xml:space="preserve"> F$219</f>
        <v>0</v>
      </c>
      <c r="G313" s="7" t="str">
        <f t="shared" si="199"/>
        <v>£m</v>
      </c>
      <c r="H313" s="246">
        <f t="shared" si="199"/>
        <v>0.137823807397984</v>
      </c>
      <c r="I313" s="246">
        <f t="shared" si="199"/>
        <v>0</v>
      </c>
      <c r="J313" s="185">
        <f t="shared" si="199"/>
        <v>0</v>
      </c>
      <c r="K313" s="185">
        <f t="shared" si="199"/>
        <v>0</v>
      </c>
      <c r="L313" s="185">
        <f t="shared" si="199"/>
        <v>0</v>
      </c>
      <c r="M313" s="185">
        <f t="shared" si="199"/>
        <v>-5.3781836824375873E-3</v>
      </c>
      <c r="N313" s="185">
        <f t="shared" si="199"/>
        <v>9.888963331376158E-3</v>
      </c>
      <c r="O313" s="185">
        <f t="shared" si="199"/>
        <v>4.4735622013338333E-2</v>
      </c>
      <c r="P313" s="185">
        <f t="shared" si="199"/>
        <v>5.1708286701217458E-2</v>
      </c>
      <c r="Q313" s="185">
        <f t="shared" si="199"/>
        <v>3.6869119034489639E-2</v>
      </c>
      <c r="R313" s="185">
        <f t="shared" si="199"/>
        <v>0</v>
      </c>
    </row>
    <row r="314" spans="1:18" x14ac:dyDescent="0.25">
      <c r="A314" s="49"/>
      <c r="D314" s="57"/>
      <c r="E314" s="7" t="str">
        <f xml:space="preserve"> E$224</f>
        <v>Revenue adjustment for return - real -WR</v>
      </c>
      <c r="F314" s="185">
        <f t="shared" ref="F314:R314" si="200" xml:space="preserve"> F$224</f>
        <v>0</v>
      </c>
      <c r="G314" s="7" t="str">
        <f t="shared" si="200"/>
        <v>£m</v>
      </c>
      <c r="H314" s="246">
        <f t="shared" si="200"/>
        <v>6.5720311753413835E-2</v>
      </c>
      <c r="I314" s="246">
        <f t="shared" si="200"/>
        <v>0</v>
      </c>
      <c r="J314" s="185">
        <f t="shared" si="200"/>
        <v>0</v>
      </c>
      <c r="K314" s="185">
        <f t="shared" si="200"/>
        <v>0</v>
      </c>
      <c r="L314" s="185">
        <f t="shared" si="200"/>
        <v>0</v>
      </c>
      <c r="M314" s="185">
        <f t="shared" si="200"/>
        <v>-2.5645490060817715E-3</v>
      </c>
      <c r="N314" s="185">
        <f t="shared" si="200"/>
        <v>4.715482508616595E-3</v>
      </c>
      <c r="O314" s="185">
        <f t="shared" si="200"/>
        <v>2.133186624796787E-2</v>
      </c>
      <c r="P314" s="185">
        <f t="shared" si="200"/>
        <v>2.4656732290277754E-2</v>
      </c>
      <c r="Q314" s="185">
        <f t="shared" si="200"/>
        <v>1.7580779712633388E-2</v>
      </c>
      <c r="R314" s="185">
        <f t="shared" si="200"/>
        <v>0</v>
      </c>
    </row>
    <row r="315" spans="1:18" x14ac:dyDescent="0.25">
      <c r="A315" s="49"/>
      <c r="D315" s="57"/>
      <c r="E315" s="7" t="str">
        <f xml:space="preserve"> E$229</f>
        <v>Revenue adjustment - real - WR</v>
      </c>
      <c r="F315" s="185">
        <f t="shared" ref="F315:R315" si="201" xml:space="preserve"> F$229</f>
        <v>0</v>
      </c>
      <c r="G315" s="7" t="str">
        <f t="shared" si="201"/>
        <v>£m</v>
      </c>
      <c r="H315" s="246">
        <f t="shared" si="201"/>
        <v>0.20354411915139783</v>
      </c>
      <c r="I315" s="246">
        <f t="shared" si="201"/>
        <v>0</v>
      </c>
      <c r="J315" s="185">
        <f t="shared" si="201"/>
        <v>0</v>
      </c>
      <c r="K315" s="185">
        <f t="shared" si="201"/>
        <v>0</v>
      </c>
      <c r="L315" s="185">
        <f t="shared" si="201"/>
        <v>0</v>
      </c>
      <c r="M315" s="185">
        <f t="shared" si="201"/>
        <v>-7.9427326885193588E-3</v>
      </c>
      <c r="N315" s="185">
        <f xml:space="preserve"> N$229</f>
        <v>1.4604445839992753E-2</v>
      </c>
      <c r="O315" s="185">
        <f t="shared" si="201"/>
        <v>6.6067488261306206E-2</v>
      </c>
      <c r="P315" s="185">
        <f t="shared" si="201"/>
        <v>7.6365018991495212E-2</v>
      </c>
      <c r="Q315" s="185">
        <f t="shared" si="201"/>
        <v>5.4449898747123027E-2</v>
      </c>
      <c r="R315" s="185">
        <f t="shared" si="201"/>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-WR</v>
      </c>
      <c r="F319" s="185">
        <f t="shared" ref="F319:R319" si="202" xml:space="preserve"> F$301</f>
        <v>0</v>
      </c>
      <c r="G319" s="7" t="str">
        <f t="shared" si="202"/>
        <v>£m</v>
      </c>
      <c r="H319" s="246">
        <f t="shared" si="202"/>
        <v>1.5869587699685662E-3</v>
      </c>
      <c r="I319" s="246">
        <f t="shared" si="202"/>
        <v>0</v>
      </c>
      <c r="J319" s="185">
        <f t="shared" si="202"/>
        <v>0</v>
      </c>
      <c r="K319" s="185">
        <f t="shared" si="202"/>
        <v>0</v>
      </c>
      <c r="L319" s="185">
        <f t="shared" si="202"/>
        <v>0</v>
      </c>
      <c r="M319" s="185">
        <f t="shared" si="202"/>
        <v>3.293708754158623E-4</v>
      </c>
      <c r="N319" s="185">
        <f t="shared" si="202"/>
        <v>3.2302228219888211E-4</v>
      </c>
      <c r="O319" s="185">
        <f t="shared" si="202"/>
        <v>3.1716507114182399E-4</v>
      </c>
      <c r="P319" s="185">
        <f t="shared" si="202"/>
        <v>3.1148799867326252E-4</v>
      </c>
      <c r="Q319" s="185">
        <f t="shared" si="202"/>
        <v>3.0591254253873527E-4</v>
      </c>
      <c r="R319" s="185">
        <f t="shared" si="202"/>
        <v>0</v>
      </c>
    </row>
    <row r="320" spans="1:18" x14ac:dyDescent="0.25"/>
    <row r="321" spans="1:18" x14ac:dyDescent="0.25">
      <c r="B321" s="61" t="s">
        <v>289</v>
      </c>
    </row>
    <row r="322" spans="1:18" s="34" customFormat="1" x14ac:dyDescent="0.25">
      <c r="A322" s="322"/>
      <c r="B322" s="256"/>
      <c r="C322" s="257"/>
      <c r="D322" s="323"/>
      <c r="E322" s="34" t="s">
        <v>529</v>
      </c>
      <c r="G322" s="34" t="s">
        <v>238</v>
      </c>
      <c r="H322" s="266">
        <f xml:space="preserve"> SUM(J322:R322)</f>
        <v>0.137823807397984</v>
      </c>
      <c r="J322" s="266">
        <f xml:space="preserve"> J313 + J318</f>
        <v>0</v>
      </c>
      <c r="K322" s="266">
        <f t="shared" ref="K322:R322" si="203" xml:space="preserve"> K313 + K318</f>
        <v>0</v>
      </c>
      <c r="L322" s="266">
        <f t="shared" si="203"/>
        <v>0</v>
      </c>
      <c r="M322" s="266">
        <f xml:space="preserve"> M313 + M318</f>
        <v>-5.3781836824375873E-3</v>
      </c>
      <c r="N322" s="266">
        <f t="shared" si="203"/>
        <v>9.888963331376158E-3</v>
      </c>
      <c r="O322" s="266">
        <f t="shared" si="203"/>
        <v>4.4735622013338333E-2</v>
      </c>
      <c r="P322" s="266">
        <f t="shared" si="203"/>
        <v>5.1708286701217458E-2</v>
      </c>
      <c r="Q322" s="266">
        <f xml:space="preserve"> Q313 + Q318</f>
        <v>3.6869119034489639E-2</v>
      </c>
      <c r="R322" s="266">
        <f t="shared" si="203"/>
        <v>0</v>
      </c>
    </row>
    <row r="323" spans="1:18" s="34" customFormat="1" x14ac:dyDescent="0.25">
      <c r="A323" s="322"/>
      <c r="B323" s="256"/>
      <c r="C323" s="257"/>
      <c r="D323" s="323"/>
      <c r="E323" s="34" t="s">
        <v>530</v>
      </c>
      <c r="G323" s="34" t="s">
        <v>238</v>
      </c>
      <c r="H323" s="266">
        <f xml:space="preserve"> SUM(J323:R323)</f>
        <v>6.7307270523382395E-2</v>
      </c>
      <c r="J323" s="266">
        <f t="shared" ref="J323:R323" si="204" xml:space="preserve"> J314 + J319</f>
        <v>0</v>
      </c>
      <c r="K323" s="266">
        <f t="shared" si="204"/>
        <v>0</v>
      </c>
      <c r="L323" s="266">
        <f t="shared" si="204"/>
        <v>0</v>
      </c>
      <c r="M323" s="266">
        <f t="shared" si="204"/>
        <v>-2.2351781306659091E-3</v>
      </c>
      <c r="N323" s="266">
        <f t="shared" si="204"/>
        <v>5.0385047908154774E-3</v>
      </c>
      <c r="O323" s="266">
        <f t="shared" si="204"/>
        <v>2.1649031319109693E-2</v>
      </c>
      <c r="P323" s="266">
        <f t="shared" si="204"/>
        <v>2.4968220288951015E-2</v>
      </c>
      <c r="Q323" s="266">
        <f xml:space="preserve"> Q314 + Q319</f>
        <v>1.7886692255172122E-2</v>
      </c>
      <c r="R323" s="266">
        <f t="shared" si="204"/>
        <v>0</v>
      </c>
    </row>
    <row r="324" spans="1:18" s="34" customFormat="1" x14ac:dyDescent="0.25">
      <c r="A324" s="361"/>
      <c r="B324" s="362"/>
      <c r="C324" s="363"/>
      <c r="D324" s="364"/>
      <c r="E324" s="34" t="s">
        <v>531</v>
      </c>
      <c r="G324" s="34" t="s">
        <v>238</v>
      </c>
      <c r="H324" s="266">
        <f xml:space="preserve"> SUM(J324:R324)</f>
        <v>0.20513107792136639</v>
      </c>
      <c r="J324" s="266">
        <f t="shared" ref="J324:P324" si="205" xml:space="preserve"> J315 + J319</f>
        <v>0</v>
      </c>
      <c r="K324" s="266">
        <f t="shared" si="205"/>
        <v>0</v>
      </c>
      <c r="L324" s="266">
        <f t="shared" si="205"/>
        <v>0</v>
      </c>
      <c r="M324" s="266">
        <f t="shared" si="205"/>
        <v>-7.6133618131034968E-3</v>
      </c>
      <c r="N324" s="266">
        <f t="shared" si="205"/>
        <v>1.4927468122191635E-2</v>
      </c>
      <c r="O324" s="266">
        <f t="shared" si="205"/>
        <v>6.6384653332448029E-2</v>
      </c>
      <c r="P324" s="266">
        <f t="shared" si="205"/>
        <v>7.667650699016848E-2</v>
      </c>
      <c r="Q324" s="266">
        <f xml:space="preserve"> Q315 + Q319</f>
        <v>5.4755811289661761E-2</v>
      </c>
      <c r="R324" s="266">
        <f t="shared" ref="R324" si="206" xml:space="preserve"> R315 + R319</f>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58" priority="8" stopIfTrue="1" operator="notEqual">
      <formula>0</formula>
    </cfRule>
    <cfRule type="cellIs" dxfId="57" priority="9" stopIfTrue="1" operator="equal">
      <formula>""</formula>
    </cfRule>
  </conditionalFormatting>
  <conditionalFormatting sqref="F166">
    <cfRule type="cellIs" dxfId="56" priority="1" stopIfTrue="1" operator="notEqual">
      <formula>0</formula>
    </cfRule>
    <cfRule type="cellIs" dxfId="55" priority="2" stopIfTrue="1" operator="equal">
      <formula>""</formula>
    </cfRule>
  </conditionalFormatting>
  <conditionalFormatting sqref="J3:Z3">
    <cfRule type="cellIs" dxfId="54" priority="12" operator="equal">
      <formula>"Post-Fcst"</formula>
    </cfRule>
    <cfRule type="cellIs" dxfId="53" priority="13" operator="equal">
      <formula>"Forecast"</formula>
    </cfRule>
    <cfRule type="cellIs" dxfId="52" priority="14" operator="equal">
      <formula>"Pre Fcst"</formula>
    </cfRule>
  </conditionalFormatting>
  <conditionalFormatting sqref="J166:XFD166">
    <cfRule type="cellIs" dxfId="51" priority="3" stopIfTrue="1" operator="notEqual">
      <formula>0</formula>
    </cfRule>
    <cfRule type="cellIs" dxfId="50"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DA88-9E1C-4CF5-8E32-BE11AE276486}">
  <sheetPr codeName="Sheet7">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Calcs-WN</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Q15" si="0">SUM(J13:J14)</f>
        <v>0</v>
      </c>
      <c r="K15" s="172">
        <f t="shared" si="0"/>
        <v>0</v>
      </c>
      <c r="L15" s="172">
        <f t="shared" si="0"/>
        <v>3.1522140708501789E-2</v>
      </c>
      <c r="M15" s="172">
        <f t="shared" si="0"/>
        <v>2.4258091513662761E-2</v>
      </c>
      <c r="N15" s="172">
        <f t="shared" si="0"/>
        <v>2.9587648685595269E-2</v>
      </c>
      <c r="O15" s="172">
        <f t="shared" si="0"/>
        <v>3.150368327076003E-2</v>
      </c>
      <c r="P15" s="172">
        <f t="shared" si="0"/>
        <v>3.2000000000000695E-2</v>
      </c>
      <c r="Q15" s="172">
        <f t="shared" si="0"/>
        <v>3.1999999999999806E-2</v>
      </c>
      <c r="R15" s="172">
        <f t="shared" ref="R15" si="1">SUM(R13:R14)</f>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651.37933061226192</v>
      </c>
      <c r="N22" s="240">
        <f t="shared" si="3"/>
        <v>640.17481839584855</v>
      </c>
      <c r="O22" s="240">
        <f t="shared" si="3"/>
        <v>632.43678289807815</v>
      </c>
      <c r="P22" s="240">
        <f t="shared" si="3"/>
        <v>625.9550013901179</v>
      </c>
      <c r="Q22" s="240">
        <f t="shared" si="3"/>
        <v>619.83774776203518</v>
      </c>
      <c r="R22" s="240">
        <f t="shared" si="3"/>
        <v>613.78027605416526</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15.801219412100641</v>
      </c>
      <c r="N24" s="184">
        <f t="shared" si="5"/>
        <v>18.941267624061119</v>
      </c>
      <c r="O24" s="184">
        <f t="shared" si="5"/>
        <v>19.924088097199476</v>
      </c>
      <c r="P24" s="184">
        <f t="shared" si="5"/>
        <v>20.030560044484208</v>
      </c>
      <c r="Q24" s="184">
        <f t="shared" si="5"/>
        <v>19.834807928385004</v>
      </c>
      <c r="R24" s="184">
        <f t="shared" si="5"/>
        <v>18.413408281624839</v>
      </c>
      <c r="S24" s="92"/>
      <c r="T24" s="92"/>
      <c r="U24" s="92"/>
      <c r="V24" s="92"/>
      <c r="W24" s="92"/>
      <c r="X24" s="92"/>
      <c r="Y24" s="92"/>
      <c r="Z24" s="92"/>
    </row>
    <row r="25" spans="1:16383" x14ac:dyDescent="0.25"/>
    <row r="26" spans="1:16383" s="205" customFormat="1" x14ac:dyDescent="0.25">
      <c r="A26" s="201"/>
      <c r="B26" s="202"/>
      <c r="C26" s="203"/>
      <c r="D26" s="204"/>
      <c r="E26" s="37" t="str">
        <f xml:space="preserve"> InpR!E$99</f>
        <v>Run-off rate - CPI(H) + RPI wedge - active - WN</v>
      </c>
      <c r="F26" s="205">
        <f xml:space="preserve"> InpR!F$99</f>
        <v>0</v>
      </c>
      <c r="G26" s="223" t="str">
        <f xml:space="preserve"> InpR!G$99</f>
        <v>%</v>
      </c>
      <c r="H26" s="205">
        <f xml:space="preserve"> InpR!H$99</f>
        <v>0</v>
      </c>
      <c r="I26" s="205">
        <f xml:space="preserve"> InpR!I$99</f>
        <v>0</v>
      </c>
      <c r="J26" s="205">
        <f xml:space="preserve"> InpR!J$99</f>
        <v>0</v>
      </c>
      <c r="K26" s="205">
        <f xml:space="preserve"> InpR!K$99</f>
        <v>0</v>
      </c>
      <c r="L26" s="205">
        <f xml:space="preserve"> InpR!L$99</f>
        <v>0</v>
      </c>
      <c r="M26" s="205">
        <f xml:space="preserve"> InpR!M$99</f>
        <v>4.04773964521715E-2</v>
      </c>
      <c r="N26" s="205">
        <f xml:space="preserve"> InpR!N$99</f>
        <v>4.04773964521715E-2</v>
      </c>
      <c r="O26" s="205">
        <f xml:space="preserve"> InpR!O$99</f>
        <v>4.04773964521715E-2</v>
      </c>
      <c r="P26" s="205">
        <f xml:space="preserve"> InpR!P$99</f>
        <v>4.04773964521715E-2</v>
      </c>
      <c r="Q26" s="205">
        <f xml:space="preserve"> InpR!Q$99</f>
        <v>4.04773964521715E-2</v>
      </c>
      <c r="R26" s="205">
        <f xml:space="preserve"> InpR!R$99</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651.37933061226192</v>
      </c>
      <c r="N27" s="240">
        <f t="shared" si="6"/>
        <v>640.17481839584855</v>
      </c>
      <c r="O27" s="240">
        <f t="shared" si="6"/>
        <v>632.43678289807815</v>
      </c>
      <c r="P27" s="240">
        <f t="shared" si="6"/>
        <v>625.9550013901179</v>
      </c>
      <c r="Q27" s="240">
        <f t="shared" si="6"/>
        <v>619.83774776203518</v>
      </c>
      <c r="R27" s="240">
        <f t="shared" si="6"/>
        <v>613.78027605416526</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15.801219412100641</v>
      </c>
      <c r="N28" s="184">
        <f t="shared" si="7"/>
        <v>18.941267624061119</v>
      </c>
      <c r="O28" s="184">
        <f t="shared" si="7"/>
        <v>19.924088097199476</v>
      </c>
      <c r="P28" s="184">
        <f t="shared" si="7"/>
        <v>20.030560044484208</v>
      </c>
      <c r="Q28" s="184">
        <f t="shared" si="7"/>
        <v>19.834807928385004</v>
      </c>
      <c r="R28" s="184">
        <f t="shared" si="7"/>
        <v>18.413408281624839</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27.005731628513963</v>
      </c>
      <c r="N29" s="184">
        <f t="shared" si="8"/>
        <v>26.679303121831456</v>
      </c>
      <c r="O29" s="184">
        <f t="shared" si="8"/>
        <v>26.405869605159761</v>
      </c>
      <c r="P29" s="184">
        <f t="shared" si="8"/>
        <v>26.147813672566979</v>
      </c>
      <c r="Q29" s="184">
        <f t="shared" si="8"/>
        <v>25.892279636254891</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E30" s="138"/>
      <c r="F30" s="138"/>
      <c r="G30" s="138"/>
      <c r="H30" s="138"/>
    </row>
    <row r="31" spans="1:16383" s="200" customFormat="1" x14ac:dyDescent="0.25">
      <c r="A31" s="196"/>
      <c r="B31" s="197"/>
      <c r="C31" s="198"/>
      <c r="D31" s="199"/>
      <c r="E31" s="249" t="str">
        <f>InpR!$E$92</f>
        <v>RCV - CPI(H) + RPI wedge initial balance - nominal - WN</v>
      </c>
      <c r="F31" s="249">
        <f>InpR!$F$92</f>
        <v>651.37933061226192</v>
      </c>
      <c r="G31" s="249" t="str">
        <f>InpR!$G$92</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651.37933061226192</v>
      </c>
      <c r="N34" s="241">
        <f t="shared" si="9"/>
        <v>640.17481839584855</v>
      </c>
      <c r="O34" s="241">
        <f t="shared" si="9"/>
        <v>632.43678289807815</v>
      </c>
      <c r="P34" s="241">
        <f t="shared" si="9"/>
        <v>625.9550013901179</v>
      </c>
      <c r="Q34" s="241">
        <f t="shared" si="9"/>
        <v>619.83774776203518</v>
      </c>
      <c r="R34" s="241">
        <f t="shared" si="9"/>
        <v>613.78027605416526</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15.801219412100641</v>
      </c>
      <c r="N35" s="241">
        <f t="shared" si="10"/>
        <v>18.941267624061119</v>
      </c>
      <c r="O35" s="241">
        <f t="shared" si="10"/>
        <v>19.924088097199476</v>
      </c>
      <c r="P35" s="241">
        <f t="shared" si="10"/>
        <v>20.030560044484208</v>
      </c>
      <c r="Q35" s="241">
        <f t="shared" si="10"/>
        <v>19.834807928385004</v>
      </c>
      <c r="R35" s="241">
        <f t="shared" si="10"/>
        <v>18.413408281624839</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27.005731628513963</v>
      </c>
      <c r="N36" s="241">
        <f t="shared" si="11"/>
        <v>26.679303121831456</v>
      </c>
      <c r="O36" s="241">
        <f t="shared" si="11"/>
        <v>26.405869605159761</v>
      </c>
      <c r="P36" s="241">
        <f t="shared" si="11"/>
        <v>26.147813672566979</v>
      </c>
      <c r="Q36" s="241">
        <f t="shared" si="11"/>
        <v>25.892279636254891</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651.37933061226192</v>
      </c>
      <c r="M37" s="242">
        <f t="shared" si="12"/>
        <v>640.17481839584855</v>
      </c>
      <c r="N37" s="242">
        <f t="shared" si="12"/>
        <v>632.43678289807815</v>
      </c>
      <c r="O37" s="242">
        <f t="shared" si="12"/>
        <v>625.9550013901179</v>
      </c>
      <c r="P37" s="242">
        <f t="shared" si="12"/>
        <v>619.83774776203518</v>
      </c>
      <c r="Q37" s="242">
        <f t="shared" si="12"/>
        <v>613.78027605416526</v>
      </c>
      <c r="R37" s="242">
        <f t="shared" si="12"/>
        <v>632.19368433579007</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651.37933061226192</v>
      </c>
      <c r="N39" s="185">
        <f t="shared" si="13"/>
        <v>640.17481839584855</v>
      </c>
      <c r="O39" s="185">
        <f t="shared" si="13"/>
        <v>632.43678289807815</v>
      </c>
      <c r="P39" s="185">
        <f t="shared" si="13"/>
        <v>625.9550013901179</v>
      </c>
      <c r="Q39" s="185">
        <f t="shared" si="13"/>
        <v>619.83774776203518</v>
      </c>
      <c r="R39" s="185">
        <f t="shared" si="13"/>
        <v>613.78027605416526</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15.801219412100641</v>
      </c>
      <c r="N40" s="241">
        <f t="shared" si="14"/>
        <v>18.941267624061119</v>
      </c>
      <c r="O40" s="241">
        <f t="shared" si="14"/>
        <v>19.924088097199476</v>
      </c>
      <c r="P40" s="241">
        <f t="shared" si="14"/>
        <v>20.030560044484208</v>
      </c>
      <c r="Q40" s="241">
        <f t="shared" si="14"/>
        <v>19.834807928385004</v>
      </c>
      <c r="R40" s="241">
        <f t="shared" si="14"/>
        <v>18.413408281624839</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651.37933061226192</v>
      </c>
      <c r="M41" s="185">
        <f t="shared" si="15"/>
        <v>640.17481839584855</v>
      </c>
      <c r="N41" s="185">
        <f t="shared" si="15"/>
        <v>632.43678289807815</v>
      </c>
      <c r="O41" s="185">
        <f t="shared" si="15"/>
        <v>625.9550013901179</v>
      </c>
      <c r="P41" s="185">
        <f t="shared" si="15"/>
        <v>619.83774776203518</v>
      </c>
      <c r="Q41" s="185">
        <f t="shared" si="15"/>
        <v>613.78027605416526</v>
      </c>
      <c r="R41" s="185">
        <f t="shared" si="15"/>
        <v>632.19368433579007</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325.68966530613096</v>
      </c>
      <c r="M42" s="185">
        <f xml:space="preserve"> ( (M39+M40) + M41) / 2</f>
        <v>653.67768421010555</v>
      </c>
      <c r="N42" s="185">
        <f t="shared" ref="N42:R42" si="17" xml:space="preserve"> ( (N39+N40) + N41) / 2</f>
        <v>645.77643445899389</v>
      </c>
      <c r="O42" s="185">
        <f t="shared" si="17"/>
        <v>639.15793619269778</v>
      </c>
      <c r="P42" s="185">
        <f t="shared" si="17"/>
        <v>632.91165459831859</v>
      </c>
      <c r="Q42" s="185">
        <f t="shared" si="17"/>
        <v>626.7264158722927</v>
      </c>
      <c r="R42" s="185">
        <f t="shared" si="17"/>
        <v>632.19368433579007</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InpR!E$106</f>
        <v>WACC on RCV - CPI(H) + RPI wedge bf and additions - WN</v>
      </c>
      <c r="F45" s="205">
        <f xml:space="preserve"> InpR!F$106</f>
        <v>0</v>
      </c>
      <c r="G45" s="223" t="str">
        <f xml:space="preserve"> InpR!G$106</f>
        <v>%</v>
      </c>
      <c r="H45" s="205">
        <f xml:space="preserve"> InpR!H$106</f>
        <v>0</v>
      </c>
      <c r="I45" s="205">
        <f xml:space="preserve"> InpR!I$106</f>
        <v>0</v>
      </c>
      <c r="J45" s="205">
        <f xml:space="preserve"> InpR!J$106</f>
        <v>0</v>
      </c>
      <c r="K45" s="205">
        <f xml:space="preserve"> InpR!K$106</f>
        <v>0</v>
      </c>
      <c r="L45" s="205">
        <f xml:space="preserve"> InpR!L$106</f>
        <v>0</v>
      </c>
      <c r="M45" s="205">
        <f xml:space="preserve"> InpR!M$106</f>
        <v>1.920357193840716E-2</v>
      </c>
      <c r="N45" s="205">
        <f xml:space="preserve"> InpR!N$106</f>
        <v>1.920357193840716E-2</v>
      </c>
      <c r="O45" s="205">
        <f xml:space="preserve"> InpR!O$106</f>
        <v>1.920357193840716E-2</v>
      </c>
      <c r="P45" s="205">
        <f xml:space="preserve"> InpR!P$106</f>
        <v>1.920357193840716E-2</v>
      </c>
      <c r="Q45" s="205">
        <f xml:space="preserve"> InpR!Q$106</f>
        <v>1.920357193840716E-2</v>
      </c>
      <c r="R45" s="205">
        <f xml:space="preserve"> InpR!R$106</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325.68966530613096</v>
      </c>
      <c r="M47" s="184">
        <f t="shared" si="18"/>
        <v>653.67768421010555</v>
      </c>
      <c r="N47" s="184">
        <f t="shared" si="18"/>
        <v>645.77643445899389</v>
      </c>
      <c r="O47" s="184">
        <f t="shared" si="18"/>
        <v>639.15793619269778</v>
      </c>
      <c r="P47" s="184">
        <f t="shared" si="18"/>
        <v>632.91165459831859</v>
      </c>
      <c r="Q47" s="184">
        <f t="shared" si="18"/>
        <v>626.7264158722927</v>
      </c>
      <c r="R47" s="184">
        <f t="shared" si="18"/>
        <v>632.19368433579007</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12.552946433260161</v>
      </c>
      <c r="N48" s="184">
        <f t="shared" ref="N48:R48" si="20">N45*N47*N46</f>
        <v>12.401214215261366</v>
      </c>
      <c r="O48" s="184">
        <f t="shared" si="20"/>
        <v>12.274115407680325</v>
      </c>
      <c r="P48" s="184">
        <f t="shared" si="20"/>
        <v>12.154164489735116</v>
      </c>
      <c r="Q48" s="184">
        <f t="shared" si="20"/>
        <v>12.035385812903655</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27.005731628513963</v>
      </c>
      <c r="N51" s="184">
        <f t="shared" si="21"/>
        <v>26.679303121831456</v>
      </c>
      <c r="O51" s="184">
        <f t="shared" si="21"/>
        <v>26.405869605159761</v>
      </c>
      <c r="P51" s="184">
        <f t="shared" si="21"/>
        <v>26.147813672566979</v>
      </c>
      <c r="Q51" s="184">
        <f t="shared" si="21"/>
        <v>25.892279636254891</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12.552946433260161</v>
      </c>
      <c r="N52" s="184">
        <f t="shared" si="22"/>
        <v>12.401214215261366</v>
      </c>
      <c r="O52" s="184">
        <f t="shared" si="22"/>
        <v>12.274115407680325</v>
      </c>
      <c r="P52" s="184">
        <f t="shared" si="22"/>
        <v>12.154164489735116</v>
      </c>
      <c r="Q52" s="184">
        <f t="shared" si="22"/>
        <v>12.035385812903655</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193.5488240231677</v>
      </c>
      <c r="I53" s="184"/>
      <c r="J53" s="184">
        <f t="shared" ref="J53:R53" si="23">SUM(J51:J52)</f>
        <v>0</v>
      </c>
      <c r="K53" s="184">
        <f t="shared" si="23"/>
        <v>0</v>
      </c>
      <c r="L53" s="184">
        <f>SUM(L51:L52)</f>
        <v>0</v>
      </c>
      <c r="M53" s="185">
        <f t="shared" si="23"/>
        <v>39.558678061774124</v>
      </c>
      <c r="N53" s="185">
        <f t="shared" si="23"/>
        <v>39.080517337092822</v>
      </c>
      <c r="O53" s="184">
        <f t="shared" si="23"/>
        <v>38.679985012840085</v>
      </c>
      <c r="P53" s="184">
        <f t="shared" si="23"/>
        <v>38.301978162302092</v>
      </c>
      <c r="Q53" s="184">
        <f t="shared" si="23"/>
        <v>37.927665449158546</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39.558678061774124</v>
      </c>
      <c r="N61" s="184">
        <f t="shared" si="24"/>
        <v>39.080517337092822</v>
      </c>
      <c r="O61" s="184">
        <f t="shared" si="24"/>
        <v>38.679985012840085</v>
      </c>
      <c r="P61" s="184">
        <f t="shared" si="24"/>
        <v>38.301978162302092</v>
      </c>
      <c r="Q61" s="184">
        <f t="shared" si="24"/>
        <v>37.927665449158546</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649.51483851684054</v>
      </c>
      <c r="N68" s="240">
        <f t="shared" si="25"/>
        <v>628.63532126919563</v>
      </c>
      <c r="O68" s="240">
        <f t="shared" si="25"/>
        <v>638.03127330493885</v>
      </c>
      <c r="P68" s="240">
        <f t="shared" si="25"/>
        <v>691.02038056280492</v>
      </c>
      <c r="Q68" s="240">
        <f t="shared" si="25"/>
        <v>712.63759699259413</v>
      </c>
      <c r="R68" s="240">
        <f t="shared" si="25"/>
        <v>706.37461582139827</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5.639421471220829</v>
      </c>
      <c r="N70" s="184">
        <f t="shared" ref="N70:R70" si="27">N68*N69</f>
        <v>36.311258358863597</v>
      </c>
      <c r="O70" s="184">
        <f t="shared" si="27"/>
        <v>82.139755504347832</v>
      </c>
      <c r="P70" s="184">
        <f t="shared" si="27"/>
        <v>51.679785496463893</v>
      </c>
      <c r="Q70" s="184">
        <f t="shared" si="27"/>
        <v>23.535384456287609</v>
      </c>
      <c r="R70" s="184">
        <f t="shared" si="27"/>
        <v>-706.37461582139827</v>
      </c>
    </row>
    <row r="71" spans="1:16383" x14ac:dyDescent="0.25"/>
    <row r="72" spans="1:16383" s="205" customFormat="1" x14ac:dyDescent="0.25">
      <c r="A72" s="201"/>
      <c r="B72" s="202"/>
      <c r="C72" s="203"/>
      <c r="D72" s="204"/>
      <c r="E72" s="37" t="str">
        <f xml:space="preserve"> InpR!E$99</f>
        <v>Run-off rate - CPI(H) + RPI wedge - active - WN</v>
      </c>
      <c r="F72" s="205">
        <f xml:space="preserve"> InpR!F$99</f>
        <v>0</v>
      </c>
      <c r="G72" s="223" t="str">
        <f xml:space="preserve"> InpR!G$99</f>
        <v>%</v>
      </c>
      <c r="H72" s="205">
        <f xml:space="preserve"> InpR!H$99</f>
        <v>0</v>
      </c>
      <c r="I72" s="205">
        <f xml:space="preserve"> InpR!I$99</f>
        <v>0</v>
      </c>
      <c r="J72" s="205">
        <f xml:space="preserve"> InpR!J$99</f>
        <v>0</v>
      </c>
      <c r="K72" s="205">
        <f xml:space="preserve"> InpR!K$99</f>
        <v>0</v>
      </c>
      <c r="L72" s="205">
        <f xml:space="preserve"> InpR!L$99</f>
        <v>0</v>
      </c>
      <c r="M72" s="205">
        <f xml:space="preserve"> InpR!M$99</f>
        <v>4.04773964521715E-2</v>
      </c>
      <c r="N72" s="205">
        <f xml:space="preserve"> InpR!N$99</f>
        <v>4.04773964521715E-2</v>
      </c>
      <c r="O72" s="205">
        <f xml:space="preserve"> InpR!O$99</f>
        <v>4.04773964521715E-2</v>
      </c>
      <c r="P72" s="205">
        <f xml:space="preserve"> InpR!P$99</f>
        <v>4.04773964521715E-2</v>
      </c>
      <c r="Q72" s="205">
        <f xml:space="preserve"> InpR!Q$99</f>
        <v>4.04773964521715E-2</v>
      </c>
      <c r="R72" s="205">
        <f xml:space="preserve"> InpR!R$99</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649.51483851684054</v>
      </c>
      <c r="N73" s="240">
        <f t="shared" si="28"/>
        <v>628.63532126919563</v>
      </c>
      <c r="O73" s="240">
        <f t="shared" si="28"/>
        <v>638.03127330493885</v>
      </c>
      <c r="P73" s="240">
        <f t="shared" si="28"/>
        <v>691.02038056280492</v>
      </c>
      <c r="Q73" s="240">
        <f t="shared" si="28"/>
        <v>712.63759699259413</v>
      </c>
      <c r="R73" s="240">
        <f t="shared" si="28"/>
        <v>706.37461582139827</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5.639421471220829</v>
      </c>
      <c r="N74" s="184">
        <f t="shared" si="29"/>
        <v>36.311258358863597</v>
      </c>
      <c r="O74" s="184">
        <f t="shared" si="29"/>
        <v>82.139755504347832</v>
      </c>
      <c r="P74" s="184">
        <f t="shared" si="29"/>
        <v>51.679785496463893</v>
      </c>
      <c r="Q74" s="184">
        <f t="shared" si="29"/>
        <v>23.535384456287609</v>
      </c>
      <c r="R74" s="184">
        <f t="shared" si="29"/>
        <v>-706.37461582139827</v>
      </c>
    </row>
    <row r="75" spans="1:16383" x14ac:dyDescent="0.25">
      <c r="E75" s="7" t="s">
        <v>462</v>
      </c>
      <c r="F75" s="243"/>
      <c r="G75" s="243" t="s">
        <v>238</v>
      </c>
      <c r="H75" s="243"/>
      <c r="I75" s="243"/>
      <c r="J75" s="184">
        <f t="shared" ref="J75" si="30" xml:space="preserve"> (J73+J74) * J72</f>
        <v>0</v>
      </c>
      <c r="K75" s="184">
        <f t="shared" ref="K75" si="31" xml:space="preserve"> (K73+K74) * K72</f>
        <v>0</v>
      </c>
      <c r="L75" s="184">
        <f t="shared" ref="L75:R75" si="32" xml:space="preserve"> (L73+L74) * L72</f>
        <v>0</v>
      </c>
      <c r="M75" s="184">
        <f t="shared" si="32"/>
        <v>26.518938718865801</v>
      </c>
      <c r="N75" s="184">
        <f xml:space="preserve"> (N73+N74) * N72</f>
        <v>26.91530632312038</v>
      </c>
      <c r="O75" s="184">
        <f t="shared" si="32"/>
        <v>29.150648246481719</v>
      </c>
      <c r="P75" s="184">
        <f t="shared" si="32"/>
        <v>30.06256906667463</v>
      </c>
      <c r="Q75" s="184">
        <f t="shared" si="32"/>
        <v>29.798365627483481</v>
      </c>
      <c r="R75" s="184">
        <f t="shared" si="32"/>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InpR!E$92</f>
        <v>RCV - CPI(H) + RPI wedge initial balance - nominal - WN</v>
      </c>
      <c r="F77" s="249">
        <f>InpR!F$92</f>
        <v>651.37933061226192</v>
      </c>
      <c r="G77" s="30" t="str">
        <f>InpR!G$92</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0" t="str">
        <f>Index!E$47</f>
        <v>CPI(H): Fin year average - inflate from base year 2017-18 average - final determination</v>
      </c>
      <c r="F78" s="205">
        <f>Index!F$47</f>
        <v>0</v>
      </c>
      <c r="G78" s="248" t="str">
        <f>Index!G$47</f>
        <v>%</v>
      </c>
      <c r="H78" s="205">
        <f>Index!H$47</f>
        <v>0</v>
      </c>
      <c r="I78" s="205">
        <f>Index!I$47</f>
        <v>0</v>
      </c>
      <c r="J78" s="205">
        <f>Index!J$47</f>
        <v>0</v>
      </c>
      <c r="K78" s="205">
        <f>Index!K$47</f>
        <v>1.0212697905005599</v>
      </c>
      <c r="L78" s="205">
        <f>Index!L$47</f>
        <v>1.0416029201511179</v>
      </c>
      <c r="M78" s="205">
        <f>Index!M$47</f>
        <v>1.0622616980779827</v>
      </c>
      <c r="N78" s="205">
        <f>Index!N$47</f>
        <v>1.0835515290872799</v>
      </c>
      <c r="O78" s="205">
        <f>Index!O$47</f>
        <v>1.1060365794841869</v>
      </c>
      <c r="P78" s="205">
        <f>Index!P$47</f>
        <v>1.1292633476533553</v>
      </c>
      <c r="Q78" s="205">
        <f>Index!Q$47</f>
        <v>1.1529778779540774</v>
      </c>
      <c r="R78" s="205">
        <f>Index!R$47</f>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44" t="str">
        <f>Index!E$111</f>
        <v>CPI(H): Fin year average - inflate from base year 2017-18 average - actual (including forecast)</v>
      </c>
      <c r="F79" s="344">
        <f>Index!F$111</f>
        <v>0</v>
      </c>
      <c r="G79" s="344" t="str">
        <f>Index!G$111</f>
        <v>%</v>
      </c>
      <c r="H79" s="344">
        <f>Index!H$111</f>
        <v>0</v>
      </c>
      <c r="I79" s="344">
        <f>Index!I$111</f>
        <v>0</v>
      </c>
      <c r="J79" s="344">
        <f>Index!J$111</f>
        <v>0</v>
      </c>
      <c r="K79" s="344">
        <f>Index!K$111</f>
        <v>1.0212697905005599</v>
      </c>
      <c r="L79" s="344">
        <f>Index!L$111</f>
        <v>1.0386214616983847</v>
      </c>
      <c r="M79" s="344">
        <f>Index!M$111</f>
        <v>1.0469374700143934</v>
      </c>
      <c r="N79" s="344">
        <f>Index!N$111</f>
        <v>1.0853990084759317</v>
      </c>
      <c r="O79" s="344">
        <f>Index!O$111</f>
        <v>1.1806332960179113</v>
      </c>
      <c r="P79" s="344">
        <f>Index!P$111</f>
        <v>1.2461218615064769</v>
      </c>
      <c r="Q79" s="344">
        <f>Index!Q$111</f>
        <v>1.2861826323364782</v>
      </c>
      <c r="R79" s="344">
        <f>Index!R$111</f>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532</v>
      </c>
      <c r="F81" s="243">
        <f>(F77/SUMPRODUCT(J78:R78,J80:R80)) * SUMPRODUCT(J79:R79,J80:R80)</f>
        <v>649.51483851684054</v>
      </c>
      <c r="G81" s="243" t="s">
        <v>238</v>
      </c>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E82" s="138"/>
      <c r="F82" s="357"/>
      <c r="G82" s="138"/>
      <c r="H82" s="138"/>
    </row>
    <row r="83" spans="1:16383" s="200" customFormat="1" x14ac:dyDescent="0.25">
      <c r="A83" s="331"/>
      <c r="B83" s="346"/>
      <c r="C83" s="347"/>
      <c r="D83" s="348"/>
      <c r="E83" s="246" t="str">
        <f>E$81</f>
        <v>RCV - CPI(H) + RPI wedge initial balance adjusted for actual inflation - nominal - WN</v>
      </c>
      <c r="F83" s="246">
        <f>F$81</f>
        <v>649.51483851684054</v>
      </c>
      <c r="G83" s="246" t="str">
        <f t="shared" ref="G83" si="33">G$81</f>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 si="34" xml:space="preserve"> I89</f>
        <v>0</v>
      </c>
      <c r="K86" s="241">
        <f t="shared" ref="K86" si="35" xml:space="preserve"> J89</f>
        <v>0</v>
      </c>
      <c r="L86" s="241">
        <f t="shared" ref="L86" si="36" xml:space="preserve"> K89</f>
        <v>0</v>
      </c>
      <c r="M86" s="241">
        <f t="shared" ref="M86" si="37" xml:space="preserve"> L89</f>
        <v>649.51483851684054</v>
      </c>
      <c r="N86" s="241">
        <f t="shared" ref="N86" si="38" xml:space="preserve"> M89</f>
        <v>628.63532126919563</v>
      </c>
      <c r="O86" s="241">
        <f t="shared" ref="O86" si="39" xml:space="preserve"> N89</f>
        <v>638.03127330493885</v>
      </c>
      <c r="P86" s="241">
        <f t="shared" ref="P86" si="40" xml:space="preserve"> O89</f>
        <v>691.02038056280492</v>
      </c>
      <c r="Q86" s="241">
        <f t="shared" ref="Q86" si="41" xml:space="preserve"> P89</f>
        <v>712.63759699259413</v>
      </c>
      <c r="R86" s="241">
        <f t="shared" ref="R86" si="42" xml:space="preserve"> Q89</f>
        <v>706.37461582139827</v>
      </c>
    </row>
    <row r="87" spans="1:16383" x14ac:dyDescent="0.25">
      <c r="A87" s="47"/>
      <c r="B87" s="51"/>
      <c r="C87" s="111"/>
      <c r="D87" s="56" t="s">
        <v>445</v>
      </c>
      <c r="E87" s="7" t="str">
        <f t="shared" ref="E87:R87" si="43" xml:space="preserve"> E$70</f>
        <v>Actual RCV indexation - nominal</v>
      </c>
      <c r="F87" s="241">
        <f t="shared" si="43"/>
        <v>0</v>
      </c>
      <c r="G87" s="162" t="str">
        <f t="shared" si="43"/>
        <v>£m</v>
      </c>
      <c r="H87" s="241">
        <f t="shared" si="43"/>
        <v>0</v>
      </c>
      <c r="I87" s="162">
        <f t="shared" si="43"/>
        <v>0</v>
      </c>
      <c r="J87" s="241">
        <f t="shared" si="43"/>
        <v>0</v>
      </c>
      <c r="K87" s="241">
        <f t="shared" si="43"/>
        <v>0</v>
      </c>
      <c r="L87" s="241">
        <f t="shared" si="43"/>
        <v>0</v>
      </c>
      <c r="M87" s="241">
        <f t="shared" si="43"/>
        <v>5.639421471220829</v>
      </c>
      <c r="N87" s="241">
        <f t="shared" si="43"/>
        <v>36.311258358863597</v>
      </c>
      <c r="O87" s="241">
        <f t="shared" si="43"/>
        <v>82.139755504347832</v>
      </c>
      <c r="P87" s="241">
        <f t="shared" si="43"/>
        <v>51.679785496463893</v>
      </c>
      <c r="Q87" s="241">
        <f t="shared" si="43"/>
        <v>23.535384456287609</v>
      </c>
      <c r="R87" s="241">
        <f t="shared" si="43"/>
        <v>-706.37461582139827</v>
      </c>
    </row>
    <row r="88" spans="1:16383" x14ac:dyDescent="0.25">
      <c r="A88" s="47"/>
      <c r="B88" s="51"/>
      <c r="C88" s="111"/>
      <c r="D88" s="56" t="s">
        <v>446</v>
      </c>
      <c r="E88" s="7" t="str">
        <f t="shared" ref="E88:R88" si="44" xml:space="preserve"> E$75</f>
        <v>RCV run-off company should have received - nominal</v>
      </c>
      <c r="F88" s="241">
        <f t="shared" si="44"/>
        <v>0</v>
      </c>
      <c r="G88" s="162" t="str">
        <f t="shared" si="44"/>
        <v>£m</v>
      </c>
      <c r="H88" s="241">
        <f t="shared" si="44"/>
        <v>0</v>
      </c>
      <c r="I88" s="162">
        <f t="shared" si="44"/>
        <v>0</v>
      </c>
      <c r="J88" s="241">
        <f t="shared" si="44"/>
        <v>0</v>
      </c>
      <c r="K88" s="241">
        <f t="shared" si="44"/>
        <v>0</v>
      </c>
      <c r="L88" s="241">
        <f t="shared" si="44"/>
        <v>0</v>
      </c>
      <c r="M88" s="241">
        <f t="shared" si="44"/>
        <v>26.518938718865801</v>
      </c>
      <c r="N88" s="241">
        <f t="shared" si="44"/>
        <v>26.91530632312038</v>
      </c>
      <c r="O88" s="241">
        <f t="shared" si="44"/>
        <v>29.150648246481719</v>
      </c>
      <c r="P88" s="241">
        <f t="shared" si="44"/>
        <v>30.06256906667463</v>
      </c>
      <c r="Q88" s="241">
        <f t="shared" si="44"/>
        <v>29.798365627483481</v>
      </c>
      <c r="R88" s="241">
        <f t="shared" si="44"/>
        <v>0</v>
      </c>
    </row>
    <row r="89" spans="1:16383" s="138" customFormat="1" x14ac:dyDescent="0.25">
      <c r="A89" s="134"/>
      <c r="B89" s="135"/>
      <c r="C89" s="136"/>
      <c r="D89" s="137"/>
      <c r="E89" s="138" t="s">
        <v>465</v>
      </c>
      <c r="G89" s="163" t="s">
        <v>238</v>
      </c>
      <c r="J89" s="242">
        <f t="shared" ref="J89:R89" si="45" xml:space="preserve"> IF( J84 = 1, $F83, J86 + J87 - J88)</f>
        <v>0</v>
      </c>
      <c r="K89" s="242">
        <f t="shared" si="45"/>
        <v>0</v>
      </c>
      <c r="L89" s="242">
        <f t="shared" si="45"/>
        <v>649.51483851684054</v>
      </c>
      <c r="M89" s="242">
        <f t="shared" si="45"/>
        <v>628.63532126919563</v>
      </c>
      <c r="N89" s="242">
        <f t="shared" si="45"/>
        <v>638.03127330493885</v>
      </c>
      <c r="O89" s="242">
        <f t="shared" si="45"/>
        <v>691.02038056280492</v>
      </c>
      <c r="P89" s="242">
        <f t="shared" si="45"/>
        <v>712.63759699259413</v>
      </c>
      <c r="Q89" s="242">
        <f t="shared" si="45"/>
        <v>706.37461582139827</v>
      </c>
      <c r="R89" s="242">
        <f t="shared" si="45"/>
        <v>0</v>
      </c>
    </row>
    <row r="90" spans="1:16383" x14ac:dyDescent="0.25"/>
    <row r="91" spans="1:16383" s="92" customFormat="1" x14ac:dyDescent="0.25">
      <c r="A91" s="164"/>
      <c r="B91" s="165"/>
      <c r="C91" s="166"/>
      <c r="D91" s="167"/>
      <c r="E91" s="7" t="str">
        <f t="shared" ref="E91:R91" si="46" xml:space="preserve"> E$86</f>
        <v>Actual Nominal RCV balance BEG</v>
      </c>
      <c r="F91" s="185">
        <f t="shared" si="46"/>
        <v>0</v>
      </c>
      <c r="G91" s="92" t="str">
        <f t="shared" si="46"/>
        <v>£m</v>
      </c>
      <c r="H91" s="185">
        <f t="shared" si="46"/>
        <v>0</v>
      </c>
      <c r="I91" s="185">
        <f t="shared" si="46"/>
        <v>0</v>
      </c>
      <c r="J91" s="185">
        <f t="shared" si="46"/>
        <v>0</v>
      </c>
      <c r="K91" s="185">
        <f t="shared" si="46"/>
        <v>0</v>
      </c>
      <c r="L91" s="185">
        <f t="shared" si="46"/>
        <v>0</v>
      </c>
      <c r="M91" s="185">
        <f t="shared" si="46"/>
        <v>649.51483851684054</v>
      </c>
      <c r="N91" s="185">
        <f t="shared" si="46"/>
        <v>628.63532126919563</v>
      </c>
      <c r="O91" s="185">
        <f t="shared" si="46"/>
        <v>638.03127330493885</v>
      </c>
      <c r="P91" s="185">
        <f t="shared" si="46"/>
        <v>691.02038056280492</v>
      </c>
      <c r="Q91" s="185">
        <f t="shared" si="46"/>
        <v>712.63759699259413</v>
      </c>
      <c r="R91" s="185">
        <f t="shared" si="46"/>
        <v>706.37461582139827</v>
      </c>
    </row>
    <row r="92" spans="1:16383" s="92" customFormat="1" x14ac:dyDescent="0.25">
      <c r="A92" s="164"/>
      <c r="B92" s="165"/>
      <c r="C92" s="166"/>
      <c r="D92" s="167"/>
      <c r="E92" s="7" t="str">
        <f t="shared" ref="E92:R92" si="47" xml:space="preserve"> E$87</f>
        <v>Actual RCV indexation - nominal</v>
      </c>
      <c r="F92" s="241">
        <f t="shared" si="47"/>
        <v>0</v>
      </c>
      <c r="G92" s="162" t="str">
        <f t="shared" si="47"/>
        <v>£m</v>
      </c>
      <c r="H92" s="241">
        <f t="shared" si="47"/>
        <v>0</v>
      </c>
      <c r="I92" s="241">
        <f t="shared" si="47"/>
        <v>0</v>
      </c>
      <c r="J92" s="241">
        <f t="shared" si="47"/>
        <v>0</v>
      </c>
      <c r="K92" s="241">
        <f t="shared" si="47"/>
        <v>0</v>
      </c>
      <c r="L92" s="241">
        <f t="shared" si="47"/>
        <v>0</v>
      </c>
      <c r="M92" s="241">
        <f t="shared" si="47"/>
        <v>5.639421471220829</v>
      </c>
      <c r="N92" s="241">
        <f t="shared" si="47"/>
        <v>36.311258358863597</v>
      </c>
      <c r="O92" s="241">
        <f t="shared" si="47"/>
        <v>82.139755504347832</v>
      </c>
      <c r="P92" s="241">
        <f t="shared" si="47"/>
        <v>51.679785496463893</v>
      </c>
      <c r="Q92" s="241">
        <f t="shared" si="47"/>
        <v>23.535384456287609</v>
      </c>
      <c r="R92" s="241">
        <f t="shared" si="47"/>
        <v>-706.37461582139827</v>
      </c>
    </row>
    <row r="93" spans="1:16383" s="92" customFormat="1" x14ac:dyDescent="0.25">
      <c r="A93" s="164"/>
      <c r="B93" s="165"/>
      <c r="C93" s="166"/>
      <c r="D93" s="167"/>
      <c r="E93" s="7" t="str">
        <f t="shared" ref="E93:R93" si="48" xml:space="preserve"> E$89</f>
        <v>Actual Nominal RCV balance END</v>
      </c>
      <c r="F93" s="185">
        <f t="shared" si="48"/>
        <v>0</v>
      </c>
      <c r="G93" s="92" t="str">
        <f t="shared" si="48"/>
        <v>£m</v>
      </c>
      <c r="H93" s="185">
        <f t="shared" si="48"/>
        <v>0</v>
      </c>
      <c r="I93" s="185">
        <f t="shared" si="48"/>
        <v>0</v>
      </c>
      <c r="J93" s="185">
        <f t="shared" si="48"/>
        <v>0</v>
      </c>
      <c r="K93" s="185">
        <f t="shared" si="48"/>
        <v>0</v>
      </c>
      <c r="L93" s="185">
        <f t="shared" si="48"/>
        <v>649.51483851684054</v>
      </c>
      <c r="M93" s="185">
        <f t="shared" si="48"/>
        <v>628.63532126919563</v>
      </c>
      <c r="N93" s="185">
        <f t="shared" si="48"/>
        <v>638.03127330493885</v>
      </c>
      <c r="O93" s="185">
        <f t="shared" si="48"/>
        <v>691.02038056280492</v>
      </c>
      <c r="P93" s="185">
        <f t="shared" si="48"/>
        <v>712.63759699259413</v>
      </c>
      <c r="Q93" s="185">
        <f t="shared" si="48"/>
        <v>706.37461582139827</v>
      </c>
      <c r="R93" s="185">
        <f t="shared" si="48"/>
        <v>0</v>
      </c>
    </row>
    <row r="94" spans="1:16383" x14ac:dyDescent="0.25">
      <c r="A94" s="49"/>
      <c r="D94" s="57"/>
      <c r="E94" s="7" t="s">
        <v>466</v>
      </c>
      <c r="G94" s="92" t="s">
        <v>238</v>
      </c>
      <c r="H94" s="243"/>
      <c r="I94" s="243"/>
      <c r="J94" s="185">
        <f t="shared" ref="J94" si="49" xml:space="preserve"> ( (J91+J92) + J93) / 2</f>
        <v>0</v>
      </c>
      <c r="K94" s="185">
        <f t="shared" ref="K94" si="50" xml:space="preserve"> ( (K91+K92) + K93) / 2</f>
        <v>0</v>
      </c>
      <c r="L94" s="185">
        <f xml:space="preserve"> ( (L91+L92) + L93) / 2</f>
        <v>324.75741925842027</v>
      </c>
      <c r="M94" s="185">
        <f xml:space="preserve"> ( (M91+M92) + M93) / 2</f>
        <v>641.89479062862847</v>
      </c>
      <c r="N94" s="185">
        <f t="shared" ref="N94" si="51" xml:space="preserve"> ( (N91+N92) + N93) / 2</f>
        <v>651.48892646649904</v>
      </c>
      <c r="O94" s="185">
        <f t="shared" ref="O94" si="52" xml:space="preserve"> ( (O91+O92) + O93) / 2</f>
        <v>705.59570468604579</v>
      </c>
      <c r="P94" s="185">
        <f t="shared" ref="P94" si="53" xml:space="preserve"> ( (P91+P92) + P93) / 2</f>
        <v>727.66888152593151</v>
      </c>
      <c r="Q94" s="185">
        <f xml:space="preserve"> ( (Q91+Q92) + Q93) / 2</f>
        <v>721.27379863514</v>
      </c>
      <c r="R94" s="185">
        <f t="shared" ref="R94" si="54"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InpR!E$106</f>
        <v>WACC on RCV - CPI(H) + RPI wedge bf and additions - WN</v>
      </c>
      <c r="F97" s="205">
        <f xml:space="preserve"> InpR!F$106</f>
        <v>0</v>
      </c>
      <c r="G97" s="223" t="str">
        <f xml:space="preserve"> InpR!G$106</f>
        <v>%</v>
      </c>
      <c r="H97" s="205">
        <f xml:space="preserve"> InpR!H$106</f>
        <v>0</v>
      </c>
      <c r="I97" s="205">
        <f xml:space="preserve"> InpR!I$106</f>
        <v>0</v>
      </c>
      <c r="J97" s="205">
        <f xml:space="preserve"> InpR!J$106</f>
        <v>0</v>
      </c>
      <c r="K97" s="205">
        <f xml:space="preserve"> InpR!K$106</f>
        <v>0</v>
      </c>
      <c r="L97" s="205">
        <f xml:space="preserve"> InpR!L$106</f>
        <v>0</v>
      </c>
      <c r="M97" s="205">
        <f xml:space="preserve"> InpR!M$106</f>
        <v>1.920357193840716E-2</v>
      </c>
      <c r="N97" s="205">
        <f xml:space="preserve"> InpR!N$106</f>
        <v>1.920357193840716E-2</v>
      </c>
      <c r="O97" s="205">
        <f xml:space="preserve"> InpR!O$106</f>
        <v>1.920357193840716E-2</v>
      </c>
      <c r="P97" s="205">
        <f xml:space="preserve"> InpR!P$106</f>
        <v>1.920357193840716E-2</v>
      </c>
      <c r="Q97" s="205">
        <f xml:space="preserve"> InpR!Q$106</f>
        <v>1.920357193840716E-2</v>
      </c>
      <c r="R97" s="205">
        <f xml:space="preserve"> InpR!R$106</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55" xml:space="preserve"> E$94</f>
        <v>Actual average RCV balance</v>
      </c>
      <c r="F99" s="184">
        <f t="shared" si="55"/>
        <v>0</v>
      </c>
      <c r="G99" s="184" t="str">
        <f t="shared" si="55"/>
        <v>£m</v>
      </c>
      <c r="H99" s="184">
        <f t="shared" si="55"/>
        <v>0</v>
      </c>
      <c r="I99" s="184">
        <f t="shared" si="55"/>
        <v>0</v>
      </c>
      <c r="J99" s="184">
        <f t="shared" si="55"/>
        <v>0</v>
      </c>
      <c r="K99" s="184">
        <f t="shared" si="55"/>
        <v>0</v>
      </c>
      <c r="L99" s="184">
        <f t="shared" si="55"/>
        <v>324.75741925842027</v>
      </c>
      <c r="M99" s="184">
        <f t="shared" si="55"/>
        <v>641.89479062862847</v>
      </c>
      <c r="N99" s="184">
        <f t="shared" si="55"/>
        <v>651.48892646649904</v>
      </c>
      <c r="O99" s="184">
        <f t="shared" si="55"/>
        <v>705.59570468604579</v>
      </c>
      <c r="P99" s="184">
        <f t="shared" si="55"/>
        <v>727.66888152593151</v>
      </c>
      <c r="Q99" s="184">
        <f t="shared" si="55"/>
        <v>721.27379863514</v>
      </c>
      <c r="R99" s="184">
        <f t="shared" si="55"/>
        <v>0</v>
      </c>
    </row>
    <row r="100" spans="1:26" x14ac:dyDescent="0.25">
      <c r="E100" s="7" t="s">
        <v>468</v>
      </c>
      <c r="F100" s="243"/>
      <c r="G100" s="184" t="s">
        <v>238</v>
      </c>
      <c r="H100" s="243"/>
      <c r="I100" s="243"/>
      <c r="J100" s="243">
        <f t="shared" ref="J100:K100" si="56">J97*J98*J99</f>
        <v>0</v>
      </c>
      <c r="K100" s="243">
        <f t="shared" si="56"/>
        <v>0</v>
      </c>
      <c r="L100" s="243">
        <f>L97*L98*L99</f>
        <v>0</v>
      </c>
      <c r="M100" s="243">
        <f>M97*M98*M99</f>
        <v>12.326672788725668</v>
      </c>
      <c r="N100" s="243">
        <f t="shared" ref="N100:R100" si="57">N97*N98*N99</f>
        <v>12.510914466475066</v>
      </c>
      <c r="O100" s="243">
        <f t="shared" si="57"/>
        <v>13.549957874369575</v>
      </c>
      <c r="P100" s="243">
        <f t="shared" si="57"/>
        <v>13.973841713723504</v>
      </c>
      <c r="Q100" s="243">
        <f t="shared" si="57"/>
        <v>13.851033279378111</v>
      </c>
      <c r="R100" s="243">
        <f t="shared" si="57"/>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58" xml:space="preserve"> E$89</f>
        <v>Actual Nominal RCV balance END</v>
      </c>
      <c r="F103" s="185">
        <f t="shared" si="58"/>
        <v>0</v>
      </c>
      <c r="G103" s="185" t="str">
        <f t="shared" si="58"/>
        <v>£m</v>
      </c>
      <c r="H103" s="185">
        <f t="shared" si="58"/>
        <v>0</v>
      </c>
      <c r="I103" s="185">
        <f t="shared" si="58"/>
        <v>0</v>
      </c>
      <c r="J103" s="185">
        <f t="shared" si="58"/>
        <v>0</v>
      </c>
      <c r="K103" s="185">
        <f t="shared" si="58"/>
        <v>0</v>
      </c>
      <c r="L103" s="185">
        <f t="shared" si="58"/>
        <v>649.51483851684054</v>
      </c>
      <c r="M103" s="185">
        <f t="shared" si="58"/>
        <v>628.63532126919563</v>
      </c>
      <c r="N103" s="185">
        <f t="shared" si="58"/>
        <v>638.03127330493885</v>
      </c>
      <c r="O103" s="185">
        <f t="shared" si="58"/>
        <v>691.02038056280492</v>
      </c>
      <c r="P103" s="185">
        <f t="shared" si="58"/>
        <v>712.63759699259413</v>
      </c>
      <c r="Q103" s="185">
        <f t="shared" si="58"/>
        <v>706.37461582139827</v>
      </c>
      <c r="R103" s="185">
        <f t="shared" si="58"/>
        <v>0</v>
      </c>
    </row>
    <row r="104" spans="1:26" x14ac:dyDescent="0.25">
      <c r="C104" s="267"/>
      <c r="E104" s="7" t="s">
        <v>469</v>
      </c>
      <c r="F104" s="243"/>
      <c r="G104" s="243"/>
      <c r="H104" s="243"/>
      <c r="I104" s="243"/>
      <c r="J104" s="184">
        <f>J103 * J102</f>
        <v>0</v>
      </c>
      <c r="K104" s="184">
        <f t="shared" ref="K104" si="59">K103 * K102</f>
        <v>0</v>
      </c>
      <c r="L104" s="184">
        <f t="shared" ref="L104" si="60">L103 * L102</f>
        <v>0</v>
      </c>
      <c r="M104" s="184">
        <f t="shared" ref="M104" si="61">M103 * M102</f>
        <v>0</v>
      </c>
      <c r="N104" s="184">
        <f t="shared" ref="N104" si="62">N103 * N102</f>
        <v>0</v>
      </c>
      <c r="O104" s="184">
        <f t="shared" ref="O104" si="63">O103 * O102</f>
        <v>0</v>
      </c>
      <c r="P104" s="184">
        <f t="shared" ref="P104" si="64">P103 * P102</f>
        <v>0</v>
      </c>
      <c r="Q104" s="184">
        <f t="shared" ref="Q104" si="65">Q103 * Q102</f>
        <v>706.37461582139827</v>
      </c>
      <c r="R104" s="184">
        <f t="shared" ref="R104" si="66">R103 * R102</f>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67" xml:space="preserve"> E$75</f>
        <v>RCV run-off company should have received - nominal</v>
      </c>
      <c r="F107" s="184">
        <f t="shared" si="67"/>
        <v>0</v>
      </c>
      <c r="G107" s="184" t="str">
        <f t="shared" si="67"/>
        <v>£m</v>
      </c>
      <c r="H107" s="184">
        <f t="shared" si="67"/>
        <v>0</v>
      </c>
      <c r="I107" s="184">
        <f t="shared" si="67"/>
        <v>0</v>
      </c>
      <c r="J107" s="184">
        <f t="shared" si="67"/>
        <v>0</v>
      </c>
      <c r="K107" s="184">
        <f t="shared" si="67"/>
        <v>0</v>
      </c>
      <c r="L107" s="184">
        <f t="shared" si="67"/>
        <v>0</v>
      </c>
      <c r="M107" s="184">
        <f t="shared" si="67"/>
        <v>26.518938718865801</v>
      </c>
      <c r="N107" s="184">
        <f t="shared" si="67"/>
        <v>26.91530632312038</v>
      </c>
      <c r="O107" s="184">
        <f t="shared" si="67"/>
        <v>29.150648246481719</v>
      </c>
      <c r="P107" s="184">
        <f t="shared" si="67"/>
        <v>30.06256906667463</v>
      </c>
      <c r="Q107" s="184">
        <f t="shared" si="67"/>
        <v>29.798365627483481</v>
      </c>
      <c r="R107" s="184">
        <f t="shared" si="67"/>
        <v>0</v>
      </c>
    </row>
    <row r="108" spans="1:26" s="91" customFormat="1" x14ac:dyDescent="0.25">
      <c r="A108" s="170"/>
      <c r="B108" s="165"/>
      <c r="C108" s="166"/>
      <c r="D108" s="171"/>
      <c r="E108" s="7" t="str">
        <f t="shared" ref="E108:R109" si="68" xml:space="preserve"> E$100</f>
        <v>Nominal return company should have received</v>
      </c>
      <c r="F108" s="184">
        <f t="shared" si="68"/>
        <v>0</v>
      </c>
      <c r="G108" s="184" t="str">
        <f t="shared" si="68"/>
        <v>£m</v>
      </c>
      <c r="H108" s="184">
        <f t="shared" si="68"/>
        <v>0</v>
      </c>
      <c r="I108" s="184">
        <f t="shared" si="68"/>
        <v>0</v>
      </c>
      <c r="J108" s="184">
        <f t="shared" si="68"/>
        <v>0</v>
      </c>
      <c r="K108" s="184">
        <f t="shared" si="68"/>
        <v>0</v>
      </c>
      <c r="L108" s="184">
        <f t="shared" si="68"/>
        <v>0</v>
      </c>
      <c r="M108" s="184">
        <f t="shared" si="68"/>
        <v>12.326672788725668</v>
      </c>
      <c r="N108" s="184">
        <f t="shared" si="68"/>
        <v>12.510914466475066</v>
      </c>
      <c r="O108" s="184">
        <f t="shared" si="68"/>
        <v>13.549957874369575</v>
      </c>
      <c r="P108" s="184">
        <f t="shared" si="68"/>
        <v>13.973841713723504</v>
      </c>
      <c r="Q108" s="184">
        <f t="shared" si="68"/>
        <v>13.851033279378111</v>
      </c>
      <c r="R108" s="184">
        <f t="shared" si="68"/>
        <v>0</v>
      </c>
      <c r="S108" s="92"/>
      <c r="T108" s="92"/>
      <c r="U108" s="92"/>
      <c r="V108" s="92"/>
      <c r="W108" s="92"/>
      <c r="X108" s="92"/>
      <c r="Y108" s="92"/>
      <c r="Z108" s="92"/>
    </row>
    <row r="109" spans="1:26" x14ac:dyDescent="0.25">
      <c r="E109" s="7" t="s">
        <v>471</v>
      </c>
      <c r="F109" s="243"/>
      <c r="G109" s="184" t="str">
        <f t="shared" si="68"/>
        <v>£m</v>
      </c>
      <c r="H109" s="243">
        <f>SUM(J109:R109)</f>
        <v>208.65824810529793</v>
      </c>
      <c r="I109" s="243"/>
      <c r="J109" s="243">
        <f t="shared" ref="J109:R109" si="69">SUM(J107:J108)</f>
        <v>0</v>
      </c>
      <c r="K109" s="243">
        <f t="shared" si="69"/>
        <v>0</v>
      </c>
      <c r="L109" s="243">
        <f t="shared" si="69"/>
        <v>0</v>
      </c>
      <c r="M109" s="243">
        <f t="shared" si="69"/>
        <v>38.845611507591471</v>
      </c>
      <c r="N109" s="243">
        <f t="shared" si="69"/>
        <v>39.426220789595448</v>
      </c>
      <c r="O109" s="243">
        <f t="shared" si="69"/>
        <v>42.70060612085129</v>
      </c>
      <c r="P109" s="243">
        <f t="shared" si="69"/>
        <v>44.036410780398136</v>
      </c>
      <c r="Q109" s="243">
        <f t="shared" si="69"/>
        <v>43.649398906861592</v>
      </c>
      <c r="R109" s="243">
        <f t="shared" si="6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70" xml:space="preserve"> F$61</f>
        <v>0</v>
      </c>
      <c r="G115" s="184" t="str">
        <f t="shared" si="70"/>
        <v>£m</v>
      </c>
      <c r="H115" s="184">
        <f t="shared" si="70"/>
        <v>0</v>
      </c>
      <c r="I115" s="184">
        <f t="shared" si="70"/>
        <v>0</v>
      </c>
      <c r="J115" s="184">
        <f t="shared" si="70"/>
        <v>0</v>
      </c>
      <c r="K115" s="184">
        <f t="shared" si="70"/>
        <v>0</v>
      </c>
      <c r="L115" s="184">
        <f t="shared" si="70"/>
        <v>0</v>
      </c>
      <c r="M115" s="184">
        <f t="shared" si="70"/>
        <v>39.558678061774124</v>
      </c>
      <c r="N115" s="184">
        <f t="shared" si="70"/>
        <v>39.080517337092822</v>
      </c>
      <c r="O115" s="184">
        <f t="shared" si="70"/>
        <v>38.679985012840085</v>
      </c>
      <c r="P115" s="184">
        <f t="shared" si="70"/>
        <v>38.301978162302092</v>
      </c>
      <c r="Q115" s="184">
        <f t="shared" si="70"/>
        <v>37.927665449158546</v>
      </c>
      <c r="R115" s="184">
        <f xml:space="preserve"> R$61</f>
        <v>0</v>
      </c>
    </row>
    <row r="116" spans="1:26" x14ac:dyDescent="0.25">
      <c r="E116" s="7" t="str">
        <f t="shared" ref="E116:R116" si="71" xml:space="preserve"> E$109</f>
        <v>Total nominal revenue company should have received</v>
      </c>
      <c r="F116" s="184">
        <f t="shared" si="71"/>
        <v>0</v>
      </c>
      <c r="G116" s="184" t="str">
        <f t="shared" si="71"/>
        <v>£m</v>
      </c>
      <c r="H116" s="184">
        <f t="shared" si="71"/>
        <v>208.65824810529793</v>
      </c>
      <c r="I116" s="184">
        <f t="shared" si="71"/>
        <v>0</v>
      </c>
      <c r="J116" s="184">
        <f t="shared" si="71"/>
        <v>0</v>
      </c>
      <c r="K116" s="184">
        <f t="shared" si="71"/>
        <v>0</v>
      </c>
      <c r="L116" s="184">
        <f t="shared" si="71"/>
        <v>0</v>
      </c>
      <c r="M116" s="184">
        <f t="shared" si="71"/>
        <v>38.845611507591471</v>
      </c>
      <c r="N116" s="184">
        <f t="shared" si="71"/>
        <v>39.426220789595448</v>
      </c>
      <c r="O116" s="184">
        <f t="shared" si="71"/>
        <v>42.70060612085129</v>
      </c>
      <c r="P116" s="184">
        <f t="shared" si="71"/>
        <v>44.036410780398136</v>
      </c>
      <c r="Q116" s="184">
        <f t="shared" si="71"/>
        <v>43.649398906861592</v>
      </c>
      <c r="R116" s="184">
        <f t="shared" si="71"/>
        <v>0</v>
      </c>
    </row>
    <row r="117" spans="1:26" s="184" customFormat="1" x14ac:dyDescent="0.25">
      <c r="A117" s="180"/>
      <c r="B117" s="181"/>
      <c r="C117" s="182"/>
      <c r="D117" s="183"/>
      <c r="E117" s="7" t="s">
        <v>474</v>
      </c>
      <c r="G117" s="184" t="str">
        <f t="shared" ref="G117" si="72" xml:space="preserve"> G$100</f>
        <v>£m</v>
      </c>
      <c r="H117" s="243">
        <f>SUM(J117:R117)</f>
        <v>15.109424082130268</v>
      </c>
      <c r="M117" s="184">
        <f>M116-M115</f>
        <v>-0.71306655418265308</v>
      </c>
      <c r="N117" s="184">
        <f t="shared" ref="N117:Q117" si="73">N116-N115</f>
        <v>0.34570345250262591</v>
      </c>
      <c r="O117" s="184">
        <f t="shared" si="73"/>
        <v>4.0206211080112055</v>
      </c>
      <c r="P117" s="184">
        <f t="shared" si="73"/>
        <v>5.7344326180960437</v>
      </c>
      <c r="Q117" s="184">
        <f t="shared" si="73"/>
        <v>5.7217334577030456</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Q127" si="74">SUM(J125:J126)</f>
        <v>0</v>
      </c>
      <c r="K127" s="172">
        <f t="shared" si="74"/>
        <v>0</v>
      </c>
      <c r="L127" s="172">
        <f t="shared" si="74"/>
        <v>3.1522140708501789E-2</v>
      </c>
      <c r="M127" s="172">
        <f t="shared" si="74"/>
        <v>2.4258091513662761E-2</v>
      </c>
      <c r="N127" s="172">
        <f t="shared" si="74"/>
        <v>2.9587648685595269E-2</v>
      </c>
      <c r="O127" s="172">
        <f t="shared" si="74"/>
        <v>3.150368327076003E-2</v>
      </c>
      <c r="P127" s="172">
        <f t="shared" si="74"/>
        <v>3.2000000000000695E-2</v>
      </c>
      <c r="Q127" s="172">
        <f t="shared" si="74"/>
        <v>3.1999999999999806E-2</v>
      </c>
      <c r="R127" s="172">
        <f t="shared" ref="R127" si="75">SUM(R125:R126)</f>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76" xml:space="preserve"> F$141</f>
        <v>0</v>
      </c>
      <c r="G129" s="161" t="str">
        <f t="shared" si="76"/>
        <v>£m</v>
      </c>
      <c r="H129" s="326">
        <f t="shared" si="76"/>
        <v>0</v>
      </c>
      <c r="I129" s="326">
        <f t="shared" si="76"/>
        <v>0</v>
      </c>
      <c r="J129" s="326">
        <f t="shared" si="76"/>
        <v>0</v>
      </c>
      <c r="K129" s="326">
        <f xml:space="preserve"> K$141</f>
        <v>0</v>
      </c>
      <c r="L129" s="326">
        <f t="shared" si="76"/>
        <v>0</v>
      </c>
      <c r="M129" s="326">
        <f t="shared" si="76"/>
        <v>651.37933061226192</v>
      </c>
      <c r="N129" s="326">
        <f t="shared" si="76"/>
        <v>640.17481839584855</v>
      </c>
      <c r="O129" s="326">
        <f t="shared" si="76"/>
        <v>632.43678289807815</v>
      </c>
      <c r="P129" s="326">
        <f t="shared" si="76"/>
        <v>625.9550013901179</v>
      </c>
      <c r="Q129" s="326">
        <f t="shared" si="76"/>
        <v>619.83774776203518</v>
      </c>
      <c r="R129" s="326">
        <f t="shared" si="76"/>
        <v>613.78027605416526</v>
      </c>
    </row>
    <row r="130" spans="1:16383" x14ac:dyDescent="0.25">
      <c r="E130" s="178" t="str">
        <f xml:space="preserve"> E$127</f>
        <v>True up Indexation percentage</v>
      </c>
      <c r="F130" s="178">
        <f t="shared" ref="F130:R130" si="77" xml:space="preserve"> F$127</f>
        <v>0</v>
      </c>
      <c r="G130" s="178">
        <f t="shared" si="77"/>
        <v>0</v>
      </c>
      <c r="H130" s="178">
        <f t="shared" si="77"/>
        <v>0</v>
      </c>
      <c r="I130" s="178">
        <f t="shared" si="77"/>
        <v>0</v>
      </c>
      <c r="J130" s="178">
        <f t="shared" si="77"/>
        <v>0</v>
      </c>
      <c r="K130" s="178">
        <f t="shared" si="77"/>
        <v>0</v>
      </c>
      <c r="L130" s="178">
        <f t="shared" si="77"/>
        <v>3.1522140708501789E-2</v>
      </c>
      <c r="M130" s="178">
        <f t="shared" si="77"/>
        <v>2.4258091513662761E-2</v>
      </c>
      <c r="N130" s="178">
        <f t="shared" si="77"/>
        <v>2.9587648685595269E-2</v>
      </c>
      <c r="O130" s="178">
        <f t="shared" si="77"/>
        <v>3.150368327076003E-2</v>
      </c>
      <c r="P130" s="178">
        <f t="shared" si="77"/>
        <v>3.2000000000000695E-2</v>
      </c>
      <c r="Q130" s="178">
        <f t="shared" si="77"/>
        <v>3.1999999999999806E-2</v>
      </c>
      <c r="R130" s="178">
        <f t="shared" si="77"/>
        <v>2.9999999999999805E-2</v>
      </c>
    </row>
    <row r="131" spans="1:16383" x14ac:dyDescent="0.25">
      <c r="C131" s="267"/>
      <c r="E131" s="7" t="s">
        <v>480</v>
      </c>
      <c r="G131" s="91" t="s">
        <v>238</v>
      </c>
      <c r="J131" s="245">
        <f>J129*J130</f>
        <v>0</v>
      </c>
      <c r="K131" s="245">
        <f t="shared" ref="K131:L131" si="78">K129*K130</f>
        <v>0</v>
      </c>
      <c r="L131" s="245">
        <f t="shared" si="78"/>
        <v>0</v>
      </c>
      <c r="M131" s="245">
        <f>M129*M130</f>
        <v>15.801219412100641</v>
      </c>
      <c r="N131" s="245">
        <f t="shared" ref="N131:R131" si="79">N129*N130</f>
        <v>18.941267624061119</v>
      </c>
      <c r="O131" s="245">
        <f t="shared" si="79"/>
        <v>19.924088097199476</v>
      </c>
      <c r="P131" s="245">
        <f t="shared" si="79"/>
        <v>20.030560044484208</v>
      </c>
      <c r="Q131" s="245">
        <f t="shared" si="79"/>
        <v>19.834807928385004</v>
      </c>
      <c r="R131" s="245">
        <f t="shared" si="79"/>
        <v>18.413408281624839</v>
      </c>
    </row>
    <row r="132" spans="1:16383" x14ac:dyDescent="0.25"/>
    <row r="133" spans="1:16383" s="205" customFormat="1" x14ac:dyDescent="0.25">
      <c r="A133" s="201"/>
      <c r="B133" s="202"/>
      <c r="C133" s="203"/>
      <c r="D133" s="204"/>
      <c r="E133" s="37" t="str">
        <f xml:space="preserve"> InpR!E$99</f>
        <v>Run-off rate - CPI(H) + RPI wedge - active - WN</v>
      </c>
      <c r="F133" s="205">
        <f xml:space="preserve"> InpR!F$99</f>
        <v>0</v>
      </c>
      <c r="G133" s="223" t="str">
        <f xml:space="preserve"> InpR!G$99</f>
        <v>%</v>
      </c>
      <c r="H133" s="205">
        <f xml:space="preserve"> InpR!H$99</f>
        <v>0</v>
      </c>
      <c r="I133" s="205">
        <f xml:space="preserve"> InpR!I$99</f>
        <v>0</v>
      </c>
      <c r="J133" s="205">
        <f xml:space="preserve"> InpR!J$99</f>
        <v>0</v>
      </c>
      <c r="K133" s="205">
        <f xml:space="preserve"> InpR!K$99</f>
        <v>0</v>
      </c>
      <c r="L133" s="205">
        <f xml:space="preserve"> InpR!L$99</f>
        <v>0</v>
      </c>
      <c r="M133" s="205">
        <f xml:space="preserve"> InpR!M$99</f>
        <v>4.04773964521715E-2</v>
      </c>
      <c r="N133" s="205">
        <f xml:space="preserve"> InpR!N$99</f>
        <v>4.04773964521715E-2</v>
      </c>
      <c r="O133" s="205">
        <f xml:space="preserve"> InpR!O$99</f>
        <v>4.04773964521715E-2</v>
      </c>
      <c r="P133" s="205">
        <f xml:space="preserve"> InpR!P$99</f>
        <v>4.04773964521715E-2</v>
      </c>
      <c r="Q133" s="205">
        <f xml:space="preserve"> InpR!Q$99</f>
        <v>4.04773964521715E-2</v>
      </c>
      <c r="R133" s="205">
        <f xml:space="preserve"> InpR!R$99</f>
        <v>0</v>
      </c>
    </row>
    <row r="134" spans="1:16383" s="161" customFormat="1" x14ac:dyDescent="0.25">
      <c r="A134" s="157"/>
      <c r="B134" s="158"/>
      <c r="C134" s="159"/>
      <c r="D134" s="160"/>
      <c r="E134" s="161" t="str">
        <f xml:space="preserve"> E$141</f>
        <v>True up Nominal RCV balance BEG</v>
      </c>
      <c r="F134" s="326">
        <f t="shared" ref="F134:R134" si="80" xml:space="preserve"> F$141</f>
        <v>0</v>
      </c>
      <c r="G134" s="161" t="str">
        <f t="shared" si="80"/>
        <v>£m</v>
      </c>
      <c r="H134" s="326">
        <f t="shared" si="80"/>
        <v>0</v>
      </c>
      <c r="I134" s="326">
        <f t="shared" si="80"/>
        <v>0</v>
      </c>
      <c r="J134" s="326">
        <f t="shared" si="80"/>
        <v>0</v>
      </c>
      <c r="K134" s="326">
        <f t="shared" si="80"/>
        <v>0</v>
      </c>
      <c r="L134" s="326">
        <f t="shared" si="80"/>
        <v>0</v>
      </c>
      <c r="M134" s="326">
        <f t="shared" si="80"/>
        <v>651.37933061226192</v>
      </c>
      <c r="N134" s="326">
        <f t="shared" si="80"/>
        <v>640.17481839584855</v>
      </c>
      <c r="O134" s="326">
        <f t="shared" si="80"/>
        <v>632.43678289807815</v>
      </c>
      <c r="P134" s="326">
        <f t="shared" si="80"/>
        <v>625.9550013901179</v>
      </c>
      <c r="Q134" s="326">
        <f t="shared" si="80"/>
        <v>619.83774776203518</v>
      </c>
      <c r="R134" s="326">
        <f t="shared" si="80"/>
        <v>613.78027605416526</v>
      </c>
    </row>
    <row r="135" spans="1:16383" x14ac:dyDescent="0.25">
      <c r="C135" s="267"/>
      <c r="E135" s="7" t="str">
        <f xml:space="preserve"> E$131</f>
        <v>True up RCV indexation</v>
      </c>
      <c r="F135" s="7">
        <f t="shared" ref="F135:R135" si="81" xml:space="preserve"> F$131</f>
        <v>0</v>
      </c>
      <c r="G135" s="91" t="str">
        <f t="shared" si="81"/>
        <v>£m</v>
      </c>
      <c r="H135" s="7">
        <f t="shared" si="81"/>
        <v>0</v>
      </c>
      <c r="I135" s="7">
        <f t="shared" si="81"/>
        <v>0</v>
      </c>
      <c r="J135" s="245">
        <f t="shared" si="81"/>
        <v>0</v>
      </c>
      <c r="K135" s="245">
        <f t="shared" si="81"/>
        <v>0</v>
      </c>
      <c r="L135" s="245">
        <f t="shared" si="81"/>
        <v>0</v>
      </c>
      <c r="M135" s="245">
        <f t="shared" si="81"/>
        <v>15.801219412100641</v>
      </c>
      <c r="N135" s="245">
        <f t="shared" si="81"/>
        <v>18.941267624061119</v>
      </c>
      <c r="O135" s="245">
        <f t="shared" si="81"/>
        <v>19.924088097199476</v>
      </c>
      <c r="P135" s="245">
        <f t="shared" si="81"/>
        <v>20.030560044484208</v>
      </c>
      <c r="Q135" s="245">
        <f t="shared" si="81"/>
        <v>19.834807928385004</v>
      </c>
      <c r="R135" s="245">
        <f t="shared" si="81"/>
        <v>18.413408281624839</v>
      </c>
    </row>
    <row r="136" spans="1:16383" x14ac:dyDescent="0.25">
      <c r="C136" s="267"/>
      <c r="E136" s="7" t="s">
        <v>481</v>
      </c>
      <c r="F136" s="246"/>
      <c r="G136" s="162" t="s">
        <v>238</v>
      </c>
      <c r="H136" s="246"/>
      <c r="I136" s="246"/>
      <c r="J136" s="245">
        <f t="shared" ref="J136:L136" si="82" xml:space="preserve"> (J134+J135) * J133</f>
        <v>0</v>
      </c>
      <c r="K136" s="245">
        <f t="shared" si="82"/>
        <v>0</v>
      </c>
      <c r="L136" s="245">
        <f t="shared" si="82"/>
        <v>0</v>
      </c>
      <c r="M136" s="245">
        <f xml:space="preserve"> (M134+M135) * M133</f>
        <v>27.005731628513963</v>
      </c>
      <c r="N136" s="245">
        <f t="shared" ref="N136:R136" si="83" xml:space="preserve"> (N134+N135) * N133</f>
        <v>26.679303121831456</v>
      </c>
      <c r="O136" s="245">
        <f t="shared" si="83"/>
        <v>26.405869605159761</v>
      </c>
      <c r="P136" s="245">
        <f t="shared" si="83"/>
        <v>26.147813672566979</v>
      </c>
      <c r="Q136" s="245">
        <f t="shared" si="83"/>
        <v>25.892279636254891</v>
      </c>
      <c r="R136" s="245">
        <f t="shared" si="8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E137" s="138"/>
      <c r="F137" s="138"/>
      <c r="G137" s="138"/>
      <c r="H137" s="138"/>
    </row>
    <row r="138" spans="1:16383" s="200" customFormat="1" x14ac:dyDescent="0.25">
      <c r="A138" s="196"/>
      <c r="B138" s="197"/>
      <c r="C138" s="198"/>
      <c r="D138" s="199"/>
      <c r="E138" s="249" t="str">
        <f>InpR!$E$92</f>
        <v>RCV - CPI(H) + RPI wedge initial balance - nominal - WN</v>
      </c>
      <c r="F138" s="249">
        <f>InpR!$F$92</f>
        <v>651.37933061226192</v>
      </c>
      <c r="G138" s="249" t="str">
        <f>InpR!$G$92</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84" xml:space="preserve"> I144</f>
        <v>0</v>
      </c>
      <c r="K141" s="241">
        <f t="shared" ref="K141" si="85" xml:space="preserve"> J144</f>
        <v>0</v>
      </c>
      <c r="L141" s="241">
        <f t="shared" ref="L141" si="86" xml:space="preserve"> K144</f>
        <v>0</v>
      </c>
      <c r="M141" s="241">
        <f t="shared" ref="M141" si="87" xml:space="preserve"> L144</f>
        <v>651.37933061226192</v>
      </c>
      <c r="N141" s="241">
        <f t="shared" ref="N141" si="88" xml:space="preserve"> M144</f>
        <v>640.17481839584855</v>
      </c>
      <c r="O141" s="241">
        <f t="shared" ref="O141" si="89" xml:space="preserve"> N144</f>
        <v>632.43678289807815</v>
      </c>
      <c r="P141" s="241">
        <f t="shared" ref="P141" si="90" xml:space="preserve"> O144</f>
        <v>625.9550013901179</v>
      </c>
      <c r="Q141" s="241">
        <f t="shared" ref="Q141" si="91" xml:space="preserve"> P144</f>
        <v>619.83774776203518</v>
      </c>
      <c r="R141" s="241">
        <f t="shared" ref="R141" si="92" xml:space="preserve"> Q144</f>
        <v>613.78027605416526</v>
      </c>
    </row>
    <row r="142" spans="1:16383" x14ac:dyDescent="0.25">
      <c r="A142" s="47"/>
      <c r="B142" s="51"/>
      <c r="C142" s="111"/>
      <c r="D142" s="56" t="s">
        <v>445</v>
      </c>
      <c r="E142" s="7" t="str">
        <f t="shared" ref="E142:R142" si="93" xml:space="preserve"> E$131</f>
        <v>True up RCV indexation</v>
      </c>
      <c r="F142" s="241">
        <f t="shared" si="93"/>
        <v>0</v>
      </c>
      <c r="G142" s="241" t="str">
        <f t="shared" si="93"/>
        <v>£m</v>
      </c>
      <c r="H142" s="241">
        <f t="shared" si="93"/>
        <v>0</v>
      </c>
      <c r="I142" s="241">
        <f t="shared" si="93"/>
        <v>0</v>
      </c>
      <c r="J142" s="241">
        <f t="shared" si="93"/>
        <v>0</v>
      </c>
      <c r="K142" s="241">
        <f t="shared" si="93"/>
        <v>0</v>
      </c>
      <c r="L142" s="241">
        <f t="shared" si="93"/>
        <v>0</v>
      </c>
      <c r="M142" s="241">
        <f t="shared" si="93"/>
        <v>15.801219412100641</v>
      </c>
      <c r="N142" s="241">
        <f t="shared" si="93"/>
        <v>18.941267624061119</v>
      </c>
      <c r="O142" s="241">
        <f t="shared" si="93"/>
        <v>19.924088097199476</v>
      </c>
      <c r="P142" s="241">
        <f t="shared" si="93"/>
        <v>20.030560044484208</v>
      </c>
      <c r="Q142" s="241">
        <f t="shared" si="93"/>
        <v>19.834807928385004</v>
      </c>
      <c r="R142" s="241">
        <f t="shared" si="93"/>
        <v>18.413408281624839</v>
      </c>
    </row>
    <row r="143" spans="1:16383" x14ac:dyDescent="0.25">
      <c r="A143" s="47"/>
      <c r="B143" s="51"/>
      <c r="C143" s="111"/>
      <c r="D143" s="56" t="s">
        <v>446</v>
      </c>
      <c r="E143" s="7" t="str">
        <f t="shared" ref="E143:R143" si="94" xml:space="preserve"> E$136</f>
        <v>True up Nominal RCV run-off</v>
      </c>
      <c r="F143" s="241">
        <f t="shared" si="94"/>
        <v>0</v>
      </c>
      <c r="G143" s="241" t="str">
        <f t="shared" si="94"/>
        <v>£m</v>
      </c>
      <c r="H143" s="241">
        <f t="shared" si="94"/>
        <v>0</v>
      </c>
      <c r="I143" s="241">
        <f t="shared" si="94"/>
        <v>0</v>
      </c>
      <c r="J143" s="241">
        <f t="shared" si="94"/>
        <v>0</v>
      </c>
      <c r="K143" s="241">
        <f t="shared" si="94"/>
        <v>0</v>
      </c>
      <c r="L143" s="241">
        <f t="shared" si="94"/>
        <v>0</v>
      </c>
      <c r="M143" s="241">
        <f t="shared" si="94"/>
        <v>27.005731628513963</v>
      </c>
      <c r="N143" s="241">
        <f t="shared" si="94"/>
        <v>26.679303121831456</v>
      </c>
      <c r="O143" s="241">
        <f t="shared" si="94"/>
        <v>26.405869605159761</v>
      </c>
      <c r="P143" s="241">
        <f t="shared" si="94"/>
        <v>26.147813672566979</v>
      </c>
      <c r="Q143" s="241">
        <f t="shared" si="94"/>
        <v>25.892279636254891</v>
      </c>
      <c r="R143" s="241">
        <f t="shared" si="94"/>
        <v>0</v>
      </c>
    </row>
    <row r="144" spans="1:16383" s="138" customFormat="1" x14ac:dyDescent="0.25">
      <c r="A144" s="134"/>
      <c r="B144" s="135"/>
      <c r="C144" s="268"/>
      <c r="D144" s="137"/>
      <c r="E144" s="138" t="s">
        <v>483</v>
      </c>
      <c r="G144" s="163" t="s">
        <v>238</v>
      </c>
      <c r="J144" s="242">
        <f t="shared" ref="J144:K144" si="95" xml:space="preserve"> IF( J139 = 1, $F138, J141 + J142 - J143)</f>
        <v>0</v>
      </c>
      <c r="K144" s="242">
        <f t="shared" si="95"/>
        <v>0</v>
      </c>
      <c r="L144" s="242">
        <f xml:space="preserve"> IF( L139 = 1, $F138, L141 + L142 - L143)</f>
        <v>651.37933061226192</v>
      </c>
      <c r="M144" s="242">
        <f t="shared" ref="M144:R144" si="96" xml:space="preserve"> IF( M139 = 1, $F138, M141 + M142 - M143)</f>
        <v>640.17481839584855</v>
      </c>
      <c r="N144" s="242">
        <f t="shared" si="96"/>
        <v>632.43678289807815</v>
      </c>
      <c r="O144" s="242">
        <f t="shared" si="96"/>
        <v>625.9550013901179</v>
      </c>
      <c r="P144" s="242">
        <f t="shared" si="96"/>
        <v>619.83774776203518</v>
      </c>
      <c r="Q144" s="242">
        <f t="shared" si="96"/>
        <v>613.78027605416526</v>
      </c>
      <c r="R144" s="242">
        <f t="shared" si="96"/>
        <v>632.19368433579007</v>
      </c>
    </row>
    <row r="145" spans="1:18" x14ac:dyDescent="0.25"/>
    <row r="146" spans="1:18" s="92" customFormat="1" x14ac:dyDescent="0.25">
      <c r="A146" s="164"/>
      <c r="B146" s="165"/>
      <c r="C146" s="166"/>
      <c r="D146" s="167"/>
      <c r="E146" s="179" t="str">
        <f t="shared" ref="E146:R146" si="97" xml:space="preserve"> E$141</f>
        <v>True up Nominal RCV balance BEG</v>
      </c>
      <c r="F146" s="185">
        <f t="shared" si="97"/>
        <v>0</v>
      </c>
      <c r="G146" s="185" t="str">
        <f t="shared" si="97"/>
        <v>£m</v>
      </c>
      <c r="H146" s="185">
        <f t="shared" si="97"/>
        <v>0</v>
      </c>
      <c r="I146" s="185">
        <f t="shared" si="97"/>
        <v>0</v>
      </c>
      <c r="J146" s="185">
        <f t="shared" si="97"/>
        <v>0</v>
      </c>
      <c r="K146" s="185">
        <f t="shared" si="97"/>
        <v>0</v>
      </c>
      <c r="L146" s="185">
        <f t="shared" si="97"/>
        <v>0</v>
      </c>
      <c r="M146" s="185">
        <f t="shared" si="97"/>
        <v>651.37933061226192</v>
      </c>
      <c r="N146" s="185">
        <f t="shared" si="97"/>
        <v>640.17481839584855</v>
      </c>
      <c r="O146" s="185">
        <f t="shared" si="97"/>
        <v>632.43678289807815</v>
      </c>
      <c r="P146" s="185">
        <f t="shared" si="97"/>
        <v>625.9550013901179</v>
      </c>
      <c r="Q146" s="185">
        <f t="shared" si="97"/>
        <v>619.83774776203518</v>
      </c>
      <c r="R146" s="185">
        <f t="shared" si="97"/>
        <v>613.78027605416526</v>
      </c>
    </row>
    <row r="147" spans="1:18" s="92" customFormat="1" x14ac:dyDescent="0.25">
      <c r="A147" s="164"/>
      <c r="B147" s="165"/>
      <c r="C147" s="166"/>
      <c r="D147" s="167"/>
      <c r="E147" s="179" t="str">
        <f t="shared" ref="E147:R147" si="98" xml:space="preserve"> E$131</f>
        <v>True up RCV indexation</v>
      </c>
      <c r="F147" s="185">
        <f t="shared" si="98"/>
        <v>0</v>
      </c>
      <c r="G147" s="185" t="str">
        <f t="shared" si="98"/>
        <v>£m</v>
      </c>
      <c r="H147" s="185">
        <f t="shared" si="98"/>
        <v>0</v>
      </c>
      <c r="I147" s="185">
        <f t="shared" si="98"/>
        <v>0</v>
      </c>
      <c r="J147" s="185">
        <f t="shared" si="98"/>
        <v>0</v>
      </c>
      <c r="K147" s="185">
        <f t="shared" si="98"/>
        <v>0</v>
      </c>
      <c r="L147" s="185">
        <f t="shared" si="98"/>
        <v>0</v>
      </c>
      <c r="M147" s="185">
        <f t="shared" si="98"/>
        <v>15.801219412100641</v>
      </c>
      <c r="N147" s="185">
        <f t="shared" si="98"/>
        <v>18.941267624061119</v>
      </c>
      <c r="O147" s="185">
        <f t="shared" si="98"/>
        <v>19.924088097199476</v>
      </c>
      <c r="P147" s="185">
        <f t="shared" si="98"/>
        <v>20.030560044484208</v>
      </c>
      <c r="Q147" s="185">
        <f t="shared" si="98"/>
        <v>19.834807928385004</v>
      </c>
      <c r="R147" s="185">
        <f t="shared" si="98"/>
        <v>18.413408281624839</v>
      </c>
    </row>
    <row r="148" spans="1:18" s="92" customFormat="1" x14ac:dyDescent="0.25">
      <c r="A148" s="164"/>
      <c r="B148" s="165"/>
      <c r="C148" s="166"/>
      <c r="D148" s="167"/>
      <c r="E148" s="179" t="str">
        <f t="shared" ref="E148:R148" si="99" xml:space="preserve"> E$144</f>
        <v>True up Nominal RCV balance END</v>
      </c>
      <c r="F148" s="185">
        <f t="shared" si="99"/>
        <v>0</v>
      </c>
      <c r="G148" s="185" t="str">
        <f t="shared" si="99"/>
        <v>£m</v>
      </c>
      <c r="H148" s="185">
        <f t="shared" si="99"/>
        <v>0</v>
      </c>
      <c r="I148" s="185">
        <f t="shared" si="99"/>
        <v>0</v>
      </c>
      <c r="J148" s="185">
        <f t="shared" si="99"/>
        <v>0</v>
      </c>
      <c r="K148" s="185">
        <f t="shared" si="99"/>
        <v>0</v>
      </c>
      <c r="L148" s="185">
        <f t="shared" si="99"/>
        <v>651.37933061226192</v>
      </c>
      <c r="M148" s="185">
        <f t="shared" si="99"/>
        <v>640.17481839584855</v>
      </c>
      <c r="N148" s="185">
        <f t="shared" si="99"/>
        <v>632.43678289807815</v>
      </c>
      <c r="O148" s="185">
        <f t="shared" si="99"/>
        <v>625.9550013901179</v>
      </c>
      <c r="P148" s="185">
        <f t="shared" si="99"/>
        <v>619.83774776203518</v>
      </c>
      <c r="Q148" s="185">
        <f t="shared" si="99"/>
        <v>613.78027605416526</v>
      </c>
      <c r="R148" s="185">
        <f t="shared" si="99"/>
        <v>632.19368433579007</v>
      </c>
    </row>
    <row r="149" spans="1:18" x14ac:dyDescent="0.25">
      <c r="A149" s="49"/>
      <c r="C149" s="267"/>
      <c r="D149" s="57"/>
      <c r="E149" s="7" t="s">
        <v>484</v>
      </c>
      <c r="F149" s="243"/>
      <c r="G149" s="185" t="s">
        <v>238</v>
      </c>
      <c r="H149" s="243"/>
      <c r="I149" s="243"/>
      <c r="J149" s="185">
        <f t="shared" ref="J149:L149" si="100" xml:space="preserve"> ( (J146+J147) + J148) / 2</f>
        <v>0</v>
      </c>
      <c r="K149" s="185">
        <f t="shared" si="100"/>
        <v>0</v>
      </c>
      <c r="L149" s="185">
        <f t="shared" si="100"/>
        <v>325.68966530613096</v>
      </c>
      <c r="M149" s="185">
        <f xml:space="preserve"> ( (M146+M147) + M148) / 2</f>
        <v>653.67768421010555</v>
      </c>
      <c r="N149" s="185">
        <f t="shared" ref="N149:R149" si="101" xml:space="preserve"> ( (N146+N147) + N148) / 2</f>
        <v>645.77643445899389</v>
      </c>
      <c r="O149" s="185">
        <f t="shared" si="101"/>
        <v>639.15793619269778</v>
      </c>
      <c r="P149" s="185">
        <f t="shared" si="101"/>
        <v>632.91165459831859</v>
      </c>
      <c r="Q149" s="185">
        <f t="shared" si="101"/>
        <v>626.7264158722927</v>
      </c>
      <c r="R149" s="185">
        <f t="shared" si="101"/>
        <v>632.19368433579007</v>
      </c>
    </row>
    <row r="150" spans="1:18" x14ac:dyDescent="0.25"/>
    <row r="151" spans="1:18" s="205" customFormat="1" x14ac:dyDescent="0.25">
      <c r="A151" s="201"/>
      <c r="B151" s="202"/>
      <c r="C151" s="203"/>
      <c r="D151" s="204"/>
      <c r="E151" s="205" t="str">
        <f xml:space="preserve"> InpR!E$106</f>
        <v>WACC on RCV - CPI(H) + RPI wedge bf and additions - WN</v>
      </c>
      <c r="F151" s="205">
        <f xml:space="preserve"> InpR!F$106</f>
        <v>0</v>
      </c>
      <c r="G151" s="223" t="str">
        <f xml:space="preserve"> InpR!G$106</f>
        <v>%</v>
      </c>
      <c r="H151" s="205">
        <f xml:space="preserve"> InpR!H$106</f>
        <v>0</v>
      </c>
      <c r="I151" s="205">
        <f xml:space="preserve"> InpR!I$106</f>
        <v>0</v>
      </c>
      <c r="J151" s="205">
        <f xml:space="preserve"> InpR!J$106</f>
        <v>0</v>
      </c>
      <c r="K151" s="205">
        <f xml:space="preserve"> InpR!K$106</f>
        <v>0</v>
      </c>
      <c r="L151" s="205">
        <f xml:space="preserve"> InpR!L$106</f>
        <v>0</v>
      </c>
      <c r="M151" s="205">
        <f xml:space="preserve"> InpR!M$106</f>
        <v>1.920357193840716E-2</v>
      </c>
      <c r="N151" s="205">
        <f xml:space="preserve"> InpR!N$106</f>
        <v>1.920357193840716E-2</v>
      </c>
      <c r="O151" s="205">
        <f xml:space="preserve"> InpR!O$106</f>
        <v>1.920357193840716E-2</v>
      </c>
      <c r="P151" s="205">
        <f xml:space="preserve"> InpR!P$106</f>
        <v>1.920357193840716E-2</v>
      </c>
      <c r="Q151" s="205">
        <f xml:space="preserve"> InpR!Q$106</f>
        <v>1.920357193840716E-2</v>
      </c>
      <c r="R151" s="205">
        <f xml:space="preserve"> InpR!R$106</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102" xml:space="preserve"> F$149</f>
        <v>0</v>
      </c>
      <c r="G153" s="185" t="str">
        <f t="shared" si="102"/>
        <v>£m</v>
      </c>
      <c r="H153" s="185">
        <f t="shared" si="102"/>
        <v>0</v>
      </c>
      <c r="I153" s="185">
        <f t="shared" si="102"/>
        <v>0</v>
      </c>
      <c r="J153" s="185">
        <f t="shared" si="102"/>
        <v>0</v>
      </c>
      <c r="K153" s="185">
        <f t="shared" si="102"/>
        <v>0</v>
      </c>
      <c r="L153" s="185">
        <f t="shared" si="102"/>
        <v>325.68966530613096</v>
      </c>
      <c r="M153" s="185">
        <f t="shared" si="102"/>
        <v>653.67768421010555</v>
      </c>
      <c r="N153" s="185">
        <f t="shared" si="102"/>
        <v>645.77643445899389</v>
      </c>
      <c r="O153" s="185">
        <f t="shared" si="102"/>
        <v>639.15793619269778</v>
      </c>
      <c r="P153" s="185">
        <f t="shared" si="102"/>
        <v>632.91165459831859</v>
      </c>
      <c r="Q153" s="185">
        <f t="shared" si="102"/>
        <v>626.7264158722927</v>
      </c>
      <c r="R153" s="185">
        <f t="shared" si="102"/>
        <v>632.19368433579007</v>
      </c>
    </row>
    <row r="154" spans="1:18" x14ac:dyDescent="0.25">
      <c r="C154" s="267"/>
      <c r="E154" s="7" t="s">
        <v>485</v>
      </c>
      <c r="F154" s="243"/>
      <c r="G154" s="184" t="s">
        <v>238</v>
      </c>
      <c r="H154" s="243"/>
      <c r="I154" s="243"/>
      <c r="J154" s="245">
        <f t="shared" ref="J154:K154" si="103">J151*J152*J153</f>
        <v>0</v>
      </c>
      <c r="K154" s="245">
        <f t="shared" si="103"/>
        <v>0</v>
      </c>
      <c r="L154" s="245">
        <f>L151*L152*L153</f>
        <v>0</v>
      </c>
      <c r="M154" s="245">
        <f t="shared" ref="M154:R154" si="104">M151*M152*M153</f>
        <v>12.552946433260161</v>
      </c>
      <c r="N154" s="245">
        <f t="shared" si="104"/>
        <v>12.401214215261366</v>
      </c>
      <c r="O154" s="245">
        <f t="shared" si="104"/>
        <v>12.274115407680325</v>
      </c>
      <c r="P154" s="245">
        <f t="shared" si="104"/>
        <v>12.154164489735116</v>
      </c>
      <c r="Q154" s="245">
        <f t="shared" si="104"/>
        <v>12.035385812903655</v>
      </c>
      <c r="R154" s="245">
        <f t="shared" si="10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105" xml:space="preserve"> F$136</f>
        <v>0</v>
      </c>
      <c r="G156" s="185" t="str">
        <f t="shared" si="105"/>
        <v>£m</v>
      </c>
      <c r="H156" s="185">
        <f t="shared" si="105"/>
        <v>0</v>
      </c>
      <c r="I156" s="185">
        <f t="shared" si="105"/>
        <v>0</v>
      </c>
      <c r="J156" s="185">
        <f t="shared" si="105"/>
        <v>0</v>
      </c>
      <c r="K156" s="185">
        <f t="shared" si="105"/>
        <v>0</v>
      </c>
      <c r="L156" s="185">
        <f t="shared" si="105"/>
        <v>0</v>
      </c>
      <c r="M156" s="185">
        <f t="shared" si="105"/>
        <v>27.005731628513963</v>
      </c>
      <c r="N156" s="185">
        <f t="shared" si="105"/>
        <v>26.679303121831456</v>
      </c>
      <c r="O156" s="185">
        <f t="shared" si="105"/>
        <v>26.405869605159761</v>
      </c>
      <c r="P156" s="185">
        <f t="shared" si="105"/>
        <v>26.147813672566979</v>
      </c>
      <c r="Q156" s="185">
        <f t="shared" si="105"/>
        <v>25.892279636254891</v>
      </c>
      <c r="R156" s="185">
        <f t="shared" si="105"/>
        <v>0</v>
      </c>
    </row>
    <row r="157" spans="1:18" s="92" customFormat="1" x14ac:dyDescent="0.25">
      <c r="A157" s="164"/>
      <c r="B157" s="165"/>
      <c r="C157" s="166"/>
      <c r="D157" s="167"/>
      <c r="E157" s="179" t="str">
        <f xml:space="preserve"> E$154</f>
        <v>True up Nominal return</v>
      </c>
      <c r="F157" s="185">
        <f t="shared" ref="F157:R157" si="106" xml:space="preserve"> F$154</f>
        <v>0</v>
      </c>
      <c r="G157" s="185" t="str">
        <f t="shared" si="106"/>
        <v>£m</v>
      </c>
      <c r="H157" s="185">
        <f t="shared" si="106"/>
        <v>0</v>
      </c>
      <c r="I157" s="185">
        <f t="shared" si="106"/>
        <v>0</v>
      </c>
      <c r="J157" s="185">
        <f t="shared" si="106"/>
        <v>0</v>
      </c>
      <c r="K157" s="185">
        <f t="shared" si="106"/>
        <v>0</v>
      </c>
      <c r="L157" s="185">
        <f t="shared" si="106"/>
        <v>0</v>
      </c>
      <c r="M157" s="185">
        <f t="shared" si="106"/>
        <v>12.552946433260161</v>
      </c>
      <c r="N157" s="185">
        <f t="shared" si="106"/>
        <v>12.401214215261366</v>
      </c>
      <c r="O157" s="185">
        <f t="shared" si="106"/>
        <v>12.274115407680325</v>
      </c>
      <c r="P157" s="185">
        <f t="shared" si="106"/>
        <v>12.154164489735116</v>
      </c>
      <c r="Q157" s="185">
        <f t="shared" si="106"/>
        <v>12.035385812903655</v>
      </c>
      <c r="R157" s="185">
        <f t="shared" si="106"/>
        <v>0</v>
      </c>
    </row>
    <row r="158" spans="1:18" x14ac:dyDescent="0.25">
      <c r="C158" s="267"/>
      <c r="E158" s="7" t="s">
        <v>486</v>
      </c>
      <c r="F158" s="243"/>
      <c r="G158" s="184" t="str">
        <f t="shared" ref="G158" si="107">G$273</f>
        <v>£m</v>
      </c>
      <c r="H158" s="243">
        <f>SUM(J158:R158)</f>
        <v>193.5488240231677</v>
      </c>
      <c r="I158" s="243"/>
      <c r="J158" s="243">
        <f t="shared" ref="J158:K158" si="108">SUM(J156:J157)</f>
        <v>0</v>
      </c>
      <c r="K158" s="243">
        <f t="shared" si="108"/>
        <v>0</v>
      </c>
      <c r="L158" s="243">
        <f>SUM(L156:L157)</f>
        <v>0</v>
      </c>
      <c r="M158" s="243">
        <f t="shared" ref="M158:R158" si="109">SUM(M156:M157)</f>
        <v>39.558678061774124</v>
      </c>
      <c r="N158" s="243">
        <f t="shared" si="109"/>
        <v>39.080517337092822</v>
      </c>
      <c r="O158" s="243">
        <f t="shared" si="109"/>
        <v>38.679985012840085</v>
      </c>
      <c r="P158" s="243">
        <f t="shared" si="109"/>
        <v>38.301978162302092</v>
      </c>
      <c r="Q158" s="243">
        <f t="shared" si="109"/>
        <v>37.927665449158546</v>
      </c>
      <c r="R158" s="243">
        <f t="shared" si="109"/>
        <v>0</v>
      </c>
    </row>
    <row r="159" spans="1:18" x14ac:dyDescent="0.25"/>
    <row r="160" spans="1:18" x14ac:dyDescent="0.25">
      <c r="C160" s="267"/>
      <c r="E160" s="7" t="str">
        <f xml:space="preserve"> E$158</f>
        <v>Total True up Nominal revenue to company</v>
      </c>
      <c r="F160" s="243">
        <f t="shared" ref="F160:R160" si="110" xml:space="preserve"> F$158</f>
        <v>0</v>
      </c>
      <c r="G160" s="184" t="str">
        <f t="shared" si="110"/>
        <v>£m</v>
      </c>
      <c r="H160" s="243">
        <f t="shared" si="110"/>
        <v>193.5488240231677</v>
      </c>
      <c r="I160" s="243">
        <f t="shared" si="110"/>
        <v>0</v>
      </c>
      <c r="J160" s="243">
        <f t="shared" si="110"/>
        <v>0</v>
      </c>
      <c r="K160" s="243">
        <f t="shared" si="110"/>
        <v>0</v>
      </c>
      <c r="L160" s="243">
        <f t="shared" si="110"/>
        <v>0</v>
      </c>
      <c r="M160" s="243">
        <f t="shared" si="110"/>
        <v>39.558678061774124</v>
      </c>
      <c r="N160" s="243">
        <f t="shared" si="110"/>
        <v>39.080517337092822</v>
      </c>
      <c r="O160" s="243">
        <f t="shared" si="110"/>
        <v>38.679985012840085</v>
      </c>
      <c r="P160" s="243">
        <f t="shared" si="110"/>
        <v>38.301978162302092</v>
      </c>
      <c r="Q160" s="243">
        <f t="shared" si="110"/>
        <v>37.927665449158546</v>
      </c>
      <c r="R160" s="243">
        <f t="shared" si="110"/>
        <v>0</v>
      </c>
    </row>
    <row r="161" spans="1:16383" x14ac:dyDescent="0.25">
      <c r="E161" s="7" t="str">
        <f t="shared" ref="E161:R161" si="111" xml:space="preserve"> E$109</f>
        <v>Total nominal revenue company should have received</v>
      </c>
      <c r="F161" s="184">
        <f t="shared" si="111"/>
        <v>0</v>
      </c>
      <c r="G161" s="184" t="str">
        <f t="shared" si="111"/>
        <v>£m</v>
      </c>
      <c r="H161" s="184">
        <f t="shared" si="111"/>
        <v>208.65824810529793</v>
      </c>
      <c r="I161" s="184">
        <f t="shared" si="111"/>
        <v>0</v>
      </c>
      <c r="J161" s="184">
        <f t="shared" si="111"/>
        <v>0</v>
      </c>
      <c r="K161" s="184">
        <f t="shared" si="111"/>
        <v>0</v>
      </c>
      <c r="L161" s="184">
        <f t="shared" si="111"/>
        <v>0</v>
      </c>
      <c r="M161" s="184">
        <f t="shared" si="111"/>
        <v>38.845611507591471</v>
      </c>
      <c r="N161" s="184">
        <f t="shared" si="111"/>
        <v>39.426220789595448</v>
      </c>
      <c r="O161" s="184">
        <f t="shared" si="111"/>
        <v>42.70060612085129</v>
      </c>
      <c r="P161" s="184">
        <f t="shared" si="111"/>
        <v>44.036410780398136</v>
      </c>
      <c r="Q161" s="184">
        <f t="shared" si="111"/>
        <v>43.649398906861592</v>
      </c>
      <c r="R161" s="184">
        <f t="shared" si="111"/>
        <v>0</v>
      </c>
    </row>
    <row r="162" spans="1:16383" s="185" customFormat="1" x14ac:dyDescent="0.25">
      <c r="A162" s="251"/>
      <c r="B162" s="181"/>
      <c r="C162" s="182"/>
      <c r="D162" s="252"/>
      <c r="E162" s="7" t="s">
        <v>487</v>
      </c>
      <c r="G162" s="185" t="str">
        <f t="shared" ref="G162" si="112" xml:space="preserve"> G$271</f>
        <v>£m</v>
      </c>
      <c r="H162" s="185">
        <f xml:space="preserve"> SUM(J162:R162)</f>
        <v>15.109424082130268</v>
      </c>
      <c r="J162" s="185">
        <f t="shared" ref="J162:K162" si="113">J161-J160</f>
        <v>0</v>
      </c>
      <c r="K162" s="185">
        <f t="shared" si="113"/>
        <v>0</v>
      </c>
      <c r="L162" s="185">
        <f>L161-L160</f>
        <v>0</v>
      </c>
      <c r="M162" s="185">
        <f>M161-M160</f>
        <v>-0.71306655418265308</v>
      </c>
      <c r="N162" s="185">
        <f t="shared" ref="N162:R162" si="114">N161-N160</f>
        <v>0.34570345250262591</v>
      </c>
      <c r="O162" s="185">
        <f t="shared" si="114"/>
        <v>4.0206211080112055</v>
      </c>
      <c r="P162" s="185">
        <f t="shared" si="114"/>
        <v>5.7344326180960437</v>
      </c>
      <c r="Q162" s="185">
        <f t="shared" si="114"/>
        <v>5.7217334577030456</v>
      </c>
      <c r="R162" s="185">
        <f t="shared" si="114"/>
        <v>0</v>
      </c>
    </row>
    <row r="163" spans="1:16383" x14ac:dyDescent="0.25"/>
    <row r="164" spans="1:16383" s="185" customFormat="1" x14ac:dyDescent="0.25">
      <c r="A164" s="251"/>
      <c r="B164" s="181"/>
      <c r="C164" s="182"/>
      <c r="D164" s="252"/>
      <c r="E164" s="7" t="str">
        <f xml:space="preserve"> E$162</f>
        <v>Value of True up nominal</v>
      </c>
      <c r="F164" s="185">
        <f t="shared" ref="F164:R164" si="115" xml:space="preserve"> F$162</f>
        <v>0</v>
      </c>
      <c r="G164" s="185" t="str">
        <f t="shared" si="115"/>
        <v>£m</v>
      </c>
      <c r="H164" s="185">
        <f t="shared" si="115"/>
        <v>15.109424082130268</v>
      </c>
      <c r="I164" s="185">
        <f t="shared" si="115"/>
        <v>0</v>
      </c>
      <c r="J164" s="185">
        <f t="shared" si="115"/>
        <v>0</v>
      </c>
      <c r="K164" s="185">
        <f t="shared" si="115"/>
        <v>0</v>
      </c>
      <c r="L164" s="185">
        <f t="shared" si="115"/>
        <v>0</v>
      </c>
      <c r="M164" s="185">
        <f t="shared" si="115"/>
        <v>-0.71306655418265308</v>
      </c>
      <c r="N164" s="185">
        <f t="shared" si="115"/>
        <v>0.34570345250262591</v>
      </c>
      <c r="O164" s="185">
        <f t="shared" si="115"/>
        <v>4.0206211080112055</v>
      </c>
      <c r="P164" s="185">
        <f t="shared" si="115"/>
        <v>5.7344326180960437</v>
      </c>
      <c r="Q164" s="185">
        <f t="shared" si="115"/>
        <v>5.7217334577030456</v>
      </c>
      <c r="R164" s="185">
        <f t="shared" si="115"/>
        <v>0</v>
      </c>
    </row>
    <row r="165" spans="1:16383" s="91" customFormat="1" x14ac:dyDescent="0.25">
      <c r="A165" s="170"/>
      <c r="B165" s="165"/>
      <c r="C165" s="166"/>
      <c r="D165" s="171"/>
      <c r="E165" s="7" t="str">
        <f t="shared" ref="E165:R165" si="116" xml:space="preserve"> E$117</f>
        <v>Difference in nominal revenue</v>
      </c>
      <c r="F165" s="247">
        <f t="shared" si="116"/>
        <v>0</v>
      </c>
      <c r="G165" s="247" t="str">
        <f t="shared" si="116"/>
        <v>£m</v>
      </c>
      <c r="H165" s="247">
        <f t="shared" si="116"/>
        <v>15.109424082130268</v>
      </c>
      <c r="I165" s="247">
        <f t="shared" si="116"/>
        <v>0</v>
      </c>
      <c r="J165" s="247">
        <f t="shared" si="116"/>
        <v>0</v>
      </c>
      <c r="K165" s="247">
        <f t="shared" si="116"/>
        <v>0</v>
      </c>
      <c r="L165" s="247">
        <f t="shared" si="116"/>
        <v>0</v>
      </c>
      <c r="M165" s="247">
        <f t="shared" si="116"/>
        <v>-0.71306655418265308</v>
      </c>
      <c r="N165" s="247">
        <f t="shared" si="116"/>
        <v>0.34570345250262591</v>
      </c>
      <c r="O165" s="247">
        <f t="shared" si="116"/>
        <v>4.0206211080112055</v>
      </c>
      <c r="P165" s="247">
        <f t="shared" si="116"/>
        <v>5.7344326180960437</v>
      </c>
      <c r="Q165" s="247">
        <f t="shared" si="116"/>
        <v>5.7217334577030456</v>
      </c>
      <c r="R165" s="247">
        <f t="shared" si="11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77">
        <f>IF( ABS(J164-J165)&gt;ChK_Tol,1,0)</f>
        <v>0</v>
      </c>
      <c r="K166" s="225">
        <f t="shared" ref="K166:Q166" si="117">IF( ABS(K164-K165)&gt;ChK_Tol,1,0)</f>
        <v>0</v>
      </c>
      <c r="L166" s="225">
        <f t="shared" si="117"/>
        <v>0</v>
      </c>
      <c r="M166" s="225">
        <f t="shared" si="117"/>
        <v>0</v>
      </c>
      <c r="N166" s="225">
        <f t="shared" si="117"/>
        <v>0</v>
      </c>
      <c r="O166" s="225">
        <f t="shared" si="117"/>
        <v>0</v>
      </c>
      <c r="P166" s="225">
        <f t="shared" si="117"/>
        <v>0</v>
      </c>
      <c r="Q166" s="225">
        <f t="shared" si="117"/>
        <v>0</v>
      </c>
      <c r="R166" s="225">
        <f>IF( ABS(R164-R165)&gt;ChK_Tol,1,0)</f>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118" xml:space="preserve"> N164=N165</f>
        <v>1</v>
      </c>
      <c r="O167" s="186" t="b">
        <f t="shared" si="118"/>
        <v>1</v>
      </c>
      <c r="P167" s="186" t="b">
        <f t="shared" si="118"/>
        <v>1</v>
      </c>
      <c r="Q167" s="186" t="b">
        <f t="shared" si="11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119">F$37</f>
        <v>0</v>
      </c>
      <c r="G170" s="168" t="str">
        <f t="shared" si="119"/>
        <v>£m</v>
      </c>
      <c r="H170" s="246">
        <f t="shared" si="119"/>
        <v>0</v>
      </c>
      <c r="I170" s="246">
        <f t="shared" si="119"/>
        <v>0</v>
      </c>
      <c r="J170" s="185">
        <f t="shared" si="119"/>
        <v>0</v>
      </c>
      <c r="K170" s="185">
        <f t="shared" si="119"/>
        <v>0</v>
      </c>
      <c r="L170" s="185">
        <f t="shared" si="119"/>
        <v>651.37933061226192</v>
      </c>
      <c r="M170" s="185">
        <f t="shared" si="119"/>
        <v>640.17481839584855</v>
      </c>
      <c r="N170" s="185">
        <f t="shared" si="119"/>
        <v>632.43678289807815</v>
      </c>
      <c r="O170" s="185">
        <f t="shared" si="119"/>
        <v>625.9550013901179</v>
      </c>
      <c r="P170" s="185">
        <f t="shared" si="119"/>
        <v>619.83774776203518</v>
      </c>
      <c r="Q170" s="185">
        <f t="shared" si="119"/>
        <v>613.78027605416526</v>
      </c>
      <c r="R170" s="185">
        <f t="shared" si="119"/>
        <v>632.19368433579007</v>
      </c>
    </row>
    <row r="171" spans="1:16383" x14ac:dyDescent="0.25">
      <c r="A171" s="49"/>
      <c r="D171" s="57"/>
      <c r="E171" s="7" t="str">
        <f>E$89 &amp; " - nominal"</f>
        <v>Actual Nominal RCV balance END - nominal</v>
      </c>
      <c r="F171" s="185">
        <f t="shared" ref="F171:R171" si="120">F$89</f>
        <v>0</v>
      </c>
      <c r="G171" s="168" t="str">
        <f t="shared" si="120"/>
        <v>£m</v>
      </c>
      <c r="H171" s="246">
        <f t="shared" si="120"/>
        <v>0</v>
      </c>
      <c r="I171" s="246">
        <f t="shared" si="120"/>
        <v>0</v>
      </c>
      <c r="J171" s="185">
        <f t="shared" si="120"/>
        <v>0</v>
      </c>
      <c r="K171" s="185">
        <f t="shared" si="120"/>
        <v>0</v>
      </c>
      <c r="L171" s="185">
        <f t="shared" si="120"/>
        <v>649.51483851684054</v>
      </c>
      <c r="M171" s="185">
        <f t="shared" si="120"/>
        <v>628.63532126919563</v>
      </c>
      <c r="N171" s="185">
        <f t="shared" si="120"/>
        <v>638.03127330493885</v>
      </c>
      <c r="O171" s="185">
        <f t="shared" si="120"/>
        <v>691.02038056280492</v>
      </c>
      <c r="P171" s="185">
        <f t="shared" si="120"/>
        <v>712.63759699259413</v>
      </c>
      <c r="Q171" s="185">
        <f t="shared" si="120"/>
        <v>706.37461582139827</v>
      </c>
      <c r="R171" s="185">
        <f t="shared" si="12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21" xml:space="preserve"> IF(K$172 = 0, 0, K170 / K$172)</f>
        <v>0</v>
      </c>
      <c r="L174" s="185">
        <f t="shared" si="121"/>
        <v>625.36242747644997</v>
      </c>
      <c r="M174" s="185">
        <f t="shared" si="121"/>
        <v>602.65264157990202</v>
      </c>
      <c r="N174" s="185">
        <f t="shared" si="121"/>
        <v>583.67024171965841</v>
      </c>
      <c r="O174" s="185">
        <f t="shared" si="121"/>
        <v>565.94421287769649</v>
      </c>
      <c r="P174" s="185">
        <f t="shared" si="121"/>
        <v>548.88680222383687</v>
      </c>
      <c r="Q174" s="185">
        <f t="shared" si="121"/>
        <v>532.34349746874489</v>
      </c>
      <c r="R174" s="185">
        <f t="shared" si="121"/>
        <v>537.56255136549771</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22" xml:space="preserve"> IF(J$173 = 0, 0, J171 / J$173)</f>
        <v>0</v>
      </c>
      <c r="K175" s="185">
        <f t="shared" si="122"/>
        <v>0</v>
      </c>
      <c r="L175" s="185">
        <f xml:space="preserve"> IF(L$173 = 0, 0, L171 / L$173)</f>
        <v>625.36242747644997</v>
      </c>
      <c r="M175" s="185">
        <f t="shared" ref="M175:R175" si="123" xml:space="preserve"> IF(M$173 = 0, 0, M171 / M$173)</f>
        <v>600.45164040270049</v>
      </c>
      <c r="N175" s="185">
        <f t="shared" si="123"/>
        <v>587.8310817704114</v>
      </c>
      <c r="O175" s="185">
        <f t="shared" si="123"/>
        <v>585.29636839271507</v>
      </c>
      <c r="P175" s="185">
        <f t="shared" si="123"/>
        <v>571.88435497878481</v>
      </c>
      <c r="Q175" s="185">
        <f t="shared" si="123"/>
        <v>549.20242122862351</v>
      </c>
      <c r="R175" s="185">
        <f t="shared" si="12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24">K175-K174</f>
        <v>0</v>
      </c>
      <c r="L176" s="185">
        <f t="shared" si="124"/>
        <v>0</v>
      </c>
      <c r="M176" s="185">
        <f t="shared" si="124"/>
        <v>-2.2010011772015332</v>
      </c>
      <c r="N176" s="185">
        <f t="shared" si="124"/>
        <v>4.160840050752995</v>
      </c>
      <c r="O176" s="185">
        <f t="shared" si="124"/>
        <v>19.35215551501858</v>
      </c>
      <c r="P176" s="185">
        <f t="shared" si="124"/>
        <v>22.997552754947947</v>
      </c>
      <c r="Q176" s="185">
        <f t="shared" si="124"/>
        <v>16.858923759878621</v>
      </c>
      <c r="R176" s="185">
        <f t="shared" si="124"/>
        <v>-537.56255136549771</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25">F$176</f>
        <v>0</v>
      </c>
      <c r="G178" s="168" t="str">
        <f t="shared" si="125"/>
        <v>£m</v>
      </c>
      <c r="H178" s="246">
        <f t="shared" si="125"/>
        <v>0</v>
      </c>
      <c r="I178" s="246">
        <f t="shared" si="125"/>
        <v>0</v>
      </c>
      <c r="J178" s="185">
        <f t="shared" si="125"/>
        <v>0</v>
      </c>
      <c r="K178" s="185">
        <f t="shared" si="125"/>
        <v>0</v>
      </c>
      <c r="L178" s="185">
        <f t="shared" si="125"/>
        <v>0</v>
      </c>
      <c r="M178" s="185">
        <f t="shared" si="125"/>
        <v>-2.2010011772015332</v>
      </c>
      <c r="N178" s="185">
        <f t="shared" si="125"/>
        <v>4.160840050752995</v>
      </c>
      <c r="O178" s="185">
        <f t="shared" si="125"/>
        <v>19.35215551501858</v>
      </c>
      <c r="P178" s="185">
        <f t="shared" si="125"/>
        <v>22.997552754947947</v>
      </c>
      <c r="Q178" s="185">
        <f t="shared" si="125"/>
        <v>16.858923759878621</v>
      </c>
      <c r="R178" s="185">
        <f t="shared" si="125"/>
        <v>-537.56255136549771</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533</v>
      </c>
      <c r="F180" s="260"/>
      <c r="G180" s="260" t="s">
        <v>238</v>
      </c>
      <c r="H180" s="259"/>
      <c r="I180" s="260"/>
      <c r="J180" s="260">
        <f xml:space="preserve"> J178 * J179</f>
        <v>0</v>
      </c>
      <c r="K180" s="260">
        <f t="shared" ref="K180:P180" si="126" xml:space="preserve"> K178 * K179</f>
        <v>0</v>
      </c>
      <c r="L180" s="260">
        <f t="shared" si="126"/>
        <v>0</v>
      </c>
      <c r="M180" s="260">
        <f t="shared" si="126"/>
        <v>0</v>
      </c>
      <c r="N180" s="260">
        <f t="shared" si="126"/>
        <v>0</v>
      </c>
      <c r="O180" s="260">
        <f t="shared" si="126"/>
        <v>0</v>
      </c>
      <c r="P180" s="260">
        <f t="shared" si="126"/>
        <v>0</v>
      </c>
      <c r="Q180" s="260">
        <f xml:space="preserve"> Q178 * Q179</f>
        <v>16.858923759878621</v>
      </c>
      <c r="R180" s="260">
        <f t="shared" ref="R180" si="12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28">F$136</f>
        <v>0</v>
      </c>
      <c r="G184" s="184" t="str">
        <f t="shared" si="128"/>
        <v>£m</v>
      </c>
      <c r="H184" s="184">
        <f t="shared" si="128"/>
        <v>0</v>
      </c>
      <c r="I184" s="184">
        <f t="shared" si="128"/>
        <v>0</v>
      </c>
      <c r="J184" s="184">
        <f t="shared" si="128"/>
        <v>0</v>
      </c>
      <c r="K184" s="184">
        <f t="shared" si="128"/>
        <v>0</v>
      </c>
      <c r="L184" s="184">
        <f t="shared" si="128"/>
        <v>0</v>
      </c>
      <c r="M184" s="184">
        <f t="shared" si="128"/>
        <v>27.005731628513963</v>
      </c>
      <c r="N184" s="184">
        <f t="shared" si="128"/>
        <v>26.679303121831456</v>
      </c>
      <c r="O184" s="184">
        <f t="shared" si="128"/>
        <v>26.405869605159761</v>
      </c>
      <c r="P184" s="184">
        <f t="shared" si="128"/>
        <v>26.147813672566979</v>
      </c>
      <c r="Q184" s="184">
        <f t="shared" si="128"/>
        <v>25.892279636254891</v>
      </c>
      <c r="R184" s="184">
        <f t="shared" si="12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29">F$154</f>
        <v>0</v>
      </c>
      <c r="G185" s="184" t="str">
        <f t="shared" si="129"/>
        <v>£m</v>
      </c>
      <c r="H185" s="184">
        <f t="shared" si="129"/>
        <v>0</v>
      </c>
      <c r="I185" s="184">
        <f t="shared" si="129"/>
        <v>0</v>
      </c>
      <c r="J185" s="184">
        <f t="shared" si="129"/>
        <v>0</v>
      </c>
      <c r="K185" s="184">
        <f t="shared" si="129"/>
        <v>0</v>
      </c>
      <c r="L185" s="184">
        <f t="shared" si="129"/>
        <v>0</v>
      </c>
      <c r="M185" s="184">
        <f t="shared" si="129"/>
        <v>12.552946433260161</v>
      </c>
      <c r="N185" s="184">
        <f t="shared" si="129"/>
        <v>12.401214215261366</v>
      </c>
      <c r="O185" s="184">
        <f t="shared" si="129"/>
        <v>12.274115407680325</v>
      </c>
      <c r="P185" s="184">
        <f t="shared" si="129"/>
        <v>12.154164489735116</v>
      </c>
      <c r="Q185" s="184">
        <f t="shared" si="129"/>
        <v>12.035385812903655</v>
      </c>
      <c r="R185" s="184">
        <f t="shared" si="12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30">F$158</f>
        <v>0</v>
      </c>
      <c r="G186" s="184" t="str">
        <f t="shared" si="130"/>
        <v>£m</v>
      </c>
      <c r="H186" s="184">
        <f t="shared" si="130"/>
        <v>193.5488240231677</v>
      </c>
      <c r="I186" s="184">
        <f t="shared" si="130"/>
        <v>0</v>
      </c>
      <c r="J186" s="184">
        <f t="shared" si="130"/>
        <v>0</v>
      </c>
      <c r="K186" s="184">
        <f t="shared" si="130"/>
        <v>0</v>
      </c>
      <c r="L186" s="184">
        <f t="shared" si="130"/>
        <v>0</v>
      </c>
      <c r="M186" s="184">
        <f t="shared" si="130"/>
        <v>39.558678061774124</v>
      </c>
      <c r="N186" s="184">
        <f t="shared" si="130"/>
        <v>39.080517337092822</v>
      </c>
      <c r="O186" s="184">
        <f t="shared" si="130"/>
        <v>38.679985012840085</v>
      </c>
      <c r="P186" s="184">
        <f t="shared" si="130"/>
        <v>38.301978162302092</v>
      </c>
      <c r="Q186" s="184">
        <f t="shared" si="130"/>
        <v>37.927665449158546</v>
      </c>
      <c r="R186" s="184">
        <f t="shared" si="13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31">F$107</f>
        <v>0</v>
      </c>
      <c r="G187" s="184" t="str">
        <f t="shared" si="131"/>
        <v>£m</v>
      </c>
      <c r="H187" s="184">
        <f t="shared" si="131"/>
        <v>0</v>
      </c>
      <c r="I187" s="184">
        <f t="shared" si="131"/>
        <v>0</v>
      </c>
      <c r="J187" s="184">
        <f t="shared" si="131"/>
        <v>0</v>
      </c>
      <c r="K187" s="184">
        <f t="shared" si="131"/>
        <v>0</v>
      </c>
      <c r="L187" s="184">
        <f t="shared" si="131"/>
        <v>0</v>
      </c>
      <c r="M187" s="184">
        <f t="shared" si="131"/>
        <v>26.518938718865801</v>
      </c>
      <c r="N187" s="184">
        <f t="shared" si="131"/>
        <v>26.91530632312038</v>
      </c>
      <c r="O187" s="184">
        <f t="shared" si="131"/>
        <v>29.150648246481719</v>
      </c>
      <c r="P187" s="184">
        <f t="shared" si="131"/>
        <v>30.06256906667463</v>
      </c>
      <c r="Q187" s="184">
        <f t="shared" si="131"/>
        <v>29.798365627483481</v>
      </c>
      <c r="R187" s="184">
        <f t="shared" si="13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32">F$108</f>
        <v>0</v>
      </c>
      <c r="G188" s="184" t="str">
        <f t="shared" si="132"/>
        <v>£m</v>
      </c>
      <c r="H188" s="184">
        <f t="shared" si="132"/>
        <v>0</v>
      </c>
      <c r="I188" s="184">
        <f t="shared" si="132"/>
        <v>0</v>
      </c>
      <c r="J188" s="184">
        <f t="shared" si="132"/>
        <v>0</v>
      </c>
      <c r="K188" s="184">
        <f t="shared" si="132"/>
        <v>0</v>
      </c>
      <c r="L188" s="184">
        <f t="shared" si="132"/>
        <v>0</v>
      </c>
      <c r="M188" s="184">
        <f t="shared" si="132"/>
        <v>12.326672788725668</v>
      </c>
      <c r="N188" s="184">
        <f t="shared" si="132"/>
        <v>12.510914466475066</v>
      </c>
      <c r="O188" s="184">
        <f t="shared" si="132"/>
        <v>13.549957874369575</v>
      </c>
      <c r="P188" s="184">
        <f t="shared" si="132"/>
        <v>13.973841713723504</v>
      </c>
      <c r="Q188" s="184">
        <f t="shared" si="132"/>
        <v>13.851033279378111</v>
      </c>
      <c r="R188" s="184">
        <f t="shared" si="13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33">F$109</f>
        <v>0</v>
      </c>
      <c r="G189" s="184" t="str">
        <f t="shared" si="133"/>
        <v>£m</v>
      </c>
      <c r="H189" s="184">
        <f t="shared" si="133"/>
        <v>208.65824810529793</v>
      </c>
      <c r="I189" s="184">
        <f t="shared" si="133"/>
        <v>0</v>
      </c>
      <c r="J189" s="184">
        <f t="shared" si="133"/>
        <v>0</v>
      </c>
      <c r="K189" s="184">
        <f t="shared" si="133"/>
        <v>0</v>
      </c>
      <c r="L189" s="184">
        <f t="shared" si="133"/>
        <v>0</v>
      </c>
      <c r="M189" s="184">
        <f t="shared" si="133"/>
        <v>38.845611507591471</v>
      </c>
      <c r="N189" s="184">
        <f t="shared" si="133"/>
        <v>39.426220789595448</v>
      </c>
      <c r="O189" s="184">
        <f t="shared" si="133"/>
        <v>42.70060612085129</v>
      </c>
      <c r="P189" s="184">
        <f t="shared" si="133"/>
        <v>44.036410780398136</v>
      </c>
      <c r="Q189" s="184">
        <f t="shared" si="133"/>
        <v>43.649398906861592</v>
      </c>
      <c r="R189" s="184">
        <f t="shared" si="13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40"/>
      <c r="B191" s="341"/>
      <c r="C191" s="342"/>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34" xml:space="preserve"> E184 &amp; "- real"</f>
        <v>True up Nominal RCV run-off- real</v>
      </c>
      <c r="F192" s="185"/>
      <c r="G192" s="185" t="str">
        <f t="shared" ref="G192:G197" si="135">G$273</f>
        <v>£m</v>
      </c>
      <c r="H192" s="243">
        <f t="shared" ref="H192:H197" si="136">SUM(J192:R192)</f>
        <v>119.5308969426503</v>
      </c>
      <c r="I192" s="185"/>
      <c r="J192" s="185">
        <f xml:space="preserve"> IF(J$190 = 0, 0, J184 / J$190)</f>
        <v>0</v>
      </c>
      <c r="K192" s="185">
        <f t="shared" ref="K192:R192" si="137" xml:space="preserve"> IF(K$190 = 0, 0, K184 / K$190)</f>
        <v>0</v>
      </c>
      <c r="L192" s="185">
        <f t="shared" si="137"/>
        <v>0</v>
      </c>
      <c r="M192" s="185">
        <f t="shared" si="137"/>
        <v>25.422861124878306</v>
      </c>
      <c r="N192" s="185">
        <f t="shared" si="137"/>
        <v>24.622089864341323</v>
      </c>
      <c r="O192" s="185">
        <f t="shared" si="137"/>
        <v>23.874318530653344</v>
      </c>
      <c r="P192" s="185">
        <f t="shared" si="137"/>
        <v>23.154752810230629</v>
      </c>
      <c r="Q192" s="185">
        <f t="shared" si="137"/>
        <v>22.456874612546702</v>
      </c>
      <c r="R192" s="185">
        <f t="shared" si="137"/>
        <v>0</v>
      </c>
      <c r="S192" s="92"/>
      <c r="T192" s="92"/>
      <c r="U192" s="92"/>
      <c r="V192" s="92"/>
      <c r="W192" s="92"/>
      <c r="X192" s="92"/>
      <c r="Y192" s="92"/>
      <c r="Z192" s="92"/>
    </row>
    <row r="193" spans="1:26" s="91" customFormat="1" x14ac:dyDescent="0.25">
      <c r="A193" s="340"/>
      <c r="B193" s="341"/>
      <c r="C193" s="342"/>
      <c r="D193" s="343"/>
      <c r="E193" s="7" t="str">
        <f t="shared" si="134"/>
        <v>True up Nominal return- real</v>
      </c>
      <c r="F193" s="185"/>
      <c r="G193" s="185" t="str">
        <f t="shared" si="135"/>
        <v>£m</v>
      </c>
      <c r="H193" s="243">
        <f t="shared" si="136"/>
        <v>55.560981168026053</v>
      </c>
      <c r="I193" s="185"/>
      <c r="J193" s="185">
        <f t="shared" ref="J193:R193" si="138" xml:space="preserve"> IF(J$190 = 0, 0, J185 / J$190)</f>
        <v>0</v>
      </c>
      <c r="K193" s="185">
        <f t="shared" si="138"/>
        <v>0</v>
      </c>
      <c r="L193" s="185">
        <f t="shared" si="138"/>
        <v>0</v>
      </c>
      <c r="M193" s="185">
        <f t="shared" si="138"/>
        <v>11.817188227696622</v>
      </c>
      <c r="N193" s="185">
        <f t="shared" si="138"/>
        <v>11.444969512162858</v>
      </c>
      <c r="O193" s="185">
        <f t="shared" si="138"/>
        <v>11.097386501813984</v>
      </c>
      <c r="P193" s="185">
        <f t="shared" si="138"/>
        <v>10.762914173201363</v>
      </c>
      <c r="Q193" s="185">
        <f t="shared" si="138"/>
        <v>10.438522753151227</v>
      </c>
      <c r="R193" s="185">
        <f t="shared" si="138"/>
        <v>0</v>
      </c>
      <c r="S193" s="92"/>
      <c r="T193" s="92"/>
      <c r="U193" s="92"/>
      <c r="V193" s="92"/>
      <c r="W193" s="92"/>
      <c r="X193" s="92"/>
      <c r="Y193" s="92"/>
      <c r="Z193" s="92"/>
    </row>
    <row r="194" spans="1:26" s="91" customFormat="1" x14ac:dyDescent="0.25">
      <c r="A194" s="340"/>
      <c r="B194" s="341"/>
      <c r="C194" s="342"/>
      <c r="D194" s="343"/>
      <c r="E194" s="7" t="str">
        <f t="shared" si="134"/>
        <v>Total True up Nominal revenue to company- real</v>
      </c>
      <c r="F194" s="185"/>
      <c r="G194" s="185" t="str">
        <f t="shared" si="135"/>
        <v>£m</v>
      </c>
      <c r="H194" s="243">
        <f t="shared" si="136"/>
        <v>175.09187811067636</v>
      </c>
      <c r="I194" s="185"/>
      <c r="J194" s="185">
        <f t="shared" ref="J194:R194" si="139" xml:space="preserve"> IF(J$190 = 0, 0, J186 / J$190)</f>
        <v>0</v>
      </c>
      <c r="K194" s="185">
        <f t="shared" si="139"/>
        <v>0</v>
      </c>
      <c r="L194" s="185">
        <f t="shared" si="139"/>
        <v>0</v>
      </c>
      <c r="M194" s="185">
        <f t="shared" si="139"/>
        <v>37.240049352574928</v>
      </c>
      <c r="N194" s="185">
        <f t="shared" si="139"/>
        <v>36.067059376504183</v>
      </c>
      <c r="O194" s="185">
        <f t="shared" si="139"/>
        <v>34.971705032467327</v>
      </c>
      <c r="P194" s="185">
        <f t="shared" si="139"/>
        <v>33.917666983431992</v>
      </c>
      <c r="Q194" s="185">
        <f xml:space="preserve"> IF(Q$190 = 0, 0, Q186 / Q$190)</f>
        <v>32.895397365697931</v>
      </c>
      <c r="R194" s="185">
        <f t="shared" si="139"/>
        <v>0</v>
      </c>
      <c r="S194" s="92"/>
      <c r="T194" s="92"/>
      <c r="U194" s="92"/>
      <c r="V194" s="92"/>
      <c r="W194" s="92"/>
      <c r="X194" s="92"/>
      <c r="Y194" s="92"/>
      <c r="Z194" s="92"/>
    </row>
    <row r="195" spans="1:26" s="91" customFormat="1" x14ac:dyDescent="0.25">
      <c r="A195" s="340"/>
      <c r="B195" s="341"/>
      <c r="C195" s="342"/>
      <c r="D195" s="343"/>
      <c r="E195" s="7" t="str">
        <f t="shared" si="134"/>
        <v>RCV run-off company should have received - nominal- real</v>
      </c>
      <c r="F195" s="185"/>
      <c r="G195" s="185" t="str">
        <f t="shared" si="135"/>
        <v>£m</v>
      </c>
      <c r="H195" s="243">
        <f t="shared" si="136"/>
        <v>122.11128477090483</v>
      </c>
      <c r="I195" s="185"/>
      <c r="J195" s="185">
        <f t="shared" ref="J195:L195" si="140" xml:space="preserve"> IF(J$191 = 0, 0, J187 / J$191)</f>
        <v>0</v>
      </c>
      <c r="K195" s="185">
        <f t="shared" si="140"/>
        <v>0</v>
      </c>
      <c r="L195" s="185">
        <f t="shared" si="140"/>
        <v>0</v>
      </c>
      <c r="M195" s="185">
        <f xml:space="preserve"> IF(M$191 = 0, 0, M187 / M$191)</f>
        <v>25.330012038351455</v>
      </c>
      <c r="N195" s="185">
        <f t="shared" ref="N195:Q195" si="141" xml:space="preserve"> IF(N$191 = 0, 0, N187 / N$191)</f>
        <v>24.797614621846428</v>
      </c>
      <c r="O195" s="185">
        <f t="shared" si="141"/>
        <v>24.690687908601451</v>
      </c>
      <c r="P195" s="185">
        <f t="shared" si="141"/>
        <v>24.124903025399956</v>
      </c>
      <c r="Q195" s="185">
        <f t="shared" si="141"/>
        <v>23.168067176705531</v>
      </c>
      <c r="R195" s="185">
        <f t="shared" ref="R195" si="14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34"/>
        <v>Nominal return company should have received- real</v>
      </c>
      <c r="F196" s="185"/>
      <c r="G196" s="185" t="str">
        <f t="shared" si="135"/>
        <v>£m</v>
      </c>
      <c r="H196" s="243">
        <f t="shared" si="136"/>
        <v>56.760410631026232</v>
      </c>
      <c r="I196" s="185"/>
      <c r="J196" s="185">
        <f t="shared" ref="J196:L196" si="143" xml:space="preserve"> IF(J$191 = 0, 0, J188 / J$191)</f>
        <v>0</v>
      </c>
      <c r="K196" s="185">
        <f t="shared" si="143"/>
        <v>0</v>
      </c>
      <c r="L196" s="185">
        <f t="shared" si="143"/>
        <v>0</v>
      </c>
      <c r="M196" s="185">
        <f xml:space="preserve"> IF(M$191 = 0, 0, M188 / M$191)</f>
        <v>11.774029626197446</v>
      </c>
      <c r="N196" s="185">
        <f t="shared" ref="N196:Q196" si="144" xml:space="preserve"> IF(N$191 = 0, 0, N188 / N$191)</f>
        <v>11.526557854555559</v>
      </c>
      <c r="O196" s="185">
        <f t="shared" si="144"/>
        <v>11.476855616448757</v>
      </c>
      <c r="P196" s="185">
        <f t="shared" si="144"/>
        <v>11.213864506662356</v>
      </c>
      <c r="Q196" s="185">
        <f t="shared" si="144"/>
        <v>10.769103027162119</v>
      </c>
      <c r="R196" s="185">
        <f t="shared" ref="R196" si="14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34"/>
        <v>Total nominal revenue company should have received- real</v>
      </c>
      <c r="F197" s="185"/>
      <c r="G197" s="185" t="str">
        <f t="shared" si="135"/>
        <v>£m</v>
      </c>
      <c r="H197" s="243">
        <f t="shared" si="136"/>
        <v>178.87169540193108</v>
      </c>
      <c r="I197" s="185"/>
      <c r="J197" s="185">
        <f t="shared" ref="J197:L197" si="146" xml:space="preserve"> IF(J$191 = 0, 0, J189 / J$191)</f>
        <v>0</v>
      </c>
      <c r="K197" s="185">
        <f t="shared" si="146"/>
        <v>0</v>
      </c>
      <c r="L197" s="185">
        <f t="shared" si="146"/>
        <v>0</v>
      </c>
      <c r="M197" s="185">
        <f xml:space="preserve"> IF(M$191 = 0, 0, M189 / M$191)</f>
        <v>37.104041664548902</v>
      </c>
      <c r="N197" s="185">
        <f t="shared" ref="N197:Q197" si="147" xml:space="preserve"> IF(N$191 = 0, 0, N189 / N$191)</f>
        <v>36.324172476401991</v>
      </c>
      <c r="O197" s="185">
        <f t="shared" si="147"/>
        <v>36.167543525050206</v>
      </c>
      <c r="P197" s="185">
        <f t="shared" si="147"/>
        <v>35.338767532062313</v>
      </c>
      <c r="Q197" s="185">
        <f t="shared" si="147"/>
        <v>33.937170203867652</v>
      </c>
      <c r="R197" s="185">
        <f t="shared" ref="R197" si="14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49">F$192</f>
        <v>0</v>
      </c>
      <c r="G199" s="184" t="str">
        <f t="shared" si="149"/>
        <v>£m</v>
      </c>
      <c r="H199" s="243">
        <f t="shared" si="149"/>
        <v>119.5308969426503</v>
      </c>
      <c r="I199" s="184">
        <f t="shared" si="149"/>
        <v>0</v>
      </c>
      <c r="J199" s="184">
        <f t="shared" si="149"/>
        <v>0</v>
      </c>
      <c r="K199" s="184">
        <f t="shared" si="149"/>
        <v>0</v>
      </c>
      <c r="L199" s="184">
        <f t="shared" si="149"/>
        <v>0</v>
      </c>
      <c r="M199" s="185">
        <f t="shared" si="149"/>
        <v>25.422861124878306</v>
      </c>
      <c r="N199" s="184">
        <f t="shared" si="149"/>
        <v>24.622089864341323</v>
      </c>
      <c r="O199" s="184">
        <f t="shared" si="149"/>
        <v>23.874318530653344</v>
      </c>
      <c r="P199" s="184">
        <f t="shared" si="149"/>
        <v>23.154752810230629</v>
      </c>
      <c r="Q199" s="184">
        <f t="shared" si="149"/>
        <v>22.456874612546702</v>
      </c>
      <c r="R199" s="184">
        <f t="shared" si="14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50">F$195</f>
        <v>0</v>
      </c>
      <c r="G200" s="184" t="str">
        <f t="shared" si="150"/>
        <v>£m</v>
      </c>
      <c r="H200" s="243">
        <f t="shared" si="150"/>
        <v>122.11128477090483</v>
      </c>
      <c r="I200" s="184">
        <f t="shared" si="150"/>
        <v>0</v>
      </c>
      <c r="J200" s="184">
        <f t="shared" si="150"/>
        <v>0</v>
      </c>
      <c r="K200" s="184">
        <f t="shared" si="150"/>
        <v>0</v>
      </c>
      <c r="L200" s="184">
        <f t="shared" si="150"/>
        <v>0</v>
      </c>
      <c r="M200" s="185">
        <f t="shared" si="150"/>
        <v>25.330012038351455</v>
      </c>
      <c r="N200" s="184">
        <f t="shared" si="150"/>
        <v>24.797614621846428</v>
      </c>
      <c r="O200" s="184">
        <f t="shared" si="150"/>
        <v>24.690687908601451</v>
      </c>
      <c r="P200" s="184">
        <f t="shared" si="150"/>
        <v>24.124903025399956</v>
      </c>
      <c r="Q200" s="184">
        <f t="shared" si="150"/>
        <v>23.168067176705531</v>
      </c>
      <c r="R200" s="184">
        <f t="shared" si="150"/>
        <v>0</v>
      </c>
      <c r="S200" s="92"/>
      <c r="T200" s="92"/>
      <c r="U200" s="92"/>
      <c r="V200" s="92"/>
      <c r="W200" s="92"/>
      <c r="X200" s="92"/>
      <c r="Y200" s="92"/>
      <c r="Z200" s="92"/>
    </row>
    <row r="201" spans="1:26" x14ac:dyDescent="0.25">
      <c r="C201" s="267"/>
      <c r="E201" s="7" t="s">
        <v>495</v>
      </c>
      <c r="G201" s="7" t="s">
        <v>238</v>
      </c>
      <c r="H201" s="185">
        <f xml:space="preserve"> SUM(J201:R201)</f>
        <v>2.5803878282545156</v>
      </c>
      <c r="I201" s="185"/>
      <c r="J201" s="184">
        <f t="shared" ref="J201:K201" si="151">J200-J199</f>
        <v>0</v>
      </c>
      <c r="K201" s="184">
        <f t="shared" si="151"/>
        <v>0</v>
      </c>
      <c r="L201" s="184">
        <f>L200-L199</f>
        <v>0</v>
      </c>
      <c r="M201" s="185">
        <f>M200-M199</f>
        <v>-9.2849086526850755E-2</v>
      </c>
      <c r="N201" s="184">
        <f t="shared" ref="N201:R201" si="152">N200-N199</f>
        <v>0.1755247575051051</v>
      </c>
      <c r="O201" s="184">
        <f t="shared" si="152"/>
        <v>0.81636937794810649</v>
      </c>
      <c r="P201" s="184">
        <f t="shared" si="152"/>
        <v>0.9701502151693262</v>
      </c>
      <c r="Q201" s="184">
        <f t="shared" si="152"/>
        <v>0.71119256415882859</v>
      </c>
      <c r="R201" s="184">
        <f t="shared" si="152"/>
        <v>0</v>
      </c>
    </row>
    <row r="202" spans="1:26" x14ac:dyDescent="0.25"/>
    <row r="203" spans="1:26" x14ac:dyDescent="0.25">
      <c r="C203" s="267"/>
      <c r="E203" s="7" t="str">
        <f>E$193</f>
        <v>True up Nominal return- real</v>
      </c>
      <c r="F203" s="7">
        <f t="shared" ref="F203:R203" si="153">F$193</f>
        <v>0</v>
      </c>
      <c r="G203" s="7" t="str">
        <f t="shared" si="153"/>
        <v>£m</v>
      </c>
      <c r="H203" s="185">
        <f t="shared" si="153"/>
        <v>55.560981168026053</v>
      </c>
      <c r="I203" s="185">
        <f t="shared" si="153"/>
        <v>0</v>
      </c>
      <c r="J203" s="184">
        <f t="shared" si="153"/>
        <v>0</v>
      </c>
      <c r="K203" s="184">
        <f t="shared" si="153"/>
        <v>0</v>
      </c>
      <c r="L203" s="184">
        <f t="shared" si="153"/>
        <v>0</v>
      </c>
      <c r="M203" s="185">
        <f t="shared" si="153"/>
        <v>11.817188227696622</v>
      </c>
      <c r="N203" s="184">
        <f t="shared" si="153"/>
        <v>11.444969512162858</v>
      </c>
      <c r="O203" s="184">
        <f t="shared" si="153"/>
        <v>11.097386501813984</v>
      </c>
      <c r="P203" s="184">
        <f t="shared" si="153"/>
        <v>10.762914173201363</v>
      </c>
      <c r="Q203" s="184">
        <f t="shared" si="153"/>
        <v>10.438522753151227</v>
      </c>
      <c r="R203" s="184">
        <f t="shared" si="153"/>
        <v>0</v>
      </c>
    </row>
    <row r="204" spans="1:26" x14ac:dyDescent="0.25">
      <c r="C204" s="267"/>
      <c r="E204" s="7" t="str">
        <f>E$196</f>
        <v>Nominal return company should have received- real</v>
      </c>
      <c r="F204" s="7">
        <f t="shared" ref="F204:R204" si="154">F$196</f>
        <v>0</v>
      </c>
      <c r="G204" s="7" t="str">
        <f t="shared" si="154"/>
        <v>£m</v>
      </c>
      <c r="H204" s="185">
        <f t="shared" si="154"/>
        <v>56.760410631026232</v>
      </c>
      <c r="I204" s="185">
        <f t="shared" si="154"/>
        <v>0</v>
      </c>
      <c r="J204" s="184">
        <f t="shared" si="154"/>
        <v>0</v>
      </c>
      <c r="K204" s="184">
        <f t="shared" si="154"/>
        <v>0</v>
      </c>
      <c r="L204" s="184">
        <f t="shared" si="154"/>
        <v>0</v>
      </c>
      <c r="M204" s="185">
        <f t="shared" si="154"/>
        <v>11.774029626197446</v>
      </c>
      <c r="N204" s="184">
        <f t="shared" si="154"/>
        <v>11.526557854555559</v>
      </c>
      <c r="O204" s="184">
        <f t="shared" si="154"/>
        <v>11.476855616448757</v>
      </c>
      <c r="P204" s="184">
        <f t="shared" si="154"/>
        <v>11.213864506662356</v>
      </c>
      <c r="Q204" s="184">
        <f t="shared" si="154"/>
        <v>10.769103027162119</v>
      </c>
      <c r="R204" s="184">
        <f t="shared" si="154"/>
        <v>0</v>
      </c>
    </row>
    <row r="205" spans="1:26" x14ac:dyDescent="0.25">
      <c r="C205" s="267"/>
      <c r="E205" s="7" t="s">
        <v>496</v>
      </c>
      <c r="G205" s="7" t="s">
        <v>238</v>
      </c>
      <c r="H205" s="185">
        <f xml:space="preserve"> SUM(J205:R205)</f>
        <v>1.1994294630001825</v>
      </c>
      <c r="I205" s="185"/>
      <c r="J205" s="184">
        <f t="shared" ref="J205:K205" si="155">J204-J203</f>
        <v>0</v>
      </c>
      <c r="K205" s="184">
        <f t="shared" si="155"/>
        <v>0</v>
      </c>
      <c r="L205" s="184">
        <f>L204-L203</f>
        <v>0</v>
      </c>
      <c r="M205" s="185">
        <f>M204-M203</f>
        <v>-4.315860149917583E-2</v>
      </c>
      <c r="N205" s="184">
        <f t="shared" ref="N205" si="156">N204-N203</f>
        <v>8.1588342392700852E-2</v>
      </c>
      <c r="O205" s="184">
        <f>O204-O203</f>
        <v>0.37946911463477306</v>
      </c>
      <c r="P205" s="184">
        <f t="shared" ref="P205:R205" si="157">P204-P203</f>
        <v>0.45095033346099278</v>
      </c>
      <c r="Q205" s="184">
        <f t="shared" si="157"/>
        <v>0.33058027401089163</v>
      </c>
      <c r="R205" s="184">
        <f t="shared" si="157"/>
        <v>0</v>
      </c>
    </row>
    <row r="206" spans="1:26" x14ac:dyDescent="0.25"/>
    <row r="207" spans="1:26" x14ac:dyDescent="0.25">
      <c r="C207" s="267"/>
      <c r="E207" s="7" t="str">
        <f>E$194</f>
        <v>Total True up Nominal revenue to company- real</v>
      </c>
      <c r="F207" s="7">
        <f t="shared" ref="F207:R207" si="158">F$194</f>
        <v>0</v>
      </c>
      <c r="G207" s="7" t="str">
        <f t="shared" si="158"/>
        <v>£m</v>
      </c>
      <c r="H207" s="185">
        <f t="shared" si="158"/>
        <v>175.09187811067636</v>
      </c>
      <c r="I207" s="185">
        <f t="shared" si="158"/>
        <v>0</v>
      </c>
      <c r="J207" s="184">
        <f t="shared" si="158"/>
        <v>0</v>
      </c>
      <c r="K207" s="184">
        <f t="shared" si="158"/>
        <v>0</v>
      </c>
      <c r="L207" s="184">
        <f t="shared" si="158"/>
        <v>0</v>
      </c>
      <c r="M207" s="185">
        <f t="shared" si="158"/>
        <v>37.240049352574928</v>
      </c>
      <c r="N207" s="184">
        <f t="shared" si="158"/>
        <v>36.067059376504183</v>
      </c>
      <c r="O207" s="184">
        <f t="shared" si="158"/>
        <v>34.971705032467327</v>
      </c>
      <c r="P207" s="184">
        <f t="shared" si="158"/>
        <v>33.917666983431992</v>
      </c>
      <c r="Q207" s="184">
        <f t="shared" si="158"/>
        <v>32.895397365697931</v>
      </c>
      <c r="R207" s="184">
        <f t="shared" si="158"/>
        <v>0</v>
      </c>
    </row>
    <row r="208" spans="1:26" x14ac:dyDescent="0.25">
      <c r="C208" s="267"/>
      <c r="E208" s="7" t="str">
        <f>E$197</f>
        <v>Total nominal revenue company should have received- real</v>
      </c>
      <c r="F208" s="7">
        <f t="shared" ref="F208:R208" si="159">F$197</f>
        <v>0</v>
      </c>
      <c r="G208" s="7" t="str">
        <f t="shared" si="159"/>
        <v>£m</v>
      </c>
      <c r="H208" s="185">
        <f t="shared" si="159"/>
        <v>178.87169540193108</v>
      </c>
      <c r="I208" s="185">
        <f t="shared" si="159"/>
        <v>0</v>
      </c>
      <c r="J208" s="184">
        <f t="shared" si="159"/>
        <v>0</v>
      </c>
      <c r="K208" s="184">
        <f t="shared" si="159"/>
        <v>0</v>
      </c>
      <c r="L208" s="184">
        <f t="shared" si="159"/>
        <v>0</v>
      </c>
      <c r="M208" s="185">
        <f t="shared" si="159"/>
        <v>37.104041664548902</v>
      </c>
      <c r="N208" s="184">
        <f t="shared" si="159"/>
        <v>36.324172476401991</v>
      </c>
      <c r="O208" s="184">
        <f t="shared" si="159"/>
        <v>36.167543525050206</v>
      </c>
      <c r="P208" s="184">
        <f t="shared" si="159"/>
        <v>35.338767532062313</v>
      </c>
      <c r="Q208" s="184">
        <f t="shared" si="159"/>
        <v>33.937170203867652</v>
      </c>
      <c r="R208" s="184">
        <f t="shared" si="159"/>
        <v>0</v>
      </c>
    </row>
    <row r="209" spans="1:18" x14ac:dyDescent="0.25">
      <c r="C209" s="267"/>
      <c r="E209" s="7" t="s">
        <v>497</v>
      </c>
      <c r="G209" s="7" t="s">
        <v>238</v>
      </c>
      <c r="H209" s="185">
        <f xml:space="preserve"> SUM(J209:R209)</f>
        <v>3.7798172912547017</v>
      </c>
      <c r="I209" s="185"/>
      <c r="J209" s="184">
        <f t="shared" ref="J209:K209" si="160">J208-J207</f>
        <v>0</v>
      </c>
      <c r="K209" s="184">
        <f t="shared" si="160"/>
        <v>0</v>
      </c>
      <c r="L209" s="184">
        <f>L208-L207</f>
        <v>0</v>
      </c>
      <c r="M209" s="185">
        <f>M208-M207</f>
        <v>-0.13600768802602659</v>
      </c>
      <c r="N209" s="184">
        <f t="shared" ref="N209:R209" si="161">N208-N207</f>
        <v>0.25711309989780773</v>
      </c>
      <c r="O209" s="184">
        <f t="shared" si="161"/>
        <v>1.1958384925828796</v>
      </c>
      <c r="P209" s="184">
        <f t="shared" si="161"/>
        <v>1.4211005486303208</v>
      </c>
      <c r="Q209" s="184">
        <f t="shared" si="161"/>
        <v>1.0417728381697202</v>
      </c>
      <c r="R209" s="184">
        <f t="shared" si="16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InpR!E$113</f>
        <v>WACC real on RCV - CPI(H) bf and additions - WN</v>
      </c>
      <c r="F213" s="205">
        <f>InpR!F$113</f>
        <v>0</v>
      </c>
      <c r="G213" s="223" t="str">
        <f>InpR!G$113</f>
        <v>%</v>
      </c>
      <c r="H213" s="205">
        <f>InpR!H$113</f>
        <v>0</v>
      </c>
      <c r="I213" s="205">
        <f>InpR!I$113</f>
        <v>0</v>
      </c>
      <c r="J213" s="205">
        <f>InpR!J$113</f>
        <v>0</v>
      </c>
      <c r="K213" s="205">
        <f>InpR!K$113</f>
        <v>0</v>
      </c>
      <c r="L213" s="205">
        <f>InpR!L$113</f>
        <v>0</v>
      </c>
      <c r="M213" s="205">
        <f>InpR!M$113</f>
        <v>2.9195763820156317E-2</v>
      </c>
      <c r="N213" s="205">
        <f>InpR!N$113</f>
        <v>2.9195763820156317E-2</v>
      </c>
      <c r="O213" s="205">
        <f>InpR!O$113</f>
        <v>2.9195763820156317E-2</v>
      </c>
      <c r="P213" s="205">
        <f>InpR!P$113</f>
        <v>2.9195763820156317E-2</v>
      </c>
      <c r="Q213" s="205">
        <f>InpR!Q$113</f>
        <v>2.9195763820156317E-2</v>
      </c>
      <c r="R213" s="205">
        <f>InpR!R$113</f>
        <v>0</v>
      </c>
    </row>
    <row r="214" spans="1:18" x14ac:dyDescent="0.25">
      <c r="E214" s="7" t="s">
        <v>499</v>
      </c>
      <c r="G214" s="7" t="s">
        <v>500</v>
      </c>
      <c r="J214" s="254">
        <f xml:space="preserve"> (1 + J$289) ^ J$288</f>
        <v>1</v>
      </c>
      <c r="K214" s="254">
        <f t="shared" ref="K214:R214" si="162" xml:space="preserve"> (1 + K$289) ^ K$288</f>
        <v>1</v>
      </c>
      <c r="L214" s="254">
        <f t="shared" si="162"/>
        <v>1</v>
      </c>
      <c r="M214" s="254">
        <f t="shared" si="162"/>
        <v>1.1219976826191176</v>
      </c>
      <c r="N214" s="254">
        <f t="shared" si="162"/>
        <v>1.0901693555893588</v>
      </c>
      <c r="O214" s="254">
        <f t="shared" si="162"/>
        <v>1.059243920265355</v>
      </c>
      <c r="P214" s="254">
        <f t="shared" si="162"/>
        <v>1.0291957638201563</v>
      </c>
      <c r="Q214" s="254">
        <f t="shared" si="162"/>
        <v>1</v>
      </c>
      <c r="R214" s="254">
        <f t="shared" si="162"/>
        <v>1</v>
      </c>
    </row>
    <row r="215" spans="1:18" x14ac:dyDescent="0.25"/>
    <row r="216" spans="1:18" x14ac:dyDescent="0.25">
      <c r="B216" s="61" t="s">
        <v>501</v>
      </c>
    </row>
    <row r="217" spans="1:18" x14ac:dyDescent="0.25">
      <c r="C217" s="267"/>
      <c r="E217" s="7" t="str">
        <f>E$201</f>
        <v>Value of True up run-off - real</v>
      </c>
      <c r="F217" s="7">
        <f t="shared" ref="F217:R217" si="163">F$201</f>
        <v>0</v>
      </c>
      <c r="G217" s="7" t="str">
        <f t="shared" si="163"/>
        <v>£m</v>
      </c>
      <c r="H217" s="185">
        <f t="shared" si="163"/>
        <v>2.5803878282545156</v>
      </c>
      <c r="I217" s="185">
        <f t="shared" si="163"/>
        <v>0</v>
      </c>
      <c r="J217" s="184">
        <f t="shared" si="163"/>
        <v>0</v>
      </c>
      <c r="K217" s="184">
        <f t="shared" si="163"/>
        <v>0</v>
      </c>
      <c r="L217" s="184">
        <f t="shared" si="163"/>
        <v>0</v>
      </c>
      <c r="M217" s="185">
        <f t="shared" si="163"/>
        <v>-9.2849086526850755E-2</v>
      </c>
      <c r="N217" s="184">
        <f t="shared" si="163"/>
        <v>0.1755247575051051</v>
      </c>
      <c r="O217" s="184">
        <f t="shared" si="163"/>
        <v>0.81636937794810649</v>
      </c>
      <c r="P217" s="184">
        <f t="shared" si="163"/>
        <v>0.9701502151693262</v>
      </c>
      <c r="Q217" s="184">
        <f t="shared" si="163"/>
        <v>0.71119256415882859</v>
      </c>
      <c r="R217" s="184">
        <f t="shared" si="163"/>
        <v>0</v>
      </c>
    </row>
    <row r="218" spans="1:18" x14ac:dyDescent="0.25">
      <c r="E218" s="7" t="str">
        <f>E$290</f>
        <v xml:space="preserve">Time value of money factor </v>
      </c>
      <c r="F218" s="184">
        <f t="shared" ref="F218:R218" si="164">F$290</f>
        <v>0</v>
      </c>
      <c r="G218" s="7" t="str">
        <f t="shared" si="164"/>
        <v>Factor</v>
      </c>
      <c r="H218" s="246">
        <f t="shared" si="164"/>
        <v>0</v>
      </c>
      <c r="I218" s="246">
        <f t="shared" si="164"/>
        <v>0</v>
      </c>
      <c r="J218" s="184">
        <f t="shared" si="164"/>
        <v>1</v>
      </c>
      <c r="K218" s="184">
        <f t="shared" si="164"/>
        <v>1</v>
      </c>
      <c r="L218" s="184">
        <f t="shared" si="164"/>
        <v>1</v>
      </c>
      <c r="M218" s="185">
        <f t="shared" si="164"/>
        <v>1.1219976826191176</v>
      </c>
      <c r="N218" s="184">
        <f t="shared" si="164"/>
        <v>1.0901693555893588</v>
      </c>
      <c r="O218" s="184">
        <f t="shared" si="164"/>
        <v>1.059243920265355</v>
      </c>
      <c r="P218" s="184">
        <f t="shared" si="164"/>
        <v>1.0291957638201563</v>
      </c>
      <c r="Q218" s="184">
        <f t="shared" si="164"/>
        <v>1</v>
      </c>
      <c r="R218" s="184">
        <f t="shared" si="164"/>
        <v>1</v>
      </c>
    </row>
    <row r="219" spans="1:18" x14ac:dyDescent="0.25">
      <c r="A219" s="49"/>
      <c r="C219" s="267"/>
      <c r="D219" s="57"/>
      <c r="E219" s="7" t="s">
        <v>534</v>
      </c>
      <c r="G219" s="7" t="s">
        <v>238</v>
      </c>
      <c r="H219" s="185">
        <f xml:space="preserve"> SUM(J219:R219)</f>
        <v>2.6615766080255443</v>
      </c>
      <c r="J219" s="185">
        <f xml:space="preserve"> J217 * J218</f>
        <v>0</v>
      </c>
      <c r="K219" s="185">
        <f t="shared" ref="K219:R219" si="165" xml:space="preserve"> K217 * K218</f>
        <v>0</v>
      </c>
      <c r="L219" s="185">
        <f t="shared" si="165"/>
        <v>0</v>
      </c>
      <c r="M219" s="185">
        <f t="shared" si="165"/>
        <v>-0.10417645991642847</v>
      </c>
      <c r="N219" s="185">
        <f t="shared" si="165"/>
        <v>0.19135171177931889</v>
      </c>
      <c r="O219" s="185">
        <f t="shared" si="165"/>
        <v>0.86473430028234155</v>
      </c>
      <c r="P219" s="185">
        <f t="shared" si="165"/>
        <v>0.99847449172148373</v>
      </c>
      <c r="Q219" s="185">
        <f t="shared" si="165"/>
        <v>0.71119256415882859</v>
      </c>
      <c r="R219" s="185">
        <f t="shared" si="165"/>
        <v>0</v>
      </c>
    </row>
    <row r="220" spans="1:18" x14ac:dyDescent="0.25"/>
    <row r="221" spans="1:18" x14ac:dyDescent="0.25">
      <c r="B221" s="61" t="s">
        <v>503</v>
      </c>
    </row>
    <row r="222" spans="1:18" x14ac:dyDescent="0.25">
      <c r="E222" s="7" t="str">
        <f>E205</f>
        <v>Value of True up return - real</v>
      </c>
      <c r="F222" s="184">
        <f t="shared" ref="F222:R222" si="166">F205</f>
        <v>0</v>
      </c>
      <c r="G222" s="7" t="str">
        <f t="shared" si="166"/>
        <v>£m</v>
      </c>
      <c r="H222" s="246">
        <f t="shared" si="166"/>
        <v>1.1994294630001825</v>
      </c>
      <c r="I222" s="246">
        <f t="shared" si="166"/>
        <v>0</v>
      </c>
      <c r="J222" s="184">
        <f t="shared" si="166"/>
        <v>0</v>
      </c>
      <c r="K222" s="184">
        <f t="shared" si="166"/>
        <v>0</v>
      </c>
      <c r="L222" s="184">
        <f t="shared" si="166"/>
        <v>0</v>
      </c>
      <c r="M222" s="185">
        <f t="shared" si="166"/>
        <v>-4.315860149917583E-2</v>
      </c>
      <c r="N222" s="184">
        <f t="shared" si="166"/>
        <v>8.1588342392700852E-2</v>
      </c>
      <c r="O222" s="184">
        <f t="shared" si="166"/>
        <v>0.37946911463477306</v>
      </c>
      <c r="P222" s="184">
        <f t="shared" si="166"/>
        <v>0.45095033346099278</v>
      </c>
      <c r="Q222" s="184">
        <f t="shared" si="166"/>
        <v>0.33058027401089163</v>
      </c>
      <c r="R222" s="184">
        <f t="shared" si="166"/>
        <v>0</v>
      </c>
    </row>
    <row r="223" spans="1:18" x14ac:dyDescent="0.25">
      <c r="E223" s="7" t="str">
        <f>E$290</f>
        <v xml:space="preserve">Time value of money factor </v>
      </c>
      <c r="F223" s="184">
        <f t="shared" ref="F223:R223" si="167">F$290</f>
        <v>0</v>
      </c>
      <c r="G223" s="7" t="str">
        <f t="shared" si="167"/>
        <v>Factor</v>
      </c>
      <c r="H223" s="246">
        <f t="shared" si="167"/>
        <v>0</v>
      </c>
      <c r="I223" s="246">
        <f t="shared" si="167"/>
        <v>0</v>
      </c>
      <c r="J223" s="184">
        <f t="shared" si="167"/>
        <v>1</v>
      </c>
      <c r="K223" s="184">
        <f t="shared" si="167"/>
        <v>1</v>
      </c>
      <c r="L223" s="184">
        <f t="shared" si="167"/>
        <v>1</v>
      </c>
      <c r="M223" s="185">
        <f t="shared" si="167"/>
        <v>1.1219976826191176</v>
      </c>
      <c r="N223" s="184">
        <f t="shared" si="167"/>
        <v>1.0901693555893588</v>
      </c>
      <c r="O223" s="184">
        <f t="shared" si="167"/>
        <v>1.059243920265355</v>
      </c>
      <c r="P223" s="184">
        <f t="shared" si="167"/>
        <v>1.0291957638201563</v>
      </c>
      <c r="Q223" s="184">
        <f t="shared" si="167"/>
        <v>1</v>
      </c>
      <c r="R223" s="184">
        <f t="shared" si="167"/>
        <v>1</v>
      </c>
    </row>
    <row r="224" spans="1:18" x14ac:dyDescent="0.25">
      <c r="A224" s="49"/>
      <c r="C224" s="267"/>
      <c r="D224" s="57"/>
      <c r="E224" s="7" t="s">
        <v>535</v>
      </c>
      <c r="G224" s="7" t="s">
        <v>238</v>
      </c>
      <c r="H224" s="185">
        <f xml:space="preserve"> SUM(J224:R224)</f>
        <v>1.2371680592902901</v>
      </c>
      <c r="J224" s="185">
        <f xml:space="preserve"> J222 * J223</f>
        <v>0</v>
      </c>
      <c r="K224" s="185">
        <f t="shared" ref="K224:M224" si="168" xml:space="preserve"> K222 * K223</f>
        <v>0</v>
      </c>
      <c r="L224" s="185">
        <f t="shared" si="168"/>
        <v>0</v>
      </c>
      <c r="M224" s="185">
        <f t="shared" si="168"/>
        <v>-4.8423850867157253E-2</v>
      </c>
      <c r="N224" s="185">
        <f xml:space="preserve"> N222 * N223</f>
        <v>8.894511064985465E-2</v>
      </c>
      <c r="O224" s="185">
        <f t="shared" ref="O224:R224" si="169" xml:space="preserve"> O222 * O223</f>
        <v>0.40195035260536038</v>
      </c>
      <c r="P224" s="185">
        <f t="shared" si="169"/>
        <v>0.46411617289134066</v>
      </c>
      <c r="Q224" s="185">
        <f t="shared" si="169"/>
        <v>0.33058027401089163</v>
      </c>
      <c r="R224" s="185">
        <f t="shared" si="169"/>
        <v>0</v>
      </c>
    </row>
    <row r="225" spans="1:26" x14ac:dyDescent="0.25"/>
    <row r="226" spans="1:26" x14ac:dyDescent="0.25">
      <c r="B226" s="61" t="s">
        <v>505</v>
      </c>
    </row>
    <row r="227" spans="1:26" x14ac:dyDescent="0.25">
      <c r="E227" s="7" t="str">
        <f xml:space="preserve"> E$219</f>
        <v>Revenue adjustment for RCV run-off - real - WN</v>
      </c>
      <c r="F227" s="184">
        <f t="shared" ref="F227:R227" si="170" xml:space="preserve"> F$219</f>
        <v>0</v>
      </c>
      <c r="G227" s="7" t="str">
        <f t="shared" si="170"/>
        <v>£m</v>
      </c>
      <c r="H227" s="246">
        <f t="shared" si="170"/>
        <v>2.6615766080255443</v>
      </c>
      <c r="I227" s="246">
        <f t="shared" si="170"/>
        <v>0</v>
      </c>
      <c r="J227" s="184">
        <f t="shared" si="170"/>
        <v>0</v>
      </c>
      <c r="K227" s="184">
        <f t="shared" si="170"/>
        <v>0</v>
      </c>
      <c r="L227" s="184">
        <f t="shared" si="170"/>
        <v>0</v>
      </c>
      <c r="M227" s="185">
        <f t="shared" si="170"/>
        <v>-0.10417645991642847</v>
      </c>
      <c r="N227" s="184">
        <f t="shared" si="170"/>
        <v>0.19135171177931889</v>
      </c>
      <c r="O227" s="184">
        <f t="shared" si="170"/>
        <v>0.86473430028234155</v>
      </c>
      <c r="P227" s="184">
        <f t="shared" si="170"/>
        <v>0.99847449172148373</v>
      </c>
      <c r="Q227" s="184">
        <f t="shared" si="170"/>
        <v>0.71119256415882859</v>
      </c>
      <c r="R227" s="184">
        <f t="shared" si="170"/>
        <v>0</v>
      </c>
    </row>
    <row r="228" spans="1:26" x14ac:dyDescent="0.25">
      <c r="E228" s="7" t="str">
        <f xml:space="preserve"> E$224</f>
        <v>Revenue adjustment for return - real - WN</v>
      </c>
      <c r="F228" s="184">
        <f t="shared" ref="F228:R228" si="171" xml:space="preserve"> F$224</f>
        <v>0</v>
      </c>
      <c r="G228" s="7" t="str">
        <f t="shared" si="171"/>
        <v>£m</v>
      </c>
      <c r="H228" s="246">
        <f t="shared" si="171"/>
        <v>1.2371680592902901</v>
      </c>
      <c r="I228" s="246">
        <f t="shared" si="171"/>
        <v>0</v>
      </c>
      <c r="J228" s="184">
        <f t="shared" si="171"/>
        <v>0</v>
      </c>
      <c r="K228" s="184">
        <f t="shared" si="171"/>
        <v>0</v>
      </c>
      <c r="L228" s="184">
        <f t="shared" si="171"/>
        <v>0</v>
      </c>
      <c r="M228" s="185">
        <f t="shared" si="171"/>
        <v>-4.8423850867157253E-2</v>
      </c>
      <c r="N228" s="184">
        <f t="shared" si="171"/>
        <v>8.894511064985465E-2</v>
      </c>
      <c r="O228" s="184">
        <f t="shared" si="171"/>
        <v>0.40195035260536038</v>
      </c>
      <c r="P228" s="184">
        <f t="shared" si="171"/>
        <v>0.46411617289134066</v>
      </c>
      <c r="Q228" s="184">
        <f t="shared" si="171"/>
        <v>0.33058027401089163</v>
      </c>
      <c r="R228" s="184">
        <f t="shared" si="171"/>
        <v>0</v>
      </c>
    </row>
    <row r="229" spans="1:26" x14ac:dyDescent="0.25">
      <c r="A229" s="49"/>
      <c r="C229" s="267"/>
      <c r="D229" s="57"/>
      <c r="E229" s="7" t="s">
        <v>536</v>
      </c>
      <c r="G229" s="7" t="s">
        <v>238</v>
      </c>
      <c r="H229" s="185">
        <f xml:space="preserve"> SUM(J229:R229)</f>
        <v>3.8987446673158344</v>
      </c>
      <c r="J229" s="185">
        <f xml:space="preserve"> J$227 + J$228</f>
        <v>0</v>
      </c>
      <c r="K229" s="185">
        <f t="shared" ref="K229:R229" si="172" xml:space="preserve"> K$227 + K$228</f>
        <v>0</v>
      </c>
      <c r="L229" s="185">
        <f t="shared" si="172"/>
        <v>0</v>
      </c>
      <c r="M229" s="185">
        <f t="shared" si="172"/>
        <v>-0.15260031078358571</v>
      </c>
      <c r="N229" s="185">
        <f t="shared" si="172"/>
        <v>0.28029682242917353</v>
      </c>
      <c r="O229" s="185">
        <f t="shared" si="172"/>
        <v>1.2666846528877018</v>
      </c>
      <c r="P229" s="185">
        <f t="shared" si="172"/>
        <v>1.4625906646128244</v>
      </c>
      <c r="Q229" s="185">
        <f t="shared" si="172"/>
        <v>1.0417728381697202</v>
      </c>
      <c r="R229" s="185">
        <f t="shared" si="17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73">SUM(J238:J239)</f>
        <v>0</v>
      </c>
      <c r="K240" s="172">
        <f t="shared" si="173"/>
        <v>0</v>
      </c>
      <c r="L240" s="172">
        <f t="shared" si="173"/>
        <v>3.1522140708501789E-2</v>
      </c>
      <c r="M240" s="172">
        <f>SUM(M238:M239)</f>
        <v>2.4258091513662761E-2</v>
      </c>
      <c r="N240" s="172">
        <f t="shared" ref="N240:R240" si="174">SUM(N238:N239)</f>
        <v>2.9587648685595269E-2</v>
      </c>
      <c r="O240" s="172">
        <f t="shared" si="174"/>
        <v>3.150368327076003E-2</v>
      </c>
      <c r="P240" s="172">
        <f t="shared" si="174"/>
        <v>3.2000000000000695E-2</v>
      </c>
      <c r="Q240" s="172">
        <f t="shared" si="174"/>
        <v>3.1999999999999806E-2</v>
      </c>
      <c r="R240" s="172">
        <f t="shared" si="17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75" xml:space="preserve"> E$258</f>
        <v>2019-20 wedge Nominal RCV balance BEG</v>
      </c>
      <c r="F242" s="244">
        <f xml:space="preserve"> F$258</f>
        <v>0</v>
      </c>
      <c r="G242" s="244" t="str">
        <f t="shared" si="175"/>
        <v>£m</v>
      </c>
      <c r="H242" s="244">
        <f t="shared" si="175"/>
        <v>0</v>
      </c>
      <c r="I242" s="244">
        <f t="shared" si="175"/>
        <v>0</v>
      </c>
      <c r="J242" s="244">
        <f t="shared" si="175"/>
        <v>0</v>
      </c>
      <c r="K242" s="244">
        <f t="shared" si="175"/>
        <v>0</v>
      </c>
      <c r="L242" s="244">
        <f t="shared" si="175"/>
        <v>0</v>
      </c>
      <c r="M242" s="244">
        <f t="shared" si="175"/>
        <v>0.30112500506244505</v>
      </c>
      <c r="N242" s="244">
        <f t="shared" si="175"/>
        <v>0.30842972299230198</v>
      </c>
      <c r="O242" s="244">
        <f t="shared" si="175"/>
        <v>0.31755543328039365</v>
      </c>
      <c r="P242" s="244">
        <f t="shared" si="175"/>
        <v>0.32755959907136811</v>
      </c>
      <c r="Q242" s="244">
        <f t="shared" si="175"/>
        <v>0.33804150624165213</v>
      </c>
      <c r="R242" s="244">
        <f t="shared" si="175"/>
        <v>0.34885883444138494</v>
      </c>
    </row>
    <row r="243" spans="1:16383" x14ac:dyDescent="0.25">
      <c r="E243" s="178" t="str">
        <f t="shared" ref="E243:R243" si="176" xml:space="preserve"> E$240</f>
        <v>2019-20 wedge Indexation percentage</v>
      </c>
      <c r="F243" s="178">
        <f t="shared" si="176"/>
        <v>0</v>
      </c>
      <c r="G243" s="178">
        <f t="shared" si="176"/>
        <v>0</v>
      </c>
      <c r="H243" s="178">
        <f t="shared" si="176"/>
        <v>0</v>
      </c>
      <c r="I243" s="178">
        <f t="shared" si="176"/>
        <v>0</v>
      </c>
      <c r="J243" s="178">
        <f t="shared" si="176"/>
        <v>0</v>
      </c>
      <c r="K243" s="178">
        <f t="shared" si="176"/>
        <v>0</v>
      </c>
      <c r="L243" s="178">
        <f t="shared" si="176"/>
        <v>3.1522140708501789E-2</v>
      </c>
      <c r="M243" s="178">
        <f t="shared" si="176"/>
        <v>2.4258091513662761E-2</v>
      </c>
      <c r="N243" s="178">
        <f t="shared" si="176"/>
        <v>2.9587648685595269E-2</v>
      </c>
      <c r="O243" s="178">
        <f t="shared" si="176"/>
        <v>3.150368327076003E-2</v>
      </c>
      <c r="P243" s="178">
        <f t="shared" si="176"/>
        <v>3.2000000000000695E-2</v>
      </c>
      <c r="Q243" s="178">
        <f t="shared" si="176"/>
        <v>3.1999999999999806E-2</v>
      </c>
      <c r="R243" s="178">
        <f t="shared" si="176"/>
        <v>2.9999999999999805E-2</v>
      </c>
    </row>
    <row r="244" spans="1:16383" x14ac:dyDescent="0.25">
      <c r="A244" s="49"/>
      <c r="C244" s="267"/>
      <c r="D244" s="57"/>
      <c r="E244" s="7" t="s">
        <v>510</v>
      </c>
      <c r="G244" s="92" t="s">
        <v>238</v>
      </c>
      <c r="J244" s="321">
        <f>J242*J243</f>
        <v>0</v>
      </c>
      <c r="K244" s="321">
        <f t="shared" ref="K244" si="177">K242*K243</f>
        <v>0</v>
      </c>
      <c r="L244" s="321">
        <f t="shared" ref="L244" si="178">L242*L243</f>
        <v>0</v>
      </c>
      <c r="M244" s="321">
        <f>M242*M243</f>
        <v>7.3047179298569541E-3</v>
      </c>
      <c r="N244" s="321">
        <f t="shared" ref="N244" si="179">N242*N243</f>
        <v>9.1257102880916968E-3</v>
      </c>
      <c r="O244" s="321">
        <f t="shared" ref="O244" si="180">O242*O243</f>
        <v>1.000416579097449E-2</v>
      </c>
      <c r="P244" s="321">
        <f t="shared" ref="P244" si="181">P242*P243</f>
        <v>1.0481907170284008E-2</v>
      </c>
      <c r="Q244" s="321">
        <f t="shared" ref="Q244" si="182">Q242*Q243</f>
        <v>1.0817328199732803E-2</v>
      </c>
      <c r="R244" s="321">
        <f t="shared" ref="R244" si="183">R242*R243</f>
        <v>1.0465765033241479E-2</v>
      </c>
    </row>
    <row r="245" spans="1:16383" x14ac:dyDescent="0.25"/>
    <row r="246" spans="1:16383" s="205" customFormat="1" x14ac:dyDescent="0.25">
      <c r="A246" s="201"/>
      <c r="B246" s="202"/>
      <c r="C246" s="203"/>
      <c r="D246" s="204"/>
      <c r="E246" s="37" t="str">
        <f xml:space="preserve"> InpR!E$99</f>
        <v>Run-off rate - CPI(H) + RPI wedge - active - WN</v>
      </c>
      <c r="F246" s="205">
        <f xml:space="preserve"> InpR!F$99</f>
        <v>0</v>
      </c>
      <c r="G246" s="223" t="str">
        <f xml:space="preserve"> InpR!G$99</f>
        <v>%</v>
      </c>
      <c r="H246" s="205">
        <f xml:space="preserve"> InpR!H$99</f>
        <v>0</v>
      </c>
      <c r="I246" s="205">
        <f xml:space="preserve"> InpR!I$99</f>
        <v>0</v>
      </c>
      <c r="J246" s="205">
        <f xml:space="preserve"> InpR!J$99</f>
        <v>0</v>
      </c>
      <c r="K246" s="205">
        <f xml:space="preserve"> InpR!K$99</f>
        <v>0</v>
      </c>
      <c r="L246" s="205">
        <f xml:space="preserve"> InpR!L$99</f>
        <v>0</v>
      </c>
      <c r="M246" s="205">
        <f xml:space="preserve"> InpR!M$99</f>
        <v>4.04773964521715E-2</v>
      </c>
      <c r="N246" s="205">
        <f xml:space="preserve"> InpR!N$99</f>
        <v>4.04773964521715E-2</v>
      </c>
      <c r="O246" s="205">
        <f xml:space="preserve"> InpR!O$99</f>
        <v>4.04773964521715E-2</v>
      </c>
      <c r="P246" s="205">
        <f xml:space="preserve"> InpR!P$99</f>
        <v>4.04773964521715E-2</v>
      </c>
      <c r="Q246" s="205">
        <f xml:space="preserve"> InpR!Q$99</f>
        <v>4.04773964521715E-2</v>
      </c>
      <c r="R246" s="205">
        <f xml:space="preserve"> InpR!R$99</f>
        <v>0</v>
      </c>
    </row>
    <row r="247" spans="1:16383" s="161" customFormat="1" x14ac:dyDescent="0.25">
      <c r="A247" s="157"/>
      <c r="B247" s="158"/>
      <c r="C247" s="159"/>
      <c r="D247" s="160"/>
      <c r="E247" s="161" t="str">
        <f t="shared" ref="E247:R247" si="184" xml:space="preserve"> E$258</f>
        <v>2019-20 wedge Nominal RCV balance BEG</v>
      </c>
      <c r="F247" s="244">
        <f t="shared" si="184"/>
        <v>0</v>
      </c>
      <c r="G247" s="244" t="str">
        <f t="shared" si="184"/>
        <v>£m</v>
      </c>
      <c r="H247" s="244">
        <f t="shared" si="184"/>
        <v>0</v>
      </c>
      <c r="I247" s="244">
        <f t="shared" si="184"/>
        <v>0</v>
      </c>
      <c r="J247" s="244">
        <f t="shared" si="184"/>
        <v>0</v>
      </c>
      <c r="K247" s="244">
        <f t="shared" si="184"/>
        <v>0</v>
      </c>
      <c r="L247" s="244">
        <f t="shared" si="184"/>
        <v>0</v>
      </c>
      <c r="M247" s="244">
        <f t="shared" si="184"/>
        <v>0.30112500506244505</v>
      </c>
      <c r="N247" s="244">
        <f t="shared" si="184"/>
        <v>0.30842972299230198</v>
      </c>
      <c r="O247" s="244">
        <f t="shared" si="184"/>
        <v>0.31755543328039365</v>
      </c>
      <c r="P247" s="244">
        <f t="shared" si="184"/>
        <v>0.32755959907136811</v>
      </c>
      <c r="Q247" s="244">
        <f t="shared" si="184"/>
        <v>0.33804150624165213</v>
      </c>
      <c r="R247" s="244">
        <f t="shared" si="184"/>
        <v>0.34885883444138494</v>
      </c>
    </row>
    <row r="248" spans="1:16383" s="91" customFormat="1" x14ac:dyDescent="0.25">
      <c r="A248" s="170"/>
      <c r="B248" s="165"/>
      <c r="C248" s="265"/>
      <c r="D248" s="171"/>
      <c r="E248" s="7" t="str">
        <f t="shared" ref="E248:R248" si="185" xml:space="preserve"> E$244</f>
        <v>2019-20 wedge RCV indexation</v>
      </c>
      <c r="F248" s="245">
        <f t="shared" si="185"/>
        <v>0</v>
      </c>
      <c r="G248" s="162" t="str">
        <f t="shared" si="185"/>
        <v>£m</v>
      </c>
      <c r="H248" s="245">
        <f t="shared" si="185"/>
        <v>0</v>
      </c>
      <c r="I248" s="245">
        <f t="shared" si="185"/>
        <v>0</v>
      </c>
      <c r="J248" s="245">
        <f t="shared" si="185"/>
        <v>0</v>
      </c>
      <c r="K248" s="245">
        <f t="shared" si="185"/>
        <v>0</v>
      </c>
      <c r="L248" s="245">
        <f t="shared" si="185"/>
        <v>0</v>
      </c>
      <c r="M248" s="245">
        <f t="shared" si="185"/>
        <v>7.3047179298569541E-3</v>
      </c>
      <c r="N248" s="245">
        <f t="shared" si="185"/>
        <v>9.1257102880916968E-3</v>
      </c>
      <c r="O248" s="245">
        <f t="shared" si="185"/>
        <v>1.000416579097449E-2</v>
      </c>
      <c r="P248" s="245">
        <f t="shared" si="185"/>
        <v>1.0481907170284008E-2</v>
      </c>
      <c r="Q248" s="245">
        <f t="shared" si="185"/>
        <v>1.0817328199732803E-2</v>
      </c>
      <c r="R248" s="245">
        <f t="shared" si="185"/>
        <v>1.0465765033241479E-2</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86" xml:space="preserve"> (J247+J248) * J246</f>
        <v>0</v>
      </c>
      <c r="K249" s="321">
        <f t="shared" si="186"/>
        <v>0</v>
      </c>
      <c r="L249" s="321">
        <f t="shared" si="186"/>
        <v>0</v>
      </c>
      <c r="M249" s="321">
        <f xml:space="preserve"> (M247+M248) * M246</f>
        <v>1.2484432175192843E-2</v>
      </c>
      <c r="N249" s="321">
        <f t="shared" si="186"/>
        <v>1.285381716843159E-2</v>
      </c>
      <c r="O249" s="321">
        <f t="shared" si="186"/>
        <v>1.3258759753326115E-2</v>
      </c>
      <c r="P249" s="321">
        <f t="shared" si="186"/>
        <v>1.3683040065432561E-2</v>
      </c>
      <c r="Q249" s="321">
        <f t="shared" si="186"/>
        <v>1.4120897347526399E-2</v>
      </c>
      <c r="R249" s="321">
        <f t="shared" si="186"/>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E250" s="138"/>
      <c r="F250" s="138"/>
      <c r="G250" s="138"/>
      <c r="H250" s="138"/>
    </row>
    <row r="251" spans="1:16383" s="200" customFormat="1" x14ac:dyDescent="0.25">
      <c r="A251" s="196"/>
      <c r="B251" s="197"/>
      <c r="C251" s="198"/>
      <c r="D251" s="199"/>
      <c r="E251" s="249" t="str">
        <f>InpR!$E$120</f>
        <v>2019-20 RPI-CPIH wedge adjustment at 2017-18 FYA CPIH prices - WN</v>
      </c>
      <c r="F251" s="249">
        <f>InpR!$F$120</f>
        <v>0.28653704054866902</v>
      </c>
      <c r="G251" s="249" t="str">
        <f>InpR!$G$120</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246" t="s">
        <v>513</v>
      </c>
      <c r="F255" s="246">
        <f xml:space="preserve"> $F$251 * $F$254</f>
        <v>0.30112500506244505</v>
      </c>
      <c r="G255" s="246"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 si="187" xml:space="preserve"> I261</f>
        <v>0</v>
      </c>
      <c r="K258" s="241">
        <f t="shared" ref="K258" si="188" xml:space="preserve"> J261</f>
        <v>0</v>
      </c>
      <c r="L258" s="241">
        <f t="shared" ref="L258" si="189" xml:space="preserve"> K261</f>
        <v>0</v>
      </c>
      <c r="M258" s="241">
        <f t="shared" ref="M258" si="190" xml:space="preserve"> L261</f>
        <v>0.30112500506244505</v>
      </c>
      <c r="N258" s="241">
        <f t="shared" ref="N258" si="191" xml:space="preserve"> M261</f>
        <v>0.30842972299230198</v>
      </c>
      <c r="O258" s="241">
        <f t="shared" ref="O258" si="192" xml:space="preserve"> N261</f>
        <v>0.31755543328039365</v>
      </c>
      <c r="P258" s="241">
        <f t="shared" ref="P258" si="193" xml:space="preserve"> O261</f>
        <v>0.32755959907136811</v>
      </c>
      <c r="Q258" s="241">
        <f t="shared" ref="Q258" si="194" xml:space="preserve"> P261</f>
        <v>0.33804150624165213</v>
      </c>
      <c r="R258" s="241">
        <f t="shared" ref="R258" si="195" xml:space="preserve"> Q261</f>
        <v>0.34885883444138494</v>
      </c>
    </row>
    <row r="259" spans="1:26" x14ac:dyDescent="0.25">
      <c r="A259" s="47"/>
      <c r="B259" s="51"/>
      <c r="C259" s="111"/>
      <c r="D259" s="56" t="s">
        <v>445</v>
      </c>
      <c r="E259" s="7" t="str">
        <f t="shared" ref="E259:R259" si="196" xml:space="preserve"> E$244</f>
        <v>2019-20 wedge RCV indexation</v>
      </c>
      <c r="F259" s="241">
        <f t="shared" si="196"/>
        <v>0</v>
      </c>
      <c r="G259" s="241" t="str">
        <f t="shared" si="196"/>
        <v>£m</v>
      </c>
      <c r="H259" s="241">
        <f t="shared" si="196"/>
        <v>0</v>
      </c>
      <c r="I259" s="241">
        <f t="shared" si="196"/>
        <v>0</v>
      </c>
      <c r="J259" s="241">
        <f t="shared" si="196"/>
        <v>0</v>
      </c>
      <c r="K259" s="241">
        <f t="shared" si="196"/>
        <v>0</v>
      </c>
      <c r="L259" s="241">
        <f t="shared" si="196"/>
        <v>0</v>
      </c>
      <c r="M259" s="241">
        <f t="shared" si="196"/>
        <v>7.3047179298569541E-3</v>
      </c>
      <c r="N259" s="241">
        <f t="shared" si="196"/>
        <v>9.1257102880916968E-3</v>
      </c>
      <c r="O259" s="241">
        <f t="shared" si="196"/>
        <v>1.000416579097449E-2</v>
      </c>
      <c r="P259" s="241">
        <f t="shared" si="196"/>
        <v>1.0481907170284008E-2</v>
      </c>
      <c r="Q259" s="241">
        <f t="shared" si="196"/>
        <v>1.0817328199732803E-2</v>
      </c>
      <c r="R259" s="241">
        <f t="shared" si="196"/>
        <v>1.0465765033241479E-2</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97" xml:space="preserve"> IF( J256 = 1, $F255, J258 + J259 - J260)</f>
        <v>0</v>
      </c>
      <c r="K261" s="242">
        <f t="shared" si="197"/>
        <v>0</v>
      </c>
      <c r="L261" s="242">
        <f xml:space="preserve"> IF( L256 = 1, $F255, L258 + L259 - L260)</f>
        <v>0.30112500506244505</v>
      </c>
      <c r="M261" s="242">
        <f t="shared" si="197"/>
        <v>0.30842972299230198</v>
      </c>
      <c r="N261" s="242">
        <f t="shared" si="197"/>
        <v>0.31755543328039365</v>
      </c>
      <c r="O261" s="242">
        <f t="shared" si="197"/>
        <v>0.32755959907136811</v>
      </c>
      <c r="P261" s="242">
        <f t="shared" si="197"/>
        <v>0.33804150624165213</v>
      </c>
      <c r="Q261" s="242">
        <f t="shared" si="197"/>
        <v>0.34885883444138494</v>
      </c>
      <c r="R261" s="242">
        <f t="shared" si="197"/>
        <v>0.35932459947462642</v>
      </c>
    </row>
    <row r="262" spans="1:26" x14ac:dyDescent="0.25"/>
    <row r="263" spans="1:26" s="92" customFormat="1" x14ac:dyDescent="0.25">
      <c r="A263" s="164"/>
      <c r="B263" s="165"/>
      <c r="C263" s="166"/>
      <c r="D263" s="167"/>
      <c r="E263" s="179" t="str">
        <f t="shared" ref="E263:R263" si="198" xml:space="preserve"> E$258</f>
        <v>2019-20 wedge Nominal RCV balance BEG</v>
      </c>
      <c r="F263" s="185">
        <f t="shared" si="198"/>
        <v>0</v>
      </c>
      <c r="G263" s="185" t="str">
        <f t="shared" si="198"/>
        <v>£m</v>
      </c>
      <c r="H263" s="185">
        <f t="shared" si="198"/>
        <v>0</v>
      </c>
      <c r="I263" s="185">
        <f t="shared" si="198"/>
        <v>0</v>
      </c>
      <c r="J263" s="185">
        <f t="shared" si="198"/>
        <v>0</v>
      </c>
      <c r="K263" s="185">
        <f t="shared" si="198"/>
        <v>0</v>
      </c>
      <c r="L263" s="185">
        <f t="shared" si="198"/>
        <v>0</v>
      </c>
      <c r="M263" s="185">
        <f t="shared" si="198"/>
        <v>0.30112500506244505</v>
      </c>
      <c r="N263" s="185">
        <f t="shared" si="198"/>
        <v>0.30842972299230198</v>
      </c>
      <c r="O263" s="185">
        <f t="shared" si="198"/>
        <v>0.31755543328039365</v>
      </c>
      <c r="P263" s="185">
        <f t="shared" si="198"/>
        <v>0.32755959907136811</v>
      </c>
      <c r="Q263" s="185">
        <f t="shared" si="198"/>
        <v>0.33804150624165213</v>
      </c>
      <c r="R263" s="185">
        <f t="shared" si="198"/>
        <v>0.34885883444138494</v>
      </c>
    </row>
    <row r="264" spans="1:26" s="91" customFormat="1" x14ac:dyDescent="0.25">
      <c r="A264" s="170"/>
      <c r="B264" s="165"/>
      <c r="C264" s="166"/>
      <c r="D264" s="171"/>
      <c r="E264" s="179" t="str">
        <f t="shared" ref="E264:R264" si="199" xml:space="preserve"> E$244</f>
        <v>2019-20 wedge RCV indexation</v>
      </c>
      <c r="F264" s="184">
        <f t="shared" si="199"/>
        <v>0</v>
      </c>
      <c r="G264" s="185" t="str">
        <f t="shared" si="199"/>
        <v>£m</v>
      </c>
      <c r="H264" s="184">
        <f t="shared" si="199"/>
        <v>0</v>
      </c>
      <c r="I264" s="184">
        <f t="shared" si="199"/>
        <v>0</v>
      </c>
      <c r="J264" s="184">
        <f t="shared" si="199"/>
        <v>0</v>
      </c>
      <c r="K264" s="184">
        <f t="shared" si="199"/>
        <v>0</v>
      </c>
      <c r="L264" s="184">
        <f t="shared" si="199"/>
        <v>0</v>
      </c>
      <c r="M264" s="184">
        <f t="shared" si="199"/>
        <v>7.3047179298569541E-3</v>
      </c>
      <c r="N264" s="184">
        <f t="shared" si="199"/>
        <v>9.1257102880916968E-3</v>
      </c>
      <c r="O264" s="184">
        <f t="shared" si="199"/>
        <v>1.000416579097449E-2</v>
      </c>
      <c r="P264" s="184">
        <f t="shared" si="199"/>
        <v>1.0481907170284008E-2</v>
      </c>
      <c r="Q264" s="184">
        <f t="shared" si="199"/>
        <v>1.0817328199732803E-2</v>
      </c>
      <c r="R264" s="184">
        <f t="shared" si="199"/>
        <v>1.0465765033241479E-2</v>
      </c>
      <c r="S264" s="92"/>
      <c r="T264" s="92"/>
      <c r="U264" s="92"/>
      <c r="V264" s="92"/>
      <c r="W264" s="92"/>
      <c r="X264" s="92"/>
      <c r="Y264" s="92"/>
      <c r="Z264" s="92"/>
    </row>
    <row r="265" spans="1:26" s="92" customFormat="1" x14ac:dyDescent="0.25">
      <c r="A265" s="164"/>
      <c r="B265" s="165"/>
      <c r="C265" s="166"/>
      <c r="D265" s="167"/>
      <c r="E265" s="179" t="str">
        <f t="shared" ref="E265:R265" si="200" xml:space="preserve"> E$261</f>
        <v>2019-20 wedge Nominal RCV balance END</v>
      </c>
      <c r="F265" s="185">
        <f t="shared" si="200"/>
        <v>0</v>
      </c>
      <c r="G265" s="185" t="str">
        <f t="shared" si="200"/>
        <v>£m</v>
      </c>
      <c r="H265" s="185">
        <f t="shared" si="200"/>
        <v>0</v>
      </c>
      <c r="I265" s="185">
        <f t="shared" si="200"/>
        <v>0</v>
      </c>
      <c r="J265" s="185">
        <f t="shared" si="200"/>
        <v>0</v>
      </c>
      <c r="K265" s="185">
        <f t="shared" si="200"/>
        <v>0</v>
      </c>
      <c r="L265" s="185">
        <f t="shared" si="200"/>
        <v>0.30112500506244505</v>
      </c>
      <c r="M265" s="185">
        <f t="shared" si="200"/>
        <v>0.30842972299230198</v>
      </c>
      <c r="N265" s="185">
        <f t="shared" si="200"/>
        <v>0.31755543328039365</v>
      </c>
      <c r="O265" s="185">
        <f t="shared" si="200"/>
        <v>0.32755959907136811</v>
      </c>
      <c r="P265" s="185">
        <f t="shared" si="200"/>
        <v>0.33804150624165213</v>
      </c>
      <c r="Q265" s="185">
        <f t="shared" si="200"/>
        <v>0.34885883444138494</v>
      </c>
      <c r="R265" s="185">
        <f t="shared" si="200"/>
        <v>0.35932459947462642</v>
      </c>
    </row>
    <row r="266" spans="1:26" x14ac:dyDescent="0.25">
      <c r="A266" s="49"/>
      <c r="C266" s="267"/>
      <c r="D266" s="57"/>
      <c r="E266" s="7" t="s">
        <v>517</v>
      </c>
      <c r="F266" s="243"/>
      <c r="G266" s="185" t="s">
        <v>238</v>
      </c>
      <c r="H266" s="243"/>
      <c r="I266" s="243"/>
      <c r="J266" s="185">
        <f t="shared" ref="J266:L266" si="201" xml:space="preserve"> ( (J263+J264) + J265) / 2</f>
        <v>0</v>
      </c>
      <c r="K266" s="185">
        <f t="shared" si="201"/>
        <v>0</v>
      </c>
      <c r="L266" s="185">
        <f t="shared" si="201"/>
        <v>0.15056250253122253</v>
      </c>
      <c r="M266" s="185">
        <f xml:space="preserve"> ( (M263+M264) + M265) / 2</f>
        <v>0.30842972299230198</v>
      </c>
      <c r="N266" s="185">
        <f t="shared" ref="N266:R266" si="202" xml:space="preserve"> ( (N263+N264) + N265) / 2</f>
        <v>0.31755543328039365</v>
      </c>
      <c r="O266" s="185">
        <f t="shared" si="202"/>
        <v>0.32755959907136811</v>
      </c>
      <c r="P266" s="185">
        <f t="shared" si="202"/>
        <v>0.33804150624165213</v>
      </c>
      <c r="Q266" s="185">
        <f t="shared" si="202"/>
        <v>0.34885883444138494</v>
      </c>
      <c r="R266" s="185">
        <f t="shared" si="202"/>
        <v>0.35932459947462642</v>
      </c>
    </row>
    <row r="267" spans="1:26" x14ac:dyDescent="0.25"/>
    <row r="268" spans="1:26" s="205" customFormat="1" x14ac:dyDescent="0.25">
      <c r="A268" s="201"/>
      <c r="B268" s="202"/>
      <c r="C268" s="203"/>
      <c r="D268" s="204"/>
      <c r="E268" s="205" t="str">
        <f xml:space="preserve"> InpR!E$106</f>
        <v>WACC on RCV - CPI(H) + RPI wedge bf and additions - WN</v>
      </c>
      <c r="F268" s="205">
        <f xml:space="preserve"> InpR!F$106</f>
        <v>0</v>
      </c>
      <c r="G268" s="223" t="str">
        <f xml:space="preserve"> InpR!G$106</f>
        <v>%</v>
      </c>
      <c r="H268" s="205">
        <f xml:space="preserve"> InpR!H$106</f>
        <v>0</v>
      </c>
      <c r="I268" s="205">
        <f xml:space="preserve"> InpR!I$106</f>
        <v>0</v>
      </c>
      <c r="J268" s="205">
        <f xml:space="preserve"> InpR!J$106</f>
        <v>0</v>
      </c>
      <c r="K268" s="205">
        <f xml:space="preserve"> InpR!K$106</f>
        <v>0</v>
      </c>
      <c r="L268" s="205">
        <f xml:space="preserve"> InpR!L$106</f>
        <v>0</v>
      </c>
      <c r="M268" s="205">
        <f xml:space="preserve"> InpR!M$106</f>
        <v>1.920357193840716E-2</v>
      </c>
      <c r="N268" s="205">
        <f xml:space="preserve"> InpR!N$106</f>
        <v>1.920357193840716E-2</v>
      </c>
      <c r="O268" s="205">
        <f xml:space="preserve"> InpR!O$106</f>
        <v>1.920357193840716E-2</v>
      </c>
      <c r="P268" s="205">
        <f xml:space="preserve"> InpR!P$106</f>
        <v>1.920357193840716E-2</v>
      </c>
      <c r="Q268" s="205">
        <f xml:space="preserve"> InpR!Q$106</f>
        <v>1.920357193840716E-2</v>
      </c>
      <c r="R268" s="205">
        <f xml:space="preserve"> InpR!R$106</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203" xml:space="preserve"> E$266</f>
        <v>2019-20 wedge Nominal RCV average balance</v>
      </c>
      <c r="F270" s="184">
        <f t="shared" si="203"/>
        <v>0</v>
      </c>
      <c r="G270" s="184" t="str">
        <f t="shared" si="203"/>
        <v>£m</v>
      </c>
      <c r="H270" s="245">
        <f t="shared" si="203"/>
        <v>0</v>
      </c>
      <c r="I270" s="184">
        <f t="shared" si="203"/>
        <v>0</v>
      </c>
      <c r="J270" s="245">
        <f t="shared" si="203"/>
        <v>0</v>
      </c>
      <c r="K270" s="245">
        <f t="shared" si="203"/>
        <v>0</v>
      </c>
      <c r="L270" s="245">
        <f t="shared" si="203"/>
        <v>0.15056250253122253</v>
      </c>
      <c r="M270" s="245">
        <f xml:space="preserve"> M$266</f>
        <v>0.30842972299230198</v>
      </c>
      <c r="N270" s="245">
        <f t="shared" si="203"/>
        <v>0.31755543328039365</v>
      </c>
      <c r="O270" s="245">
        <f t="shared" si="203"/>
        <v>0.32755959907136811</v>
      </c>
      <c r="P270" s="245">
        <f t="shared" si="203"/>
        <v>0.33804150624165213</v>
      </c>
      <c r="Q270" s="245">
        <f t="shared" si="203"/>
        <v>0.34885883444138494</v>
      </c>
      <c r="R270" s="245">
        <f t="shared" si="203"/>
        <v>0.35932459947462642</v>
      </c>
    </row>
    <row r="271" spans="1:26" x14ac:dyDescent="0.25">
      <c r="C271" s="267"/>
      <c r="E271" s="7" t="s">
        <v>518</v>
      </c>
      <c r="F271" s="243"/>
      <c r="G271" s="184" t="s">
        <v>238</v>
      </c>
      <c r="H271" s="243"/>
      <c r="I271" s="243"/>
      <c r="J271" s="245">
        <f t="shared" ref="J271:K271" si="204">J268*J269*J270</f>
        <v>0</v>
      </c>
      <c r="K271" s="245">
        <f t="shared" si="204"/>
        <v>0</v>
      </c>
      <c r="L271" s="245">
        <f>L268*L269*L270</f>
        <v>0</v>
      </c>
      <c r="M271" s="245">
        <f>M268*M269*M270</f>
        <v>5.9229523734256641E-3</v>
      </c>
      <c r="N271" s="245">
        <f t="shared" ref="N271:R271" si="205">N268*N269*N270</f>
        <v>6.0981986074320951E-3</v>
      </c>
      <c r="O271" s="245">
        <f t="shared" si="205"/>
        <v>6.2903143248828246E-3</v>
      </c>
      <c r="P271" s="245">
        <f t="shared" si="205"/>
        <v>6.4916043832790801E-3</v>
      </c>
      <c r="Q271" s="245">
        <f t="shared" si="205"/>
        <v>6.6993357235440093E-3</v>
      </c>
      <c r="R271" s="245">
        <f t="shared" si="205"/>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206" xml:space="preserve"> F$249</f>
        <v>0</v>
      </c>
      <c r="G273" s="184" t="str">
        <f t="shared" si="206"/>
        <v>£m</v>
      </c>
      <c r="H273" s="184">
        <f t="shared" si="206"/>
        <v>0</v>
      </c>
      <c r="I273" s="184">
        <f t="shared" si="206"/>
        <v>0</v>
      </c>
      <c r="J273" s="184">
        <f t="shared" si="206"/>
        <v>0</v>
      </c>
      <c r="K273" s="184">
        <f t="shared" si="206"/>
        <v>0</v>
      </c>
      <c r="L273" s="184">
        <f t="shared" si="206"/>
        <v>0</v>
      </c>
      <c r="M273" s="184">
        <f t="shared" si="206"/>
        <v>1.2484432175192843E-2</v>
      </c>
      <c r="N273" s="184">
        <f t="shared" si="206"/>
        <v>1.285381716843159E-2</v>
      </c>
      <c r="O273" s="184">
        <f t="shared" si="206"/>
        <v>1.3258759753326115E-2</v>
      </c>
      <c r="P273" s="184">
        <f t="shared" si="206"/>
        <v>1.3683040065432561E-2</v>
      </c>
      <c r="Q273" s="184">
        <f t="shared" si="206"/>
        <v>1.4120897347526399E-2</v>
      </c>
      <c r="R273" s="184">
        <f t="shared" si="206"/>
        <v>0</v>
      </c>
      <c r="S273" s="92"/>
      <c r="T273" s="92"/>
      <c r="U273" s="92"/>
      <c r="V273" s="92"/>
      <c r="W273" s="92"/>
      <c r="X273" s="92"/>
      <c r="Y273" s="92"/>
      <c r="Z273" s="92"/>
    </row>
    <row r="274" spans="1:26" x14ac:dyDescent="0.25">
      <c r="E274" s="7" t="str">
        <f xml:space="preserve"> E$271</f>
        <v>2019-20 wedge Nominal return</v>
      </c>
      <c r="F274" s="184">
        <f t="shared" ref="F274:R274" si="207" xml:space="preserve"> F$271</f>
        <v>0</v>
      </c>
      <c r="G274" s="184" t="str">
        <f t="shared" si="207"/>
        <v>£m</v>
      </c>
      <c r="H274" s="184">
        <f t="shared" si="207"/>
        <v>0</v>
      </c>
      <c r="I274" s="184">
        <f t="shared" si="207"/>
        <v>0</v>
      </c>
      <c r="J274" s="184">
        <f t="shared" si="207"/>
        <v>0</v>
      </c>
      <c r="K274" s="184">
        <f t="shared" si="207"/>
        <v>0</v>
      </c>
      <c r="L274" s="184">
        <f t="shared" si="207"/>
        <v>0</v>
      </c>
      <c r="M274" s="184">
        <f t="shared" si="207"/>
        <v>5.9229523734256641E-3</v>
      </c>
      <c r="N274" s="184">
        <f t="shared" si="207"/>
        <v>6.0981986074320951E-3</v>
      </c>
      <c r="O274" s="184">
        <f t="shared" si="207"/>
        <v>6.2903143248828246E-3</v>
      </c>
      <c r="P274" s="184">
        <f t="shared" si="207"/>
        <v>6.4916043832790801E-3</v>
      </c>
      <c r="Q274" s="184">
        <f t="shared" si="207"/>
        <v>6.6993357235440093E-3</v>
      </c>
      <c r="R274" s="184">
        <f t="shared" si="207"/>
        <v>0</v>
      </c>
    </row>
    <row r="275" spans="1:26" x14ac:dyDescent="0.25">
      <c r="C275" s="267"/>
      <c r="E275" s="7" t="s">
        <v>519</v>
      </c>
      <c r="F275" s="243"/>
      <c r="G275" s="184" t="str">
        <f t="shared" ref="G275" si="208">G$273</f>
        <v>£m</v>
      </c>
      <c r="H275" s="243">
        <f>SUM(J275:R275)</f>
        <v>9.7903351922473181E-2</v>
      </c>
      <c r="I275" s="243"/>
      <c r="J275" s="243">
        <f t="shared" ref="J275:R275" si="209">SUM(J273:J274)</f>
        <v>0</v>
      </c>
      <c r="K275" s="243">
        <f t="shared" si="209"/>
        <v>0</v>
      </c>
      <c r="L275" s="243">
        <f>SUM(L273:L274)</f>
        <v>0</v>
      </c>
      <c r="M275" s="243">
        <f>SUM(M273:M274)</f>
        <v>1.8407384548618507E-2</v>
      </c>
      <c r="N275" s="243">
        <f t="shared" si="209"/>
        <v>1.8952015775863685E-2</v>
      </c>
      <c r="O275" s="243">
        <f t="shared" si="209"/>
        <v>1.9549074078208939E-2</v>
      </c>
      <c r="P275" s="243">
        <f t="shared" si="209"/>
        <v>2.0174644448711643E-2</v>
      </c>
      <c r="Q275" s="243">
        <f t="shared" si="209"/>
        <v>2.0820233071070407E-2</v>
      </c>
      <c r="R275" s="243">
        <f t="shared" si="209"/>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210">F$249</f>
        <v>0</v>
      </c>
      <c r="G279" s="185" t="str">
        <f t="shared" si="210"/>
        <v>£m</v>
      </c>
      <c r="H279" s="185">
        <f t="shared" si="210"/>
        <v>0</v>
      </c>
      <c r="I279" s="185">
        <f t="shared" si="210"/>
        <v>0</v>
      </c>
      <c r="J279" s="185">
        <f t="shared" si="210"/>
        <v>0</v>
      </c>
      <c r="K279" s="185">
        <f t="shared" si="210"/>
        <v>0</v>
      </c>
      <c r="L279" s="185">
        <f t="shared" si="210"/>
        <v>0</v>
      </c>
      <c r="M279" s="185">
        <f t="shared" si="210"/>
        <v>1.2484432175192843E-2</v>
      </c>
      <c r="N279" s="185">
        <f t="shared" si="210"/>
        <v>1.285381716843159E-2</v>
      </c>
      <c r="O279" s="185">
        <f t="shared" si="210"/>
        <v>1.3258759753326115E-2</v>
      </c>
      <c r="P279" s="185">
        <f t="shared" si="210"/>
        <v>1.3683040065432561E-2</v>
      </c>
      <c r="Q279" s="185">
        <f t="shared" si="210"/>
        <v>1.4120897347526399E-2</v>
      </c>
      <c r="R279" s="185">
        <f t="shared" si="210"/>
        <v>0</v>
      </c>
    </row>
    <row r="280" spans="1:26" s="92" customFormat="1" x14ac:dyDescent="0.25">
      <c r="A280" s="164"/>
      <c r="B280" s="165"/>
      <c r="C280" s="166"/>
      <c r="D280" s="167"/>
      <c r="E280" s="7" t="str">
        <f>E$271</f>
        <v>2019-20 wedge Nominal return</v>
      </c>
      <c r="F280" s="185">
        <f t="shared" ref="F280:R280" si="211">F$271</f>
        <v>0</v>
      </c>
      <c r="G280" s="185" t="str">
        <f t="shared" si="211"/>
        <v>£m</v>
      </c>
      <c r="H280" s="185">
        <f t="shared" si="211"/>
        <v>0</v>
      </c>
      <c r="I280" s="185">
        <f t="shared" si="211"/>
        <v>0</v>
      </c>
      <c r="J280" s="185">
        <f t="shared" si="211"/>
        <v>0</v>
      </c>
      <c r="K280" s="185">
        <f t="shared" si="211"/>
        <v>0</v>
      </c>
      <c r="L280" s="185">
        <f t="shared" si="211"/>
        <v>0</v>
      </c>
      <c r="M280" s="185">
        <f t="shared" si="211"/>
        <v>5.9229523734256641E-3</v>
      </c>
      <c r="N280" s="185">
        <f t="shared" si="211"/>
        <v>6.0981986074320951E-3</v>
      </c>
      <c r="O280" s="185">
        <f t="shared" si="211"/>
        <v>6.2903143248828246E-3</v>
      </c>
      <c r="P280" s="185">
        <f t="shared" si="211"/>
        <v>6.4916043832790801E-3</v>
      </c>
      <c r="Q280" s="185">
        <f t="shared" si="211"/>
        <v>6.6993357235440093E-3</v>
      </c>
      <c r="R280" s="185">
        <f t="shared" si="211"/>
        <v>0</v>
      </c>
    </row>
    <row r="281" spans="1:26" s="92" customFormat="1" x14ac:dyDescent="0.25">
      <c r="A281" s="164"/>
      <c r="B281" s="165"/>
      <c r="C281" s="166"/>
      <c r="D281" s="167"/>
      <c r="E281" s="7" t="str">
        <f>E$275</f>
        <v>Total 2019-20 wedge Nominal revenue to company</v>
      </c>
      <c r="F281" s="185">
        <f t="shared" ref="F281:R281" si="212">F$275</f>
        <v>0</v>
      </c>
      <c r="G281" s="185" t="str">
        <f t="shared" si="212"/>
        <v>£m</v>
      </c>
      <c r="H281" s="185">
        <f t="shared" si="212"/>
        <v>9.7903351922473181E-2</v>
      </c>
      <c r="I281" s="185">
        <f t="shared" si="212"/>
        <v>0</v>
      </c>
      <c r="J281" s="185">
        <f t="shared" si="212"/>
        <v>0</v>
      </c>
      <c r="K281" s="185">
        <f t="shared" si="212"/>
        <v>0</v>
      </c>
      <c r="L281" s="185">
        <f t="shared" si="212"/>
        <v>0</v>
      </c>
      <c r="M281" s="185">
        <f t="shared" si="212"/>
        <v>1.8407384548618507E-2</v>
      </c>
      <c r="N281" s="185">
        <f t="shared" si="212"/>
        <v>1.8952015775863685E-2</v>
      </c>
      <c r="O281" s="185">
        <f t="shared" si="212"/>
        <v>1.9549074078208939E-2</v>
      </c>
      <c r="P281" s="185">
        <f t="shared" si="212"/>
        <v>2.0174644448711643E-2</v>
      </c>
      <c r="Q281" s="185">
        <f t="shared" si="212"/>
        <v>2.0820233071070407E-2</v>
      </c>
      <c r="R281" s="185">
        <f t="shared" si="212"/>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213">G$273</f>
        <v>£m</v>
      </c>
      <c r="H283" s="243">
        <f>SUM(J283:R283)</f>
        <v>5.9967105933903947E-2</v>
      </c>
      <c r="I283" s="185"/>
      <c r="J283" s="185">
        <f t="shared" ref="J283:R283" si="214" xml:space="preserve"> IF(J$282 = 0, 0, J279 / J$282)</f>
        <v>0</v>
      </c>
      <c r="K283" s="185">
        <f t="shared" si="214"/>
        <v>0</v>
      </c>
      <c r="L283" s="185">
        <f t="shared" si="214"/>
        <v>0</v>
      </c>
      <c r="M283" s="185">
        <f t="shared" si="214"/>
        <v>1.1752689754117763E-2</v>
      </c>
      <c r="N283" s="185">
        <f t="shared" si="214"/>
        <v>1.1862672723334985E-2</v>
      </c>
      <c r="O283" s="185">
        <f t="shared" si="214"/>
        <v>1.1987632235011154E-2</v>
      </c>
      <c r="P283" s="185">
        <f t="shared" si="214"/>
        <v>1.2116784002479446E-2</v>
      </c>
      <c r="Q283" s="185">
        <f t="shared" si="214"/>
        <v>1.2247327218960595E-2</v>
      </c>
      <c r="R283" s="185">
        <f t="shared" si="214"/>
        <v>0</v>
      </c>
    </row>
    <row r="284" spans="1:26" s="92" customFormat="1" x14ac:dyDescent="0.25">
      <c r="A284" s="164"/>
      <c r="B284" s="165"/>
      <c r="C284" s="166"/>
      <c r="D284" s="167"/>
      <c r="E284" s="7" t="s">
        <v>521</v>
      </c>
      <c r="F284" s="185"/>
      <c r="G284" s="185" t="str">
        <f t="shared" si="213"/>
        <v>£m</v>
      </c>
      <c r="H284" s="243">
        <f t="shared" ref="H284:H285" si="215">SUM(J284:R284)</f>
        <v>2.8450017384406848E-2</v>
      </c>
      <c r="I284" s="185"/>
      <c r="J284" s="185">
        <f t="shared" ref="J284:R284" si="216" xml:space="preserve"> IF(J$282 = 0, 0, J280 / J$282)</f>
        <v>0</v>
      </c>
      <c r="K284" s="185">
        <f t="shared" si="216"/>
        <v>0</v>
      </c>
      <c r="L284" s="185">
        <f t="shared" si="216"/>
        <v>0</v>
      </c>
      <c r="M284" s="185">
        <f t="shared" si="216"/>
        <v>5.5757939725610333E-3</v>
      </c>
      <c r="N284" s="185">
        <f t="shared" si="216"/>
        <v>5.6279728685989291E-3</v>
      </c>
      <c r="O284" s="185">
        <f t="shared" si="216"/>
        <v>5.687257041549554E-3</v>
      </c>
      <c r="P284" s="185">
        <f t="shared" si="216"/>
        <v>5.7485301340638017E-3</v>
      </c>
      <c r="Q284" s="185">
        <f t="shared" si="216"/>
        <v>5.8104633676335296E-3</v>
      </c>
      <c r="R284" s="185">
        <f t="shared" si="216"/>
        <v>0</v>
      </c>
    </row>
    <row r="285" spans="1:26" s="92" customFormat="1" x14ac:dyDescent="0.25">
      <c r="A285" s="164"/>
      <c r="B285" s="165"/>
      <c r="C285" s="166"/>
      <c r="D285" s="167"/>
      <c r="E285" s="7" t="s">
        <v>522</v>
      </c>
      <c r="F285" s="185"/>
      <c r="G285" s="185" t="str">
        <f t="shared" si="213"/>
        <v>£m</v>
      </c>
      <c r="H285" s="243">
        <f t="shared" si="215"/>
        <v>8.8417123318310781E-2</v>
      </c>
      <c r="I285" s="185"/>
      <c r="J285" s="185">
        <f t="shared" ref="J285:R285" si="217" xml:space="preserve"> IF(J$282 = 0, 0, J281 / J$282)</f>
        <v>0</v>
      </c>
      <c r="K285" s="185">
        <f t="shared" si="217"/>
        <v>0</v>
      </c>
      <c r="L285" s="185">
        <f t="shared" si="217"/>
        <v>0</v>
      </c>
      <c r="M285" s="185">
        <f t="shared" si="217"/>
        <v>1.7328483726678796E-2</v>
      </c>
      <c r="N285" s="185">
        <f t="shared" si="217"/>
        <v>1.7490645591933914E-2</v>
      </c>
      <c r="O285" s="185">
        <f t="shared" si="217"/>
        <v>1.7674889276560708E-2</v>
      </c>
      <c r="P285" s="185">
        <f t="shared" si="217"/>
        <v>1.7865314136543249E-2</v>
      </c>
      <c r="Q285" s="185">
        <f t="shared" si="217"/>
        <v>1.8057790586594125E-2</v>
      </c>
      <c r="R285" s="185">
        <f t="shared" si="217"/>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InpR!E$113</f>
        <v>WACC real on RCV - CPI(H) bf and additions - WN</v>
      </c>
      <c r="F289" s="205">
        <f>InpR!F$113</f>
        <v>0</v>
      </c>
      <c r="G289" s="223" t="str">
        <f>InpR!G$113</f>
        <v>%</v>
      </c>
      <c r="H289" s="205">
        <f>InpR!H$113</f>
        <v>0</v>
      </c>
      <c r="I289" s="205">
        <f>InpR!I$113</f>
        <v>0</v>
      </c>
      <c r="J289" s="205">
        <f>InpR!J$113</f>
        <v>0</v>
      </c>
      <c r="K289" s="205">
        <f>InpR!K$113</f>
        <v>0</v>
      </c>
      <c r="L289" s="205">
        <f>InpR!L$113</f>
        <v>0</v>
      </c>
      <c r="M289" s="205">
        <f>InpR!M$113</f>
        <v>2.9195763820156317E-2</v>
      </c>
      <c r="N289" s="205">
        <f>InpR!N$113</f>
        <v>2.9195763820156317E-2</v>
      </c>
      <c r="O289" s="205">
        <f>InpR!O$113</f>
        <v>2.9195763820156317E-2</v>
      </c>
      <c r="P289" s="205">
        <f>InpR!P$113</f>
        <v>2.9195763820156317E-2</v>
      </c>
      <c r="Q289" s="205">
        <f>InpR!Q$113</f>
        <v>2.9195763820156317E-2</v>
      </c>
      <c r="R289" s="205">
        <f>InpR!R$113</f>
        <v>0</v>
      </c>
    </row>
    <row r="290" spans="1:18" x14ac:dyDescent="0.25">
      <c r="E290" s="7" t="s">
        <v>499</v>
      </c>
      <c r="G290" s="7" t="s">
        <v>500</v>
      </c>
      <c r="J290" s="254">
        <f xml:space="preserve"> (1 + J$289) ^ J$288</f>
        <v>1</v>
      </c>
      <c r="K290" s="254">
        <f t="shared" ref="K290:R290" si="218" xml:space="preserve"> (1 + K$289) ^ K$288</f>
        <v>1</v>
      </c>
      <c r="L290" s="254">
        <f t="shared" si="218"/>
        <v>1</v>
      </c>
      <c r="M290" s="254">
        <f t="shared" si="218"/>
        <v>1.1219976826191176</v>
      </c>
      <c r="N290" s="254">
        <f t="shared" si="218"/>
        <v>1.0901693555893588</v>
      </c>
      <c r="O290" s="254">
        <f t="shared" si="218"/>
        <v>1.059243920265355</v>
      </c>
      <c r="P290" s="254">
        <f t="shared" si="218"/>
        <v>1.0291957638201563</v>
      </c>
      <c r="Q290" s="254">
        <f t="shared" si="218"/>
        <v>1</v>
      </c>
      <c r="R290" s="254">
        <f t="shared" si="218"/>
        <v>1</v>
      </c>
    </row>
    <row r="291" spans="1:18" x14ac:dyDescent="0.25"/>
    <row r="292" spans="1:18" x14ac:dyDescent="0.25">
      <c r="B292" s="61" t="s">
        <v>501</v>
      </c>
    </row>
    <row r="293" spans="1:18" x14ac:dyDescent="0.25">
      <c r="A293" s="49"/>
      <c r="D293" s="57"/>
      <c r="E293" s="7" t="str">
        <f>E$283</f>
        <v>2019-20 wedge RCV run-off - real</v>
      </c>
      <c r="F293" s="185">
        <f t="shared" ref="F293:R293" si="219">F$283</f>
        <v>0</v>
      </c>
      <c r="G293" s="7" t="str">
        <f t="shared" si="219"/>
        <v>£m</v>
      </c>
      <c r="H293" s="246">
        <f t="shared" si="219"/>
        <v>5.9967105933903947E-2</v>
      </c>
      <c r="I293" s="246">
        <f t="shared" si="219"/>
        <v>0</v>
      </c>
      <c r="J293" s="185">
        <f t="shared" si="219"/>
        <v>0</v>
      </c>
      <c r="K293" s="185">
        <f t="shared" si="219"/>
        <v>0</v>
      </c>
      <c r="L293" s="185">
        <f t="shared" si="219"/>
        <v>0</v>
      </c>
      <c r="M293" s="185">
        <f t="shared" si="219"/>
        <v>1.1752689754117763E-2</v>
      </c>
      <c r="N293" s="185">
        <f t="shared" si="219"/>
        <v>1.1862672723334985E-2</v>
      </c>
      <c r="O293" s="185">
        <f t="shared" si="219"/>
        <v>1.1987632235011154E-2</v>
      </c>
      <c r="P293" s="185">
        <f t="shared" si="219"/>
        <v>1.2116784002479446E-2</v>
      </c>
      <c r="Q293" s="185">
        <f t="shared" si="219"/>
        <v>1.2247327218960595E-2</v>
      </c>
      <c r="R293" s="185">
        <f t="shared" si="219"/>
        <v>0</v>
      </c>
    </row>
    <row r="294" spans="1:18" x14ac:dyDescent="0.25">
      <c r="A294" s="49"/>
      <c r="D294" s="57"/>
      <c r="E294" s="7" t="str">
        <f>E$290</f>
        <v xml:space="preserve">Time value of money factor </v>
      </c>
      <c r="F294" s="185">
        <f t="shared" ref="F294:R294" si="220">F$290</f>
        <v>0</v>
      </c>
      <c r="G294" s="7" t="str">
        <f t="shared" si="220"/>
        <v>Factor</v>
      </c>
      <c r="H294" s="246">
        <f t="shared" si="220"/>
        <v>0</v>
      </c>
      <c r="I294" s="246">
        <f t="shared" si="220"/>
        <v>0</v>
      </c>
      <c r="J294" s="185">
        <f t="shared" si="220"/>
        <v>1</v>
      </c>
      <c r="K294" s="185">
        <f t="shared" si="220"/>
        <v>1</v>
      </c>
      <c r="L294" s="185">
        <f t="shared" si="220"/>
        <v>1</v>
      </c>
      <c r="M294" s="185">
        <f t="shared" si="220"/>
        <v>1.1219976826191176</v>
      </c>
      <c r="N294" s="185">
        <f t="shared" si="220"/>
        <v>1.0901693555893588</v>
      </c>
      <c r="O294" s="185">
        <f t="shared" si="220"/>
        <v>1.059243920265355</v>
      </c>
      <c r="P294" s="185">
        <f t="shared" si="220"/>
        <v>1.0291957638201563</v>
      </c>
      <c r="Q294" s="185">
        <f t="shared" si="220"/>
        <v>1</v>
      </c>
      <c r="R294" s="185">
        <f t="shared" si="220"/>
        <v>1</v>
      </c>
    </row>
    <row r="295" spans="1:18" x14ac:dyDescent="0.25">
      <c r="A295" s="49"/>
      <c r="C295" s="267"/>
      <c r="D295" s="57"/>
      <c r="E295" s="7" t="s">
        <v>538</v>
      </c>
      <c r="G295" s="7" t="s">
        <v>238</v>
      </c>
      <c r="H295" s="185">
        <f xml:space="preserve"> SUM(J295:R295)</f>
        <v>6.3534509495775965E-2</v>
      </c>
      <c r="J295" s="185">
        <f xml:space="preserve"> J293 * J294</f>
        <v>0</v>
      </c>
      <c r="K295" s="185">
        <f t="shared" ref="K295:R295" si="221" xml:space="preserve"> K293 * K294</f>
        <v>0</v>
      </c>
      <c r="L295" s="185">
        <f t="shared" si="221"/>
        <v>0</v>
      </c>
      <c r="M295" s="185">
        <f t="shared" si="221"/>
        <v>1.3186490668661578E-2</v>
      </c>
      <c r="N295" s="185">
        <f t="shared" si="221"/>
        <v>1.2932322278365565E-2</v>
      </c>
      <c r="O295" s="185">
        <f t="shared" si="221"/>
        <v>1.2697826563312553E-2</v>
      </c>
      <c r="P295" s="185">
        <f t="shared" si="221"/>
        <v>1.2470542766475684E-2</v>
      </c>
      <c r="Q295" s="185">
        <f t="shared" si="221"/>
        <v>1.2247327218960595E-2</v>
      </c>
      <c r="R295" s="185">
        <f t="shared" si="221"/>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222">F$284</f>
        <v>0</v>
      </c>
      <c r="G299" s="7" t="str">
        <f t="shared" si="222"/>
        <v>£m</v>
      </c>
      <c r="H299" s="246">
        <f t="shared" si="222"/>
        <v>2.8450017384406848E-2</v>
      </c>
      <c r="I299" s="246">
        <f t="shared" si="222"/>
        <v>0</v>
      </c>
      <c r="J299" s="185">
        <f t="shared" si="222"/>
        <v>0</v>
      </c>
      <c r="K299" s="185">
        <f t="shared" si="222"/>
        <v>0</v>
      </c>
      <c r="L299" s="185">
        <f t="shared" si="222"/>
        <v>0</v>
      </c>
      <c r="M299" s="185">
        <f t="shared" si="222"/>
        <v>5.5757939725610333E-3</v>
      </c>
      <c r="N299" s="185">
        <f t="shared" si="222"/>
        <v>5.6279728685989291E-3</v>
      </c>
      <c r="O299" s="185">
        <f t="shared" si="222"/>
        <v>5.687257041549554E-3</v>
      </c>
      <c r="P299" s="185">
        <f t="shared" si="222"/>
        <v>5.7485301340638017E-3</v>
      </c>
      <c r="Q299" s="185">
        <f t="shared" si="222"/>
        <v>5.8104633676335296E-3</v>
      </c>
      <c r="R299" s="185">
        <f t="shared" si="222"/>
        <v>0</v>
      </c>
    </row>
    <row r="300" spans="1:18" x14ac:dyDescent="0.25">
      <c r="A300" s="49"/>
      <c r="D300" s="57"/>
      <c r="E300" s="7" t="str">
        <f>E$290</f>
        <v xml:space="preserve">Time value of money factor </v>
      </c>
      <c r="F300" s="185">
        <f t="shared" ref="F300:R300" si="223">F$290</f>
        <v>0</v>
      </c>
      <c r="G300" s="7" t="str">
        <f t="shared" si="223"/>
        <v>Factor</v>
      </c>
      <c r="H300" s="246">
        <f t="shared" si="223"/>
        <v>0</v>
      </c>
      <c r="I300" s="246">
        <f t="shared" si="223"/>
        <v>0</v>
      </c>
      <c r="J300" s="185">
        <f t="shared" si="223"/>
        <v>1</v>
      </c>
      <c r="K300" s="185">
        <f t="shared" si="223"/>
        <v>1</v>
      </c>
      <c r="L300" s="185">
        <f t="shared" si="223"/>
        <v>1</v>
      </c>
      <c r="M300" s="185">
        <f t="shared" si="223"/>
        <v>1.1219976826191176</v>
      </c>
      <c r="N300" s="185">
        <f t="shared" si="223"/>
        <v>1.0901693555893588</v>
      </c>
      <c r="O300" s="185">
        <f t="shared" si="223"/>
        <v>1.059243920265355</v>
      </c>
      <c r="P300" s="185">
        <f t="shared" si="223"/>
        <v>1.0291957638201563</v>
      </c>
      <c r="Q300" s="185">
        <f t="shared" si="223"/>
        <v>1</v>
      </c>
      <c r="R300" s="185">
        <f t="shared" si="223"/>
        <v>1</v>
      </c>
    </row>
    <row r="301" spans="1:18" x14ac:dyDescent="0.25">
      <c r="A301" s="49"/>
      <c r="C301" s="267"/>
      <c r="D301" s="57"/>
      <c r="E301" s="7" t="s">
        <v>539</v>
      </c>
      <c r="G301" s="7" t="s">
        <v>238</v>
      </c>
      <c r="H301" s="185">
        <f xml:space="preserve"> SUM(J301:R301)</f>
        <v>3.014249014546222E-2</v>
      </c>
      <c r="J301" s="185">
        <f xml:space="preserve"> J299 * J300</f>
        <v>0</v>
      </c>
      <c r="K301" s="185">
        <f t="shared" ref="K301:R301" si="224" xml:space="preserve"> K299 * K300</f>
        <v>0</v>
      </c>
      <c r="L301" s="185">
        <f t="shared" si="224"/>
        <v>0</v>
      </c>
      <c r="M301" s="185">
        <f t="shared" si="224"/>
        <v>6.2560279159751229E-3</v>
      </c>
      <c r="N301" s="185">
        <f t="shared" si="224"/>
        <v>6.1354435554348899E-3</v>
      </c>
      <c r="O301" s="185">
        <f t="shared" si="224"/>
        <v>6.0241924442476944E-3</v>
      </c>
      <c r="P301" s="185">
        <f t="shared" si="224"/>
        <v>5.9163628621709801E-3</v>
      </c>
      <c r="Q301" s="185">
        <f t="shared" si="224"/>
        <v>5.8104633676335296E-3</v>
      </c>
      <c r="R301" s="185">
        <f t="shared" si="224"/>
        <v>0</v>
      </c>
    </row>
    <row r="302" spans="1:18" x14ac:dyDescent="0.25"/>
    <row r="303" spans="1:18" x14ac:dyDescent="0.25"/>
    <row r="304" spans="1:18" x14ac:dyDescent="0.25">
      <c r="B304" s="61" t="s">
        <v>505</v>
      </c>
    </row>
    <row r="305" spans="1:18" x14ac:dyDescent="0.25">
      <c r="A305" s="49"/>
      <c r="D305" s="57"/>
      <c r="E305" s="7" t="str">
        <f t="shared" ref="E305:R305" si="225" xml:space="preserve"> E$295</f>
        <v>Revenue adjustment for 2019-20 wedge run-off - real - WN</v>
      </c>
      <c r="F305" s="185">
        <f t="shared" si="225"/>
        <v>0</v>
      </c>
      <c r="G305" s="7" t="str">
        <f t="shared" si="225"/>
        <v>£m</v>
      </c>
      <c r="H305" s="246">
        <f t="shared" si="225"/>
        <v>6.3534509495775965E-2</v>
      </c>
      <c r="I305" s="246">
        <f t="shared" si="225"/>
        <v>0</v>
      </c>
      <c r="J305" s="185">
        <f t="shared" si="225"/>
        <v>0</v>
      </c>
      <c r="K305" s="185">
        <f t="shared" si="225"/>
        <v>0</v>
      </c>
      <c r="L305" s="185">
        <f t="shared" si="225"/>
        <v>0</v>
      </c>
      <c r="M305" s="185">
        <f t="shared" si="225"/>
        <v>1.3186490668661578E-2</v>
      </c>
      <c r="N305" s="185">
        <f t="shared" si="225"/>
        <v>1.2932322278365565E-2</v>
      </c>
      <c r="O305" s="185">
        <f t="shared" si="225"/>
        <v>1.2697826563312553E-2</v>
      </c>
      <c r="P305" s="185">
        <f t="shared" si="225"/>
        <v>1.2470542766475684E-2</v>
      </c>
      <c r="Q305" s="185">
        <f t="shared" si="225"/>
        <v>1.2247327218960595E-2</v>
      </c>
      <c r="R305" s="185">
        <f t="shared" si="225"/>
        <v>0</v>
      </c>
    </row>
    <row r="306" spans="1:18" x14ac:dyDescent="0.25">
      <c r="A306" s="49"/>
      <c r="D306" s="57"/>
      <c r="E306" s="7" t="str">
        <f t="shared" ref="E306:R306" si="226" xml:space="preserve"> E$301</f>
        <v>Revenue adjustment for 2019-20 wedge return - real - WN</v>
      </c>
      <c r="F306" s="185">
        <f t="shared" si="226"/>
        <v>0</v>
      </c>
      <c r="G306" s="7" t="str">
        <f t="shared" si="226"/>
        <v>£m</v>
      </c>
      <c r="H306" s="246">
        <f t="shared" si="226"/>
        <v>3.014249014546222E-2</v>
      </c>
      <c r="I306" s="246">
        <f t="shared" si="226"/>
        <v>0</v>
      </c>
      <c r="J306" s="185">
        <f t="shared" si="226"/>
        <v>0</v>
      </c>
      <c r="K306" s="185">
        <f t="shared" si="226"/>
        <v>0</v>
      </c>
      <c r="L306" s="185">
        <f t="shared" si="226"/>
        <v>0</v>
      </c>
      <c r="M306" s="185">
        <f t="shared" si="226"/>
        <v>6.2560279159751229E-3</v>
      </c>
      <c r="N306" s="185">
        <f t="shared" si="226"/>
        <v>6.1354435554348899E-3</v>
      </c>
      <c r="O306" s="185">
        <f t="shared" si="226"/>
        <v>6.0241924442476944E-3</v>
      </c>
      <c r="P306" s="185">
        <f t="shared" si="226"/>
        <v>5.9163628621709801E-3</v>
      </c>
      <c r="Q306" s="185">
        <f t="shared" si="226"/>
        <v>5.8104633676335296E-3</v>
      </c>
      <c r="R306" s="185">
        <f t="shared" si="226"/>
        <v>0</v>
      </c>
    </row>
    <row r="307" spans="1:18" x14ac:dyDescent="0.25">
      <c r="A307" s="49"/>
      <c r="C307" s="267"/>
      <c r="D307" s="57"/>
      <c r="E307" s="7" t="s">
        <v>540</v>
      </c>
      <c r="G307" s="7" t="s">
        <v>238</v>
      </c>
      <c r="H307" s="185">
        <f xml:space="preserve"> SUM(J307:R307)</f>
        <v>9.3676999641238184E-2</v>
      </c>
      <c r="J307" s="185">
        <f xml:space="preserve"> J$305 + J$306</f>
        <v>0</v>
      </c>
      <c r="K307" s="185">
        <f t="shared" ref="K307:R307" si="227" xml:space="preserve"> K$305 + K$306</f>
        <v>0</v>
      </c>
      <c r="L307" s="185">
        <f t="shared" si="227"/>
        <v>0</v>
      </c>
      <c r="M307" s="185">
        <f t="shared" si="227"/>
        <v>1.9442518584636699E-2</v>
      </c>
      <c r="N307" s="185">
        <f t="shared" si="227"/>
        <v>1.9067765833800453E-2</v>
      </c>
      <c r="O307" s="185">
        <f t="shared" si="227"/>
        <v>1.8722019007560247E-2</v>
      </c>
      <c r="P307" s="185">
        <f t="shared" si="227"/>
        <v>1.8386905628646665E-2</v>
      </c>
      <c r="Q307" s="185">
        <f t="shared" si="227"/>
        <v>1.8057790586594125E-2</v>
      </c>
      <c r="R307" s="185">
        <f t="shared" si="227"/>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WN</v>
      </c>
      <c r="F313" s="185">
        <f t="shared" ref="F313:R313" si="228" xml:space="preserve"> F$219</f>
        <v>0</v>
      </c>
      <c r="G313" s="7" t="str">
        <f t="shared" si="228"/>
        <v>£m</v>
      </c>
      <c r="H313" s="246">
        <f t="shared" si="228"/>
        <v>2.6615766080255443</v>
      </c>
      <c r="I313" s="246">
        <f t="shared" si="228"/>
        <v>0</v>
      </c>
      <c r="J313" s="185">
        <f t="shared" si="228"/>
        <v>0</v>
      </c>
      <c r="K313" s="185">
        <f t="shared" si="228"/>
        <v>0</v>
      </c>
      <c r="L313" s="185">
        <f t="shared" si="228"/>
        <v>0</v>
      </c>
      <c r="M313" s="185">
        <f t="shared" si="228"/>
        <v>-0.10417645991642847</v>
      </c>
      <c r="N313" s="185">
        <f t="shared" si="228"/>
        <v>0.19135171177931889</v>
      </c>
      <c r="O313" s="185">
        <f t="shared" si="228"/>
        <v>0.86473430028234155</v>
      </c>
      <c r="P313" s="185">
        <f t="shared" si="228"/>
        <v>0.99847449172148373</v>
      </c>
      <c r="Q313" s="185">
        <f t="shared" si="228"/>
        <v>0.71119256415882859</v>
      </c>
      <c r="R313" s="185">
        <f t="shared" si="228"/>
        <v>0</v>
      </c>
    </row>
    <row r="314" spans="1:18" x14ac:dyDescent="0.25">
      <c r="A314" s="49"/>
      <c r="D314" s="57"/>
      <c r="E314" s="7" t="str">
        <f xml:space="preserve"> E$224</f>
        <v>Revenue adjustment for return - real - WN</v>
      </c>
      <c r="F314" s="185">
        <f t="shared" ref="F314:R314" si="229" xml:space="preserve"> F$224</f>
        <v>0</v>
      </c>
      <c r="G314" s="7" t="str">
        <f t="shared" si="229"/>
        <v>£m</v>
      </c>
      <c r="H314" s="246">
        <f t="shared" si="229"/>
        <v>1.2371680592902901</v>
      </c>
      <c r="I314" s="246">
        <f t="shared" si="229"/>
        <v>0</v>
      </c>
      <c r="J314" s="185">
        <f t="shared" si="229"/>
        <v>0</v>
      </c>
      <c r="K314" s="185">
        <f t="shared" si="229"/>
        <v>0</v>
      </c>
      <c r="L314" s="185">
        <f t="shared" si="229"/>
        <v>0</v>
      </c>
      <c r="M314" s="185">
        <f t="shared" si="229"/>
        <v>-4.8423850867157253E-2</v>
      </c>
      <c r="N314" s="185">
        <f t="shared" si="229"/>
        <v>8.894511064985465E-2</v>
      </c>
      <c r="O314" s="185">
        <f t="shared" si="229"/>
        <v>0.40195035260536038</v>
      </c>
      <c r="P314" s="185">
        <f t="shared" si="229"/>
        <v>0.46411617289134066</v>
      </c>
      <c r="Q314" s="185">
        <f t="shared" si="229"/>
        <v>0.33058027401089163</v>
      </c>
      <c r="R314" s="185">
        <f t="shared" si="229"/>
        <v>0</v>
      </c>
    </row>
    <row r="315" spans="1:18" x14ac:dyDescent="0.25">
      <c r="A315" s="49"/>
      <c r="D315" s="57"/>
      <c r="E315" s="7" t="str">
        <f xml:space="preserve"> E$229</f>
        <v>Revenue adjustment - real - WN</v>
      </c>
      <c r="F315" s="185">
        <f t="shared" ref="F315:R315" si="230" xml:space="preserve"> F$229</f>
        <v>0</v>
      </c>
      <c r="G315" s="7" t="str">
        <f t="shared" si="230"/>
        <v>£m</v>
      </c>
      <c r="H315" s="246">
        <f t="shared" si="230"/>
        <v>3.8987446673158344</v>
      </c>
      <c r="I315" s="246">
        <f t="shared" si="230"/>
        <v>0</v>
      </c>
      <c r="J315" s="185">
        <f t="shared" si="230"/>
        <v>0</v>
      </c>
      <c r="K315" s="185">
        <f t="shared" si="230"/>
        <v>0</v>
      </c>
      <c r="L315" s="185">
        <f t="shared" si="230"/>
        <v>0</v>
      </c>
      <c r="M315" s="185">
        <f t="shared" si="230"/>
        <v>-0.15260031078358571</v>
      </c>
      <c r="N315" s="185">
        <f t="shared" si="230"/>
        <v>0.28029682242917353</v>
      </c>
      <c r="O315" s="185">
        <f t="shared" si="230"/>
        <v>1.2666846528877018</v>
      </c>
      <c r="P315" s="185">
        <f t="shared" si="230"/>
        <v>1.4625906646128244</v>
      </c>
      <c r="Q315" s="185">
        <f t="shared" si="230"/>
        <v>1.0417728381697202</v>
      </c>
      <c r="R315" s="185">
        <f t="shared" si="230"/>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WN</v>
      </c>
      <c r="F319" s="185">
        <f t="shared" ref="F319:R319" si="231" xml:space="preserve"> F$301</f>
        <v>0</v>
      </c>
      <c r="G319" s="7" t="str">
        <f t="shared" si="231"/>
        <v>£m</v>
      </c>
      <c r="H319" s="246">
        <f t="shared" si="231"/>
        <v>3.014249014546222E-2</v>
      </c>
      <c r="I319" s="246">
        <f t="shared" si="231"/>
        <v>0</v>
      </c>
      <c r="J319" s="185">
        <f t="shared" si="231"/>
        <v>0</v>
      </c>
      <c r="K319" s="185">
        <f t="shared" si="231"/>
        <v>0</v>
      </c>
      <c r="L319" s="185">
        <f t="shared" si="231"/>
        <v>0</v>
      </c>
      <c r="M319" s="185">
        <f t="shared" si="231"/>
        <v>6.2560279159751229E-3</v>
      </c>
      <c r="N319" s="185">
        <f t="shared" si="231"/>
        <v>6.1354435554348899E-3</v>
      </c>
      <c r="O319" s="185">
        <f t="shared" si="231"/>
        <v>6.0241924442476944E-3</v>
      </c>
      <c r="P319" s="185">
        <f t="shared" si="231"/>
        <v>5.9163628621709801E-3</v>
      </c>
      <c r="Q319" s="185">
        <f t="shared" si="231"/>
        <v>5.8104633676335296E-3</v>
      </c>
      <c r="R319" s="185">
        <f t="shared" si="231"/>
        <v>0</v>
      </c>
    </row>
    <row r="320" spans="1:18" x14ac:dyDescent="0.25"/>
    <row r="321" spans="1:18" x14ac:dyDescent="0.25">
      <c r="B321" s="61" t="s">
        <v>289</v>
      </c>
    </row>
    <row r="322" spans="1:18" s="34" customFormat="1" x14ac:dyDescent="0.25">
      <c r="A322" s="322"/>
      <c r="B322" s="256"/>
      <c r="C322" s="257"/>
      <c r="D322" s="323"/>
      <c r="E322" s="34" t="s">
        <v>541</v>
      </c>
      <c r="G322" s="34" t="s">
        <v>238</v>
      </c>
      <c r="H322" s="266">
        <f xml:space="preserve"> SUM(J322:R322)</f>
        <v>2.6615766080255443</v>
      </c>
      <c r="J322" s="266">
        <f t="shared" ref="J322:R322" si="232" xml:space="preserve"> J313 + J318</f>
        <v>0</v>
      </c>
      <c r="K322" s="266">
        <f t="shared" si="232"/>
        <v>0</v>
      </c>
      <c r="L322" s="266">
        <f t="shared" si="232"/>
        <v>0</v>
      </c>
      <c r="M322" s="266">
        <f t="shared" si="232"/>
        <v>-0.10417645991642847</v>
      </c>
      <c r="N322" s="266">
        <f t="shared" si="232"/>
        <v>0.19135171177931889</v>
      </c>
      <c r="O322" s="266">
        <f t="shared" si="232"/>
        <v>0.86473430028234155</v>
      </c>
      <c r="P322" s="266">
        <f t="shared" si="232"/>
        <v>0.99847449172148373</v>
      </c>
      <c r="Q322" s="266">
        <f t="shared" si="232"/>
        <v>0.71119256415882859</v>
      </c>
      <c r="R322" s="266">
        <f t="shared" si="232"/>
        <v>0</v>
      </c>
    </row>
    <row r="323" spans="1:18" s="34" customFormat="1" x14ac:dyDescent="0.25">
      <c r="A323" s="322"/>
      <c r="B323" s="256"/>
      <c r="C323" s="257"/>
      <c r="D323" s="323"/>
      <c r="E323" s="34" t="s">
        <v>542</v>
      </c>
      <c r="G323" s="34" t="s">
        <v>238</v>
      </c>
      <c r="H323" s="266">
        <f xml:space="preserve"> SUM(J323:R323)</f>
        <v>1.2673105494357522</v>
      </c>
      <c r="J323" s="266">
        <f t="shared" ref="J323:R323" si="233" xml:space="preserve"> J314 + J319</f>
        <v>0</v>
      </c>
      <c r="K323" s="266">
        <f t="shared" si="233"/>
        <v>0</v>
      </c>
      <c r="L323" s="266">
        <f t="shared" si="233"/>
        <v>0</v>
      </c>
      <c r="M323" s="266">
        <f t="shared" si="233"/>
        <v>-4.2167822951182127E-2</v>
      </c>
      <c r="N323" s="266">
        <f t="shared" si="233"/>
        <v>9.5080554205289547E-2</v>
      </c>
      <c r="O323" s="266">
        <f t="shared" si="233"/>
        <v>0.40797454504960806</v>
      </c>
      <c r="P323" s="266">
        <f t="shared" si="233"/>
        <v>0.47003253575351162</v>
      </c>
      <c r="Q323" s="266">
        <f t="shared" si="233"/>
        <v>0.33639073737852515</v>
      </c>
      <c r="R323" s="266">
        <f t="shared" si="233"/>
        <v>0</v>
      </c>
    </row>
    <row r="324" spans="1:18" s="34" customFormat="1" x14ac:dyDescent="0.25">
      <c r="A324" s="361"/>
      <c r="B324" s="362"/>
      <c r="C324" s="363"/>
      <c r="D324" s="364"/>
      <c r="E324" s="34" t="s">
        <v>543</v>
      </c>
      <c r="G324" s="34" t="s">
        <v>238</v>
      </c>
      <c r="H324" s="266">
        <f xml:space="preserve"> SUM(J324:R324)</f>
        <v>3.9288871574612965</v>
      </c>
      <c r="J324" s="266">
        <f t="shared" ref="J324:R324" si="234" xml:space="preserve"> J315 + J319</f>
        <v>0</v>
      </c>
      <c r="K324" s="266">
        <f t="shared" si="234"/>
        <v>0</v>
      </c>
      <c r="L324" s="266">
        <f t="shared" si="234"/>
        <v>0</v>
      </c>
      <c r="M324" s="266">
        <f t="shared" ref="M324" si="235" xml:space="preserve"> M315 + M319</f>
        <v>-0.14634428286761059</v>
      </c>
      <c r="N324" s="266">
        <f t="shared" si="234"/>
        <v>0.28643226598460841</v>
      </c>
      <c r="O324" s="266">
        <f t="shared" si="234"/>
        <v>1.2727088453319495</v>
      </c>
      <c r="P324" s="266">
        <f t="shared" si="234"/>
        <v>1.4685070274749954</v>
      </c>
      <c r="Q324" s="266">
        <f t="shared" si="234"/>
        <v>1.0475833015373537</v>
      </c>
      <c r="R324" s="266">
        <f t="shared" si="234"/>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49" priority="12" stopIfTrue="1" operator="notEqual">
      <formula>0</formula>
    </cfRule>
    <cfRule type="cellIs" dxfId="48" priority="13" stopIfTrue="1" operator="equal">
      <formula>""</formula>
    </cfRule>
  </conditionalFormatting>
  <conditionalFormatting sqref="F166">
    <cfRule type="cellIs" dxfId="47" priority="1" stopIfTrue="1" operator="notEqual">
      <formula>0</formula>
    </cfRule>
    <cfRule type="cellIs" dxfId="46" priority="2" stopIfTrue="1" operator="equal">
      <formula>""</formula>
    </cfRule>
  </conditionalFormatting>
  <conditionalFormatting sqref="J3:Z3">
    <cfRule type="cellIs" dxfId="45" priority="18" operator="equal">
      <formula>"Post-Fcst"</formula>
    </cfRule>
    <cfRule type="cellIs" dxfId="44" priority="19" operator="equal">
      <formula>"Forecast"</formula>
    </cfRule>
    <cfRule type="cellIs" dxfId="43" priority="20" operator="equal">
      <formula>"Pre Fcst"</formula>
    </cfRule>
  </conditionalFormatting>
  <conditionalFormatting sqref="J166:XFD166">
    <cfRule type="cellIs" dxfId="42" priority="3" stopIfTrue="1" operator="notEqual">
      <formula>0</formula>
    </cfRule>
    <cfRule type="cellIs" dxfId="41"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714C9-4BC7-4FFF-9E9E-D4899D5F8C82}">
  <sheetPr codeName="Sheet13">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Calcs-WWN</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Q15" si="0">SUM(J13:J14)</f>
        <v>0</v>
      </c>
      <c r="K15" s="172">
        <f t="shared" si="0"/>
        <v>0</v>
      </c>
      <c r="L15" s="172">
        <f t="shared" si="0"/>
        <v>3.1522140708501789E-2</v>
      </c>
      <c r="M15" s="172">
        <f t="shared" si="0"/>
        <v>2.4258091513662761E-2</v>
      </c>
      <c r="N15" s="172">
        <f t="shared" si="0"/>
        <v>2.9587648685595269E-2</v>
      </c>
      <c r="O15" s="172">
        <f t="shared" si="0"/>
        <v>3.150368327076003E-2</v>
      </c>
      <c r="P15" s="172">
        <f t="shared" si="0"/>
        <v>3.2000000000000695E-2</v>
      </c>
      <c r="Q15" s="172">
        <f t="shared" si="0"/>
        <v>3.1999999999999806E-2</v>
      </c>
      <c r="R15" s="172">
        <f t="shared" ref="R15" si="1">SUM(R13:R14)</f>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0</v>
      </c>
      <c r="N22" s="240">
        <f t="shared" si="3"/>
        <v>0</v>
      </c>
      <c r="O22" s="240">
        <f t="shared" si="3"/>
        <v>0</v>
      </c>
      <c r="P22" s="240">
        <f t="shared" si="3"/>
        <v>0</v>
      </c>
      <c r="Q22" s="240">
        <f t="shared" si="3"/>
        <v>0</v>
      </c>
      <c r="R22" s="240">
        <f t="shared" si="3"/>
        <v>0</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5" spans="1:16383" x14ac:dyDescent="0.25"/>
    <row r="26" spans="1:16383" s="205" customFormat="1" x14ac:dyDescent="0.25">
      <c r="A26" s="201"/>
      <c r="B26" s="202"/>
      <c r="C26" s="203"/>
      <c r="D26" s="204"/>
      <c r="E26" s="37" t="str">
        <f xml:space="preserve"> InpR!E$100</f>
        <v>Run-off rate - CPI(H) + RPI wedge - active - WWN</v>
      </c>
      <c r="F26" s="205">
        <f xml:space="preserve"> InpR!F$100</f>
        <v>0</v>
      </c>
      <c r="G26" s="223" t="str">
        <f xml:space="preserve"> InpR!G$100</f>
        <v>%</v>
      </c>
      <c r="H26" s="205">
        <f xml:space="preserve"> InpR!H$100</f>
        <v>0</v>
      </c>
      <c r="I26" s="205">
        <f xml:space="preserve"> InpR!I$100</f>
        <v>0</v>
      </c>
      <c r="J26" s="205">
        <f xml:space="preserve"> InpR!J$100</f>
        <v>0</v>
      </c>
      <c r="K26" s="205">
        <f xml:space="preserve"> InpR!K$100</f>
        <v>0</v>
      </c>
      <c r="L26" s="205">
        <f xml:space="preserve"> InpR!L$100</f>
        <v>0</v>
      </c>
      <c r="M26" s="205">
        <f xml:space="preserve"> InpR!M$100</f>
        <v>0</v>
      </c>
      <c r="N26" s="205">
        <f xml:space="preserve"> InpR!N$100</f>
        <v>0</v>
      </c>
      <c r="O26" s="205">
        <f xml:space="preserve"> InpR!O$100</f>
        <v>0</v>
      </c>
      <c r="P26" s="205">
        <f xml:space="preserve"> InpR!P$100</f>
        <v>0</v>
      </c>
      <c r="Q26" s="205">
        <f xml:space="preserve"> InpR!Q$100</f>
        <v>0</v>
      </c>
      <c r="R26" s="205">
        <f xml:space="preserve"> InpR!R$100</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0</v>
      </c>
      <c r="N27" s="240">
        <f t="shared" si="6"/>
        <v>0</v>
      </c>
      <c r="O27" s="240">
        <f t="shared" si="6"/>
        <v>0</v>
      </c>
      <c r="P27" s="240">
        <f t="shared" si="6"/>
        <v>0</v>
      </c>
      <c r="Q27" s="240">
        <f t="shared" si="6"/>
        <v>0</v>
      </c>
      <c r="R27" s="240">
        <f t="shared" si="6"/>
        <v>0</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E30" s="138"/>
      <c r="F30" s="138"/>
      <c r="G30" s="138"/>
      <c r="H30" s="138"/>
    </row>
    <row r="31" spans="1:16383" s="200" customFormat="1" x14ac:dyDescent="0.25">
      <c r="A31" s="196"/>
      <c r="B31" s="197"/>
      <c r="C31" s="198"/>
      <c r="D31" s="199"/>
      <c r="E31" s="249" t="str">
        <f>InpR!$E$93</f>
        <v>RCV - CPI(H) + RPI wedge initial balance - nominal - WWN</v>
      </c>
      <c r="F31" s="249">
        <f>InpR!$F$93</f>
        <v>0</v>
      </c>
      <c r="G31" s="249" t="str">
        <f>InpR!$G$93</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0</v>
      </c>
      <c r="N34" s="241">
        <f t="shared" si="9"/>
        <v>0</v>
      </c>
      <c r="O34" s="241">
        <f t="shared" si="9"/>
        <v>0</v>
      </c>
      <c r="P34" s="241">
        <f t="shared" si="9"/>
        <v>0</v>
      </c>
      <c r="Q34" s="241">
        <f t="shared" si="9"/>
        <v>0</v>
      </c>
      <c r="R34" s="241">
        <f t="shared" si="9"/>
        <v>0</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0</v>
      </c>
      <c r="N35" s="241">
        <f t="shared" si="10"/>
        <v>0</v>
      </c>
      <c r="O35" s="241">
        <f t="shared" si="10"/>
        <v>0</v>
      </c>
      <c r="P35" s="241">
        <f t="shared" si="10"/>
        <v>0</v>
      </c>
      <c r="Q35" s="241">
        <f t="shared" si="10"/>
        <v>0</v>
      </c>
      <c r="R35" s="241">
        <f t="shared" si="10"/>
        <v>0</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0</v>
      </c>
      <c r="N36" s="241">
        <f t="shared" si="11"/>
        <v>0</v>
      </c>
      <c r="O36" s="241">
        <f t="shared" si="11"/>
        <v>0</v>
      </c>
      <c r="P36" s="241">
        <f t="shared" si="11"/>
        <v>0</v>
      </c>
      <c r="Q36" s="241">
        <f t="shared" si="11"/>
        <v>0</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0</v>
      </c>
      <c r="M37" s="242">
        <f t="shared" si="12"/>
        <v>0</v>
      </c>
      <c r="N37" s="242">
        <f t="shared" si="12"/>
        <v>0</v>
      </c>
      <c r="O37" s="242">
        <f t="shared" si="12"/>
        <v>0</v>
      </c>
      <c r="P37" s="242">
        <f t="shared" si="12"/>
        <v>0</v>
      </c>
      <c r="Q37" s="242">
        <f t="shared" si="12"/>
        <v>0</v>
      </c>
      <c r="R37" s="242">
        <f t="shared" si="12"/>
        <v>0</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0</v>
      </c>
      <c r="N40" s="241">
        <f t="shared" si="14"/>
        <v>0</v>
      </c>
      <c r="O40" s="241">
        <f t="shared" si="14"/>
        <v>0</v>
      </c>
      <c r="P40" s="241">
        <f t="shared" si="14"/>
        <v>0</v>
      </c>
      <c r="Q40" s="241">
        <f t="shared" si="14"/>
        <v>0</v>
      </c>
      <c r="R40" s="241">
        <f t="shared" si="14"/>
        <v>0</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InpR!E$107</f>
        <v>WACC on RCV - CPI(H) + RPI wedge bf and additions - WWN</v>
      </c>
      <c r="F45" s="205">
        <f xml:space="preserve"> InpR!F$107</f>
        <v>0</v>
      </c>
      <c r="G45" s="223" t="str">
        <f xml:space="preserve"> InpR!G$107</f>
        <v>%</v>
      </c>
      <c r="H45" s="205">
        <f xml:space="preserve"> InpR!H$107</f>
        <v>0</v>
      </c>
      <c r="I45" s="205">
        <f xml:space="preserve"> InpR!I$107</f>
        <v>0</v>
      </c>
      <c r="J45" s="205">
        <f xml:space="preserve"> InpR!J$107</f>
        <v>0</v>
      </c>
      <c r="K45" s="205">
        <f xml:space="preserve"> InpR!K$107</f>
        <v>0</v>
      </c>
      <c r="L45" s="205">
        <f xml:space="preserve"> InpR!L$107</f>
        <v>0</v>
      </c>
      <c r="M45" s="205">
        <f xml:space="preserve"> InpR!M$107</f>
        <v>1.920357193840716E-2</v>
      </c>
      <c r="N45" s="205">
        <f xml:space="preserve"> InpR!N$107</f>
        <v>1.920357193840716E-2</v>
      </c>
      <c r="O45" s="205">
        <f xml:space="preserve"> InpR!O$107</f>
        <v>1.920357193840716E-2</v>
      </c>
      <c r="P45" s="205">
        <f xml:space="preserve"> InpR!P$107</f>
        <v>1.920357193840716E-2</v>
      </c>
      <c r="Q45" s="205">
        <f xml:space="preserve"> InpR!Q$107</f>
        <v>1.920357193840716E-2</v>
      </c>
      <c r="R45" s="205">
        <f xml:space="preserve"> InpR!R$107</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0</v>
      </c>
      <c r="N68" s="240">
        <f t="shared" si="25"/>
        <v>0</v>
      </c>
      <c r="O68" s="240">
        <f t="shared" si="25"/>
        <v>0</v>
      </c>
      <c r="P68" s="240">
        <f t="shared" si="25"/>
        <v>0</v>
      </c>
      <c r="Q68" s="240">
        <f t="shared" si="25"/>
        <v>0</v>
      </c>
      <c r="R68" s="240">
        <f t="shared" si="25"/>
        <v>0</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0</v>
      </c>
      <c r="N70" s="184">
        <f t="shared" ref="N70:R70" si="27">N68*N69</f>
        <v>0</v>
      </c>
      <c r="O70" s="184">
        <f t="shared" si="27"/>
        <v>0</v>
      </c>
      <c r="P70" s="184">
        <f t="shared" si="27"/>
        <v>0</v>
      </c>
      <c r="Q70" s="184">
        <f t="shared" si="27"/>
        <v>0</v>
      </c>
      <c r="R70" s="184">
        <f t="shared" si="27"/>
        <v>0</v>
      </c>
    </row>
    <row r="71" spans="1:16383" x14ac:dyDescent="0.25"/>
    <row r="72" spans="1:16383" s="205" customFormat="1" x14ac:dyDescent="0.25">
      <c r="A72" s="201"/>
      <c r="B72" s="202"/>
      <c r="C72" s="203"/>
      <c r="D72" s="204"/>
      <c r="E72" s="37" t="str">
        <f xml:space="preserve"> InpR!E$100</f>
        <v>Run-off rate - CPI(H) + RPI wedge - active - WWN</v>
      </c>
      <c r="F72" s="205">
        <f xml:space="preserve"> InpR!F$100</f>
        <v>0</v>
      </c>
      <c r="G72" s="223" t="str">
        <f xml:space="preserve"> InpR!G$100</f>
        <v>%</v>
      </c>
      <c r="H72" s="205">
        <f xml:space="preserve"> InpR!H$100</f>
        <v>0</v>
      </c>
      <c r="I72" s="205">
        <f xml:space="preserve"> InpR!I$100</f>
        <v>0</v>
      </c>
      <c r="J72" s="205">
        <f xml:space="preserve"> InpR!J$100</f>
        <v>0</v>
      </c>
      <c r="K72" s="205">
        <f xml:space="preserve"> InpR!K$100</f>
        <v>0</v>
      </c>
      <c r="L72" s="205">
        <f xml:space="preserve"> InpR!L$100</f>
        <v>0</v>
      </c>
      <c r="M72" s="205">
        <f xml:space="preserve"> InpR!M$100</f>
        <v>0</v>
      </c>
      <c r="N72" s="205">
        <f xml:space="preserve"> InpR!N$100</f>
        <v>0</v>
      </c>
      <c r="O72" s="205">
        <f xml:space="preserve"> InpR!O$100</f>
        <v>0</v>
      </c>
      <c r="P72" s="205">
        <f xml:space="preserve"> InpR!P$100</f>
        <v>0</v>
      </c>
      <c r="Q72" s="205">
        <f xml:space="preserve"> InpR!Q$100</f>
        <v>0</v>
      </c>
      <c r="R72" s="205">
        <f xml:space="preserve"> InpR!R$100</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0</v>
      </c>
      <c r="N73" s="240">
        <f t="shared" si="28"/>
        <v>0</v>
      </c>
      <c r="O73" s="240">
        <f t="shared" si="28"/>
        <v>0</v>
      </c>
      <c r="P73" s="240">
        <f t="shared" si="28"/>
        <v>0</v>
      </c>
      <c r="Q73" s="240">
        <f t="shared" si="28"/>
        <v>0</v>
      </c>
      <c r="R73" s="240">
        <f t="shared" si="28"/>
        <v>0</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0</v>
      </c>
      <c r="N74" s="184">
        <f t="shared" si="29"/>
        <v>0</v>
      </c>
      <c r="O74" s="184">
        <f t="shared" si="29"/>
        <v>0</v>
      </c>
      <c r="P74" s="184">
        <f t="shared" si="29"/>
        <v>0</v>
      </c>
      <c r="Q74" s="184">
        <f t="shared" si="29"/>
        <v>0</v>
      </c>
      <c r="R74" s="184">
        <f t="shared" si="29"/>
        <v>0</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0</v>
      </c>
      <c r="N75" s="184">
        <f xml:space="preserve"> (N73+N74) * N72</f>
        <v>0</v>
      </c>
      <c r="O75" s="184">
        <f t="shared" si="30"/>
        <v>0</v>
      </c>
      <c r="P75" s="184">
        <f t="shared" si="30"/>
        <v>0</v>
      </c>
      <c r="Q75" s="184">
        <f t="shared" si="30"/>
        <v>0</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InpR!E$93</f>
        <v>RCV - CPI(H) + RPI wedge initial balance - nominal - WWN</v>
      </c>
      <c r="F77" s="353">
        <f>InpR!F$93</f>
        <v>0</v>
      </c>
      <c r="G77" s="30" t="str">
        <f>InpR!G$93</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0" t="str">
        <f>Index!E$47</f>
        <v>CPI(H): Fin year average - inflate from base year 2017-18 average - final determination</v>
      </c>
      <c r="F78" s="205">
        <f>Index!F$47</f>
        <v>0</v>
      </c>
      <c r="G78" s="248" t="str">
        <f>Index!G$47</f>
        <v>%</v>
      </c>
      <c r="H78" s="205">
        <f>Index!H$47</f>
        <v>0</v>
      </c>
      <c r="I78" s="205">
        <f>Index!I$47</f>
        <v>0</v>
      </c>
      <c r="J78" s="205">
        <f>Index!J$47</f>
        <v>0</v>
      </c>
      <c r="K78" s="205">
        <f>Index!K$47</f>
        <v>1.0212697905005599</v>
      </c>
      <c r="L78" s="205">
        <f>Index!L$47</f>
        <v>1.0416029201511179</v>
      </c>
      <c r="M78" s="205">
        <f>Index!M$47</f>
        <v>1.0622616980779827</v>
      </c>
      <c r="N78" s="205">
        <f>Index!N$47</f>
        <v>1.0835515290872799</v>
      </c>
      <c r="O78" s="205">
        <f>Index!O$47</f>
        <v>1.1060365794841869</v>
      </c>
      <c r="P78" s="205">
        <f>Index!P$47</f>
        <v>1.1292633476533553</v>
      </c>
      <c r="Q78" s="205">
        <f>Index!Q$47</f>
        <v>1.1529778779540774</v>
      </c>
      <c r="R78" s="205">
        <f>Index!R$47</f>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44" t="str">
        <f>Index!E$111</f>
        <v>CPI(H): Fin year average - inflate from base year 2017-18 average - actual (including forecast)</v>
      </c>
      <c r="F79" s="344">
        <f>Index!F$111</f>
        <v>0</v>
      </c>
      <c r="G79" s="344" t="str">
        <f>Index!G$111</f>
        <v>%</v>
      </c>
      <c r="H79" s="344">
        <f>Index!H$111</f>
        <v>0</v>
      </c>
      <c r="I79" s="344">
        <f>Index!I$111</f>
        <v>0</v>
      </c>
      <c r="J79" s="344">
        <f>Index!J$111</f>
        <v>0</v>
      </c>
      <c r="K79" s="344">
        <f>Index!K$111</f>
        <v>1.0212697905005599</v>
      </c>
      <c r="L79" s="344">
        <f>Index!L$111</f>
        <v>1.0386214616983847</v>
      </c>
      <c r="M79" s="344">
        <f>Index!M$111</f>
        <v>1.0469374700143934</v>
      </c>
      <c r="N79" s="344">
        <f>Index!N$111</f>
        <v>1.0853990084759317</v>
      </c>
      <c r="O79" s="344">
        <f>Index!O$111</f>
        <v>1.1806332960179113</v>
      </c>
      <c r="P79" s="344">
        <f>Index!P$111</f>
        <v>1.2461218615064769</v>
      </c>
      <c r="Q79" s="344">
        <f>Index!Q$111</f>
        <v>1.2861826323364782</v>
      </c>
      <c r="R79" s="344">
        <f>Index!R$111</f>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532</v>
      </c>
      <c r="F81" s="243">
        <f>(F77/SUMPRODUCT(J78:R78,J80:R80)) * SUMPRODUCT(J79:R79,J80:R80)</f>
        <v>0</v>
      </c>
      <c r="G81" s="243" t="s">
        <v>238</v>
      </c>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E82" s="138"/>
      <c r="F82" s="138"/>
      <c r="G82" s="138"/>
      <c r="H82" s="138"/>
    </row>
    <row r="83" spans="1:16383" s="200" customFormat="1" x14ac:dyDescent="0.25">
      <c r="A83" s="331"/>
      <c r="B83" s="346"/>
      <c r="C83" s="347"/>
      <c r="D83" s="348"/>
      <c r="E83" s="246" t="str">
        <f>E$81</f>
        <v>RCV - CPI(H) + RPI wedge initial balance adjusted for actual inflation - nominal - WN</v>
      </c>
      <c r="F83" s="246">
        <f t="shared" ref="F83:G83" si="31">F$81</f>
        <v>0</v>
      </c>
      <c r="G83" s="246" t="str">
        <f t="shared" si="31"/>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2" xml:space="preserve"> I89</f>
        <v>0</v>
      </c>
      <c r="K86" s="241">
        <f t="shared" si="32"/>
        <v>0</v>
      </c>
      <c r="L86" s="241">
        <f t="shared" si="32"/>
        <v>0</v>
      </c>
      <c r="M86" s="241">
        <f t="shared" si="32"/>
        <v>0</v>
      </c>
      <c r="N86" s="241">
        <f t="shared" si="32"/>
        <v>0</v>
      </c>
      <c r="O86" s="241">
        <f t="shared" si="32"/>
        <v>0</v>
      </c>
      <c r="P86" s="241">
        <f t="shared" si="32"/>
        <v>0</v>
      </c>
      <c r="Q86" s="241">
        <f t="shared" si="32"/>
        <v>0</v>
      </c>
      <c r="R86" s="241">
        <f t="shared" si="32"/>
        <v>0</v>
      </c>
    </row>
    <row r="87" spans="1:16383" x14ac:dyDescent="0.25">
      <c r="A87" s="47"/>
      <c r="B87" s="51"/>
      <c r="C87" s="111"/>
      <c r="D87" s="56" t="s">
        <v>445</v>
      </c>
      <c r="E87" s="7" t="str">
        <f t="shared" ref="E87:R87" si="33" xml:space="preserve"> E$70</f>
        <v>Actual RCV indexation - nominal</v>
      </c>
      <c r="F87" s="241">
        <f t="shared" si="33"/>
        <v>0</v>
      </c>
      <c r="G87" s="162" t="str">
        <f t="shared" si="33"/>
        <v>£m</v>
      </c>
      <c r="H87" s="241">
        <f t="shared" si="33"/>
        <v>0</v>
      </c>
      <c r="I87" s="162">
        <f t="shared" si="33"/>
        <v>0</v>
      </c>
      <c r="J87" s="241">
        <f t="shared" si="33"/>
        <v>0</v>
      </c>
      <c r="K87" s="241">
        <f t="shared" si="33"/>
        <v>0</v>
      </c>
      <c r="L87" s="241">
        <f t="shared" si="33"/>
        <v>0</v>
      </c>
      <c r="M87" s="241">
        <f t="shared" si="33"/>
        <v>0</v>
      </c>
      <c r="N87" s="241">
        <f t="shared" si="33"/>
        <v>0</v>
      </c>
      <c r="O87" s="241">
        <f t="shared" si="33"/>
        <v>0</v>
      </c>
      <c r="P87" s="241">
        <f t="shared" si="33"/>
        <v>0</v>
      </c>
      <c r="Q87" s="241">
        <f t="shared" si="33"/>
        <v>0</v>
      </c>
      <c r="R87" s="241">
        <f t="shared" si="33"/>
        <v>0</v>
      </c>
    </row>
    <row r="88" spans="1:16383" x14ac:dyDescent="0.25">
      <c r="A88" s="47"/>
      <c r="B88" s="51"/>
      <c r="C88" s="111"/>
      <c r="D88" s="56" t="s">
        <v>446</v>
      </c>
      <c r="E88" s="7" t="str">
        <f t="shared" ref="E88:R88" si="34" xml:space="preserve"> E$75</f>
        <v>RCV run-off company should have received - nominal</v>
      </c>
      <c r="F88" s="241">
        <f t="shared" si="34"/>
        <v>0</v>
      </c>
      <c r="G88" s="162" t="str">
        <f t="shared" si="34"/>
        <v>£m</v>
      </c>
      <c r="H88" s="241">
        <f t="shared" si="34"/>
        <v>0</v>
      </c>
      <c r="I88" s="162">
        <f t="shared" si="34"/>
        <v>0</v>
      </c>
      <c r="J88" s="241">
        <f t="shared" si="34"/>
        <v>0</v>
      </c>
      <c r="K88" s="241">
        <f t="shared" si="34"/>
        <v>0</v>
      </c>
      <c r="L88" s="241">
        <f t="shared" si="34"/>
        <v>0</v>
      </c>
      <c r="M88" s="241">
        <f t="shared" si="34"/>
        <v>0</v>
      </c>
      <c r="N88" s="241">
        <f t="shared" si="34"/>
        <v>0</v>
      </c>
      <c r="O88" s="241">
        <f t="shared" si="34"/>
        <v>0</v>
      </c>
      <c r="P88" s="241">
        <f t="shared" si="34"/>
        <v>0</v>
      </c>
      <c r="Q88" s="241">
        <f t="shared" si="34"/>
        <v>0</v>
      </c>
      <c r="R88" s="241">
        <f t="shared" si="34"/>
        <v>0</v>
      </c>
    </row>
    <row r="89" spans="1:16383" s="138" customFormat="1" x14ac:dyDescent="0.25">
      <c r="A89" s="134"/>
      <c r="B89" s="135"/>
      <c r="C89" s="136"/>
      <c r="D89" s="137"/>
      <c r="E89" s="138" t="s">
        <v>465</v>
      </c>
      <c r="G89" s="163" t="s">
        <v>238</v>
      </c>
      <c r="J89" s="242">
        <f t="shared" ref="J89:R89" si="35" xml:space="preserve"> IF( J84 = 1, $F83, J86 + J87 - J88)</f>
        <v>0</v>
      </c>
      <c r="K89" s="242">
        <f t="shared" si="35"/>
        <v>0</v>
      </c>
      <c r="L89" s="242">
        <f t="shared" si="35"/>
        <v>0</v>
      </c>
      <c r="M89" s="242">
        <f t="shared" si="35"/>
        <v>0</v>
      </c>
      <c r="N89" s="242">
        <f t="shared" si="35"/>
        <v>0</v>
      </c>
      <c r="O89" s="242">
        <f t="shared" si="35"/>
        <v>0</v>
      </c>
      <c r="P89" s="242">
        <f t="shared" si="35"/>
        <v>0</v>
      </c>
      <c r="Q89" s="242">
        <f t="shared" si="35"/>
        <v>0</v>
      </c>
      <c r="R89" s="242">
        <f t="shared" si="35"/>
        <v>0</v>
      </c>
    </row>
    <row r="90" spans="1:16383" x14ac:dyDescent="0.25"/>
    <row r="91" spans="1:16383" s="92" customFormat="1" x14ac:dyDescent="0.25">
      <c r="A91" s="164"/>
      <c r="B91" s="165"/>
      <c r="C91" s="166"/>
      <c r="D91" s="167"/>
      <c r="E91" s="7" t="str">
        <f t="shared" ref="E91:R91" si="36" xml:space="preserve"> E$86</f>
        <v>Actual Nominal RCV balance BEG</v>
      </c>
      <c r="F91" s="185">
        <f t="shared" si="36"/>
        <v>0</v>
      </c>
      <c r="G91" s="92" t="str">
        <f t="shared" si="36"/>
        <v>£m</v>
      </c>
      <c r="H91" s="185">
        <f t="shared" si="36"/>
        <v>0</v>
      </c>
      <c r="I91" s="185">
        <f t="shared" si="36"/>
        <v>0</v>
      </c>
      <c r="J91" s="185">
        <f t="shared" si="36"/>
        <v>0</v>
      </c>
      <c r="K91" s="185">
        <f t="shared" si="36"/>
        <v>0</v>
      </c>
      <c r="L91" s="185">
        <f t="shared" si="36"/>
        <v>0</v>
      </c>
      <c r="M91" s="185">
        <f t="shared" si="36"/>
        <v>0</v>
      </c>
      <c r="N91" s="185">
        <f t="shared" si="36"/>
        <v>0</v>
      </c>
      <c r="O91" s="185">
        <f t="shared" si="36"/>
        <v>0</v>
      </c>
      <c r="P91" s="185">
        <f t="shared" si="36"/>
        <v>0</v>
      </c>
      <c r="Q91" s="185">
        <f t="shared" si="36"/>
        <v>0</v>
      </c>
      <c r="R91" s="185">
        <f t="shared" si="36"/>
        <v>0</v>
      </c>
    </row>
    <row r="92" spans="1:16383" s="92" customFormat="1" x14ac:dyDescent="0.25">
      <c r="A92" s="164"/>
      <c r="B92" s="165"/>
      <c r="C92" s="166"/>
      <c r="D92" s="167"/>
      <c r="E92" s="7" t="str">
        <f t="shared" ref="E92:R92" si="37" xml:space="preserve"> E$87</f>
        <v>Actual RCV indexation - nominal</v>
      </c>
      <c r="F92" s="241">
        <f t="shared" si="37"/>
        <v>0</v>
      </c>
      <c r="G92" s="162" t="str">
        <f t="shared" si="37"/>
        <v>£m</v>
      </c>
      <c r="H92" s="241">
        <f t="shared" si="37"/>
        <v>0</v>
      </c>
      <c r="I92" s="241">
        <f t="shared" si="37"/>
        <v>0</v>
      </c>
      <c r="J92" s="241">
        <f t="shared" si="37"/>
        <v>0</v>
      </c>
      <c r="K92" s="241">
        <f t="shared" si="37"/>
        <v>0</v>
      </c>
      <c r="L92" s="241">
        <f t="shared" si="37"/>
        <v>0</v>
      </c>
      <c r="M92" s="241">
        <f t="shared" si="37"/>
        <v>0</v>
      </c>
      <c r="N92" s="241">
        <f t="shared" si="37"/>
        <v>0</v>
      </c>
      <c r="O92" s="241">
        <f t="shared" si="37"/>
        <v>0</v>
      </c>
      <c r="P92" s="241">
        <f t="shared" si="37"/>
        <v>0</v>
      </c>
      <c r="Q92" s="241">
        <f t="shared" si="37"/>
        <v>0</v>
      </c>
      <c r="R92" s="241">
        <f t="shared" si="37"/>
        <v>0</v>
      </c>
    </row>
    <row r="93" spans="1:16383" s="92" customFormat="1" x14ac:dyDescent="0.25">
      <c r="A93" s="164"/>
      <c r="B93" s="165"/>
      <c r="C93" s="166"/>
      <c r="D93" s="167"/>
      <c r="E93" s="7" t="str">
        <f t="shared" ref="E93:R93" si="38" xml:space="preserve"> E$89</f>
        <v>Actual Nominal RCV balance END</v>
      </c>
      <c r="F93" s="185">
        <f t="shared" si="38"/>
        <v>0</v>
      </c>
      <c r="G93" s="92" t="str">
        <f t="shared" si="38"/>
        <v>£m</v>
      </c>
      <c r="H93" s="185">
        <f t="shared" si="38"/>
        <v>0</v>
      </c>
      <c r="I93" s="185">
        <f t="shared" si="38"/>
        <v>0</v>
      </c>
      <c r="J93" s="185">
        <f t="shared" si="38"/>
        <v>0</v>
      </c>
      <c r="K93" s="185">
        <f t="shared" si="38"/>
        <v>0</v>
      </c>
      <c r="L93" s="185">
        <f t="shared" si="38"/>
        <v>0</v>
      </c>
      <c r="M93" s="185">
        <f t="shared" si="38"/>
        <v>0</v>
      </c>
      <c r="N93" s="185">
        <f t="shared" si="38"/>
        <v>0</v>
      </c>
      <c r="O93" s="185">
        <f t="shared" si="38"/>
        <v>0</v>
      </c>
      <c r="P93" s="185">
        <f t="shared" si="38"/>
        <v>0</v>
      </c>
      <c r="Q93" s="185">
        <f t="shared" si="38"/>
        <v>0</v>
      </c>
      <c r="R93" s="185">
        <f t="shared" si="38"/>
        <v>0</v>
      </c>
    </row>
    <row r="94" spans="1:16383" x14ac:dyDescent="0.25">
      <c r="A94" s="49"/>
      <c r="D94" s="57"/>
      <c r="E94" s="7" t="s">
        <v>466</v>
      </c>
      <c r="G94" s="92" t="s">
        <v>238</v>
      </c>
      <c r="H94" s="243"/>
      <c r="I94" s="243"/>
      <c r="J94" s="185">
        <f t="shared" ref="J94:K94" si="39" xml:space="preserve"> ( (J91+J92) + J93) / 2</f>
        <v>0</v>
      </c>
      <c r="K94" s="185">
        <f t="shared" si="39"/>
        <v>0</v>
      </c>
      <c r="L94" s="185">
        <f xml:space="preserve"> ( (L91+L92) + L93) / 2</f>
        <v>0</v>
      </c>
      <c r="M94" s="185">
        <f xml:space="preserve"> ( (M91+M92) + M93) / 2</f>
        <v>0</v>
      </c>
      <c r="N94" s="185">
        <f t="shared" ref="N94:P94" si="40" xml:space="preserve"> ( (N91+N92) + N93) / 2</f>
        <v>0</v>
      </c>
      <c r="O94" s="185">
        <f t="shared" si="40"/>
        <v>0</v>
      </c>
      <c r="P94" s="185">
        <f t="shared" si="40"/>
        <v>0</v>
      </c>
      <c r="Q94" s="185">
        <f xml:space="preserve"> ( (Q91+Q92) + Q93) / 2</f>
        <v>0</v>
      </c>
      <c r="R94" s="185">
        <f t="shared" ref="R94" si="41"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InpR!E$107</f>
        <v>WACC on RCV - CPI(H) + RPI wedge bf and additions - WWN</v>
      </c>
      <c r="F97" s="205">
        <f xml:space="preserve"> InpR!F$107</f>
        <v>0</v>
      </c>
      <c r="G97" s="223" t="str">
        <f xml:space="preserve"> InpR!G$107</f>
        <v>%</v>
      </c>
      <c r="H97" s="205">
        <f xml:space="preserve"> InpR!H$107</f>
        <v>0</v>
      </c>
      <c r="I97" s="205">
        <f xml:space="preserve"> InpR!I$107</f>
        <v>0</v>
      </c>
      <c r="J97" s="205">
        <f xml:space="preserve"> InpR!J$107</f>
        <v>0</v>
      </c>
      <c r="K97" s="205">
        <f xml:space="preserve"> InpR!K$107</f>
        <v>0</v>
      </c>
      <c r="L97" s="205">
        <f xml:space="preserve"> InpR!L$107</f>
        <v>0</v>
      </c>
      <c r="M97" s="205">
        <f xml:space="preserve"> InpR!M$107</f>
        <v>1.920357193840716E-2</v>
      </c>
      <c r="N97" s="205">
        <f xml:space="preserve"> InpR!N$107</f>
        <v>1.920357193840716E-2</v>
      </c>
      <c r="O97" s="205">
        <f xml:space="preserve"> InpR!O$107</f>
        <v>1.920357193840716E-2</v>
      </c>
      <c r="P97" s="205">
        <f xml:space="preserve"> InpR!P$107</f>
        <v>1.920357193840716E-2</v>
      </c>
      <c r="Q97" s="205">
        <f xml:space="preserve"> InpR!Q$107</f>
        <v>1.920357193840716E-2</v>
      </c>
      <c r="R97" s="205">
        <f xml:space="preserve"> InpR!R$107</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2" xml:space="preserve"> E$94</f>
        <v>Actual average RCV balance</v>
      </c>
      <c r="F99" s="184">
        <f t="shared" si="42"/>
        <v>0</v>
      </c>
      <c r="G99" s="184" t="str">
        <f t="shared" si="42"/>
        <v>£m</v>
      </c>
      <c r="H99" s="184">
        <f t="shared" si="42"/>
        <v>0</v>
      </c>
      <c r="I99" s="184">
        <f t="shared" si="42"/>
        <v>0</v>
      </c>
      <c r="J99" s="184">
        <f t="shared" si="42"/>
        <v>0</v>
      </c>
      <c r="K99" s="184">
        <f t="shared" si="42"/>
        <v>0</v>
      </c>
      <c r="L99" s="184">
        <f t="shared" si="42"/>
        <v>0</v>
      </c>
      <c r="M99" s="184">
        <f t="shared" si="42"/>
        <v>0</v>
      </c>
      <c r="N99" s="184">
        <f t="shared" si="42"/>
        <v>0</v>
      </c>
      <c r="O99" s="184">
        <f t="shared" si="42"/>
        <v>0</v>
      </c>
      <c r="P99" s="184">
        <f t="shared" si="42"/>
        <v>0</v>
      </c>
      <c r="Q99" s="184">
        <f t="shared" si="42"/>
        <v>0</v>
      </c>
      <c r="R99" s="184">
        <f t="shared" si="42"/>
        <v>0</v>
      </c>
    </row>
    <row r="100" spans="1:26" x14ac:dyDescent="0.25">
      <c r="E100" s="7" t="s">
        <v>468</v>
      </c>
      <c r="F100" s="243"/>
      <c r="G100" s="184" t="s">
        <v>238</v>
      </c>
      <c r="H100" s="243"/>
      <c r="I100" s="243"/>
      <c r="J100" s="243">
        <f t="shared" ref="J100:K100" si="43">J97*J98*J99</f>
        <v>0</v>
      </c>
      <c r="K100" s="243">
        <f t="shared" si="43"/>
        <v>0</v>
      </c>
      <c r="L100" s="243">
        <f>L97*L98*L99</f>
        <v>0</v>
      </c>
      <c r="M100" s="243">
        <f>M97*M98*M99</f>
        <v>0</v>
      </c>
      <c r="N100" s="243">
        <f t="shared" ref="N100:R100" si="44">N97*N98*N99</f>
        <v>0</v>
      </c>
      <c r="O100" s="243">
        <f t="shared" si="44"/>
        <v>0</v>
      </c>
      <c r="P100" s="243">
        <f t="shared" si="44"/>
        <v>0</v>
      </c>
      <c r="Q100" s="243">
        <f t="shared" si="44"/>
        <v>0</v>
      </c>
      <c r="R100" s="243">
        <f t="shared" si="44"/>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5" xml:space="preserve"> E$89</f>
        <v>Actual Nominal RCV balance END</v>
      </c>
      <c r="F103" s="185">
        <f t="shared" si="45"/>
        <v>0</v>
      </c>
      <c r="G103" s="185" t="str">
        <f t="shared" si="45"/>
        <v>£m</v>
      </c>
      <c r="H103" s="185">
        <f t="shared" si="45"/>
        <v>0</v>
      </c>
      <c r="I103" s="185">
        <f t="shared" si="45"/>
        <v>0</v>
      </c>
      <c r="J103" s="185">
        <f t="shared" si="45"/>
        <v>0</v>
      </c>
      <c r="K103" s="185">
        <f t="shared" si="45"/>
        <v>0</v>
      </c>
      <c r="L103" s="185">
        <f t="shared" si="45"/>
        <v>0</v>
      </c>
      <c r="M103" s="185">
        <f t="shared" si="45"/>
        <v>0</v>
      </c>
      <c r="N103" s="185">
        <f t="shared" si="45"/>
        <v>0</v>
      </c>
      <c r="O103" s="185">
        <f t="shared" si="45"/>
        <v>0</v>
      </c>
      <c r="P103" s="185">
        <f t="shared" si="45"/>
        <v>0</v>
      </c>
      <c r="Q103" s="185">
        <f t="shared" si="45"/>
        <v>0</v>
      </c>
      <c r="R103" s="185">
        <f t="shared" si="45"/>
        <v>0</v>
      </c>
    </row>
    <row r="104" spans="1:26" x14ac:dyDescent="0.25">
      <c r="C104" s="267"/>
      <c r="E104" s="7" t="s">
        <v>469</v>
      </c>
      <c r="F104" s="243"/>
      <c r="G104" s="243"/>
      <c r="H104" s="243"/>
      <c r="I104" s="243"/>
      <c r="J104" s="184">
        <f>J103 * J102</f>
        <v>0</v>
      </c>
      <c r="K104" s="184">
        <f t="shared" ref="K104:R104" si="46">K103 * K102</f>
        <v>0</v>
      </c>
      <c r="L104" s="184">
        <f t="shared" si="46"/>
        <v>0</v>
      </c>
      <c r="M104" s="184">
        <f t="shared" si="46"/>
        <v>0</v>
      </c>
      <c r="N104" s="184">
        <f t="shared" si="46"/>
        <v>0</v>
      </c>
      <c r="O104" s="184">
        <f t="shared" si="46"/>
        <v>0</v>
      </c>
      <c r="P104" s="184">
        <f t="shared" si="46"/>
        <v>0</v>
      </c>
      <c r="Q104" s="184">
        <f t="shared" si="46"/>
        <v>0</v>
      </c>
      <c r="R104" s="184">
        <f t="shared" si="46"/>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7" xml:space="preserve"> E$75</f>
        <v>RCV run-off company should have received - nominal</v>
      </c>
      <c r="F107" s="184">
        <f t="shared" si="47"/>
        <v>0</v>
      </c>
      <c r="G107" s="184" t="str">
        <f t="shared" si="47"/>
        <v>£m</v>
      </c>
      <c r="H107" s="184">
        <f t="shared" si="47"/>
        <v>0</v>
      </c>
      <c r="I107" s="184">
        <f t="shared" si="47"/>
        <v>0</v>
      </c>
      <c r="J107" s="184">
        <f t="shared" si="47"/>
        <v>0</v>
      </c>
      <c r="K107" s="184">
        <f t="shared" si="47"/>
        <v>0</v>
      </c>
      <c r="L107" s="184">
        <f t="shared" si="47"/>
        <v>0</v>
      </c>
      <c r="M107" s="184">
        <f t="shared" si="47"/>
        <v>0</v>
      </c>
      <c r="N107" s="184">
        <f t="shared" si="47"/>
        <v>0</v>
      </c>
      <c r="O107" s="184">
        <f t="shared" si="47"/>
        <v>0</v>
      </c>
      <c r="P107" s="184">
        <f t="shared" si="47"/>
        <v>0</v>
      </c>
      <c r="Q107" s="184">
        <f t="shared" si="47"/>
        <v>0</v>
      </c>
      <c r="R107" s="184">
        <f t="shared" si="47"/>
        <v>0</v>
      </c>
    </row>
    <row r="108" spans="1:26" s="91" customFormat="1" x14ac:dyDescent="0.25">
      <c r="A108" s="170"/>
      <c r="B108" s="165"/>
      <c r="C108" s="166"/>
      <c r="D108" s="171"/>
      <c r="E108" s="7" t="str">
        <f t="shared" ref="E108:R109" si="48" xml:space="preserve"> E$100</f>
        <v>Nominal return company should have received</v>
      </c>
      <c r="F108" s="184">
        <f t="shared" si="48"/>
        <v>0</v>
      </c>
      <c r="G108" s="184" t="str">
        <f t="shared" si="48"/>
        <v>£m</v>
      </c>
      <c r="H108" s="184">
        <f t="shared" si="48"/>
        <v>0</v>
      </c>
      <c r="I108" s="184">
        <f t="shared" si="48"/>
        <v>0</v>
      </c>
      <c r="J108" s="184">
        <f t="shared" si="48"/>
        <v>0</v>
      </c>
      <c r="K108" s="184">
        <f t="shared" si="48"/>
        <v>0</v>
      </c>
      <c r="L108" s="184">
        <f t="shared" si="48"/>
        <v>0</v>
      </c>
      <c r="M108" s="184">
        <f t="shared" si="48"/>
        <v>0</v>
      </c>
      <c r="N108" s="184">
        <f t="shared" si="48"/>
        <v>0</v>
      </c>
      <c r="O108" s="184">
        <f t="shared" si="48"/>
        <v>0</v>
      </c>
      <c r="P108" s="184">
        <f t="shared" si="48"/>
        <v>0</v>
      </c>
      <c r="Q108" s="184">
        <f t="shared" si="48"/>
        <v>0</v>
      </c>
      <c r="R108" s="184">
        <f t="shared" si="48"/>
        <v>0</v>
      </c>
      <c r="S108" s="92"/>
      <c r="T108" s="92"/>
      <c r="U108" s="92"/>
      <c r="V108" s="92"/>
      <c r="W108" s="92"/>
      <c r="X108" s="92"/>
      <c r="Y108" s="92"/>
      <c r="Z108" s="92"/>
    </row>
    <row r="109" spans="1:26" x14ac:dyDescent="0.25">
      <c r="E109" s="7" t="s">
        <v>471</v>
      </c>
      <c r="F109" s="243"/>
      <c r="G109" s="184" t="str">
        <f t="shared" si="48"/>
        <v>£m</v>
      </c>
      <c r="H109" s="243">
        <f>SUM(J109:R109)</f>
        <v>0</v>
      </c>
      <c r="I109" s="243"/>
      <c r="J109" s="243">
        <f t="shared" ref="J109:R109" si="49">SUM(J107:J108)</f>
        <v>0</v>
      </c>
      <c r="K109" s="243">
        <f t="shared" si="49"/>
        <v>0</v>
      </c>
      <c r="L109" s="243">
        <f t="shared" si="49"/>
        <v>0</v>
      </c>
      <c r="M109" s="243">
        <f t="shared" si="49"/>
        <v>0</v>
      </c>
      <c r="N109" s="243">
        <f t="shared" si="49"/>
        <v>0</v>
      </c>
      <c r="O109" s="243">
        <f t="shared" si="49"/>
        <v>0</v>
      </c>
      <c r="P109" s="243">
        <f t="shared" si="49"/>
        <v>0</v>
      </c>
      <c r="Q109" s="243">
        <f t="shared" si="49"/>
        <v>0</v>
      </c>
      <c r="R109" s="243">
        <f t="shared" si="4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0" xml:space="preserve"> F$61</f>
        <v>0</v>
      </c>
      <c r="G115" s="184" t="str">
        <f t="shared" si="50"/>
        <v>£m</v>
      </c>
      <c r="H115" s="184">
        <f t="shared" si="50"/>
        <v>0</v>
      </c>
      <c r="I115" s="184">
        <f t="shared" si="50"/>
        <v>0</v>
      </c>
      <c r="J115" s="184">
        <f t="shared" si="50"/>
        <v>0</v>
      </c>
      <c r="K115" s="184">
        <f t="shared" si="50"/>
        <v>0</v>
      </c>
      <c r="L115" s="184">
        <f t="shared" si="50"/>
        <v>0</v>
      </c>
      <c r="M115" s="184">
        <f t="shared" si="50"/>
        <v>0</v>
      </c>
      <c r="N115" s="184">
        <f t="shared" si="50"/>
        <v>0</v>
      </c>
      <c r="O115" s="184">
        <f t="shared" si="50"/>
        <v>0</v>
      </c>
      <c r="P115" s="184">
        <f t="shared" si="50"/>
        <v>0</v>
      </c>
      <c r="Q115" s="184">
        <f t="shared" si="50"/>
        <v>0</v>
      </c>
      <c r="R115" s="184">
        <f xml:space="preserve"> R$61</f>
        <v>0</v>
      </c>
    </row>
    <row r="116" spans="1:26" x14ac:dyDescent="0.25">
      <c r="E116" s="7" t="str">
        <f t="shared" ref="E116:R116" si="51" xml:space="preserve"> E$109</f>
        <v>Total nominal revenue company should have received</v>
      </c>
      <c r="F116" s="184">
        <f t="shared" si="51"/>
        <v>0</v>
      </c>
      <c r="G116" s="184" t="str">
        <f t="shared" si="51"/>
        <v>£m</v>
      </c>
      <c r="H116" s="184">
        <f t="shared" si="51"/>
        <v>0</v>
      </c>
      <c r="I116" s="184">
        <f t="shared" si="51"/>
        <v>0</v>
      </c>
      <c r="J116" s="184">
        <f t="shared" si="51"/>
        <v>0</v>
      </c>
      <c r="K116" s="184">
        <f t="shared" si="51"/>
        <v>0</v>
      </c>
      <c r="L116" s="184">
        <f t="shared" si="51"/>
        <v>0</v>
      </c>
      <c r="M116" s="184">
        <f t="shared" si="51"/>
        <v>0</v>
      </c>
      <c r="N116" s="184">
        <f t="shared" si="51"/>
        <v>0</v>
      </c>
      <c r="O116" s="184">
        <f t="shared" si="51"/>
        <v>0</v>
      </c>
      <c r="P116" s="184">
        <f t="shared" si="51"/>
        <v>0</v>
      </c>
      <c r="Q116" s="184">
        <f t="shared" si="51"/>
        <v>0</v>
      </c>
      <c r="R116" s="184">
        <f t="shared" si="51"/>
        <v>0</v>
      </c>
    </row>
    <row r="117" spans="1:26" s="184" customFormat="1" x14ac:dyDescent="0.25">
      <c r="A117" s="180"/>
      <c r="B117" s="181"/>
      <c r="C117" s="182"/>
      <c r="D117" s="183"/>
      <c r="E117" s="7" t="s">
        <v>474</v>
      </c>
      <c r="G117" s="184" t="str">
        <f t="shared" ref="G117" si="52" xml:space="preserve"> G$100</f>
        <v>£m</v>
      </c>
      <c r="H117" s="243">
        <f>SUM(J117:R117)</f>
        <v>0</v>
      </c>
      <c r="M117" s="184">
        <f>M116-M115</f>
        <v>0</v>
      </c>
      <c r="N117" s="184">
        <f t="shared" ref="N117:Q117" si="53">N116-N115</f>
        <v>0</v>
      </c>
      <c r="O117" s="184">
        <f t="shared" si="53"/>
        <v>0</v>
      </c>
      <c r="P117" s="184">
        <f t="shared" si="53"/>
        <v>0</v>
      </c>
      <c r="Q117" s="184">
        <f t="shared" si="53"/>
        <v>0</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Q127" si="54">SUM(J125:J126)</f>
        <v>0</v>
      </c>
      <c r="K127" s="172">
        <f t="shared" si="54"/>
        <v>0</v>
      </c>
      <c r="L127" s="172">
        <f t="shared" si="54"/>
        <v>3.1522140708501789E-2</v>
      </c>
      <c r="M127" s="172">
        <f t="shared" si="54"/>
        <v>2.4258091513662761E-2</v>
      </c>
      <c r="N127" s="172">
        <f t="shared" si="54"/>
        <v>2.9587648685595269E-2</v>
      </c>
      <c r="O127" s="172">
        <f t="shared" si="54"/>
        <v>3.150368327076003E-2</v>
      </c>
      <c r="P127" s="172">
        <f t="shared" si="54"/>
        <v>3.2000000000000695E-2</v>
      </c>
      <c r="Q127" s="172">
        <f t="shared" si="54"/>
        <v>3.1999999999999806E-2</v>
      </c>
      <c r="R127" s="172">
        <f t="shared" ref="R127" si="55">SUM(R125:R126)</f>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6" xml:space="preserve"> F$141</f>
        <v>0</v>
      </c>
      <c r="G129" s="161" t="str">
        <f t="shared" si="56"/>
        <v>£m</v>
      </c>
      <c r="H129" s="326">
        <f t="shared" si="56"/>
        <v>0</v>
      </c>
      <c r="I129" s="326">
        <f t="shared" si="56"/>
        <v>0</v>
      </c>
      <c r="J129" s="326">
        <f t="shared" si="56"/>
        <v>0</v>
      </c>
      <c r="K129" s="326">
        <f xml:space="preserve"> K$141</f>
        <v>0</v>
      </c>
      <c r="L129" s="326">
        <f t="shared" si="56"/>
        <v>0</v>
      </c>
      <c r="M129" s="326">
        <f t="shared" si="56"/>
        <v>0</v>
      </c>
      <c r="N129" s="326">
        <f t="shared" si="56"/>
        <v>0</v>
      </c>
      <c r="O129" s="326">
        <f t="shared" si="56"/>
        <v>0</v>
      </c>
      <c r="P129" s="326">
        <f t="shared" si="56"/>
        <v>0</v>
      </c>
      <c r="Q129" s="326">
        <f t="shared" si="56"/>
        <v>0</v>
      </c>
      <c r="R129" s="326">
        <f t="shared" si="56"/>
        <v>0</v>
      </c>
    </row>
    <row r="130" spans="1:16383" x14ac:dyDescent="0.25">
      <c r="E130" s="178" t="str">
        <f xml:space="preserve"> E$127</f>
        <v>True up Indexation percentage</v>
      </c>
      <c r="F130" s="178">
        <f t="shared" ref="F130:R130" si="57" xml:space="preserve"> F$127</f>
        <v>0</v>
      </c>
      <c r="G130" s="178">
        <f t="shared" si="57"/>
        <v>0</v>
      </c>
      <c r="H130" s="178">
        <f t="shared" si="57"/>
        <v>0</v>
      </c>
      <c r="I130" s="178">
        <f t="shared" si="57"/>
        <v>0</v>
      </c>
      <c r="J130" s="178">
        <f t="shared" si="57"/>
        <v>0</v>
      </c>
      <c r="K130" s="178">
        <f t="shared" si="57"/>
        <v>0</v>
      </c>
      <c r="L130" s="178">
        <f t="shared" si="57"/>
        <v>3.1522140708501789E-2</v>
      </c>
      <c r="M130" s="178">
        <f t="shared" si="57"/>
        <v>2.4258091513662761E-2</v>
      </c>
      <c r="N130" s="178">
        <f t="shared" si="57"/>
        <v>2.9587648685595269E-2</v>
      </c>
      <c r="O130" s="178">
        <f t="shared" si="57"/>
        <v>3.150368327076003E-2</v>
      </c>
      <c r="P130" s="178">
        <f t="shared" si="57"/>
        <v>3.2000000000000695E-2</v>
      </c>
      <c r="Q130" s="178">
        <f t="shared" si="57"/>
        <v>3.1999999999999806E-2</v>
      </c>
      <c r="R130" s="178">
        <f t="shared" si="57"/>
        <v>2.9999999999999805E-2</v>
      </c>
    </row>
    <row r="131" spans="1:16383" x14ac:dyDescent="0.25">
      <c r="C131" s="267"/>
      <c r="E131" s="7" t="s">
        <v>480</v>
      </c>
      <c r="G131" s="91" t="s">
        <v>238</v>
      </c>
      <c r="J131" s="245">
        <f>J129*J130</f>
        <v>0</v>
      </c>
      <c r="K131" s="245">
        <f t="shared" ref="K131:L131" si="58">K129*K130</f>
        <v>0</v>
      </c>
      <c r="L131" s="245">
        <f t="shared" si="58"/>
        <v>0</v>
      </c>
      <c r="M131" s="245">
        <f>M129*M130</f>
        <v>0</v>
      </c>
      <c r="N131" s="245">
        <f t="shared" ref="N131:R131" si="59">N129*N130</f>
        <v>0</v>
      </c>
      <c r="O131" s="245">
        <f t="shared" si="59"/>
        <v>0</v>
      </c>
      <c r="P131" s="245">
        <f t="shared" si="59"/>
        <v>0</v>
      </c>
      <c r="Q131" s="245">
        <f t="shared" si="59"/>
        <v>0</v>
      </c>
      <c r="R131" s="245">
        <f t="shared" si="59"/>
        <v>0</v>
      </c>
    </row>
    <row r="132" spans="1:16383" x14ac:dyDescent="0.25"/>
    <row r="133" spans="1:16383" s="205" customFormat="1" x14ac:dyDescent="0.25">
      <c r="A133" s="201"/>
      <c r="B133" s="202"/>
      <c r="C133" s="203"/>
      <c r="D133" s="204"/>
      <c r="E133" s="37" t="str">
        <f xml:space="preserve"> InpR!E$100</f>
        <v>Run-off rate - CPI(H) + RPI wedge - active - WWN</v>
      </c>
      <c r="F133" s="205">
        <f xml:space="preserve"> InpR!F$100</f>
        <v>0</v>
      </c>
      <c r="G133" s="223" t="str">
        <f xml:space="preserve"> InpR!G$100</f>
        <v>%</v>
      </c>
      <c r="H133" s="205">
        <f xml:space="preserve"> InpR!H$100</f>
        <v>0</v>
      </c>
      <c r="I133" s="205">
        <f xml:space="preserve"> InpR!I$100</f>
        <v>0</v>
      </c>
      <c r="J133" s="205">
        <f xml:space="preserve"> InpR!J$100</f>
        <v>0</v>
      </c>
      <c r="K133" s="205">
        <f xml:space="preserve"> InpR!K$100</f>
        <v>0</v>
      </c>
      <c r="L133" s="205">
        <f xml:space="preserve"> InpR!L$100</f>
        <v>0</v>
      </c>
      <c r="M133" s="205">
        <f xml:space="preserve"> InpR!M$100</f>
        <v>0</v>
      </c>
      <c r="N133" s="205">
        <f xml:space="preserve"> InpR!N$100</f>
        <v>0</v>
      </c>
      <c r="O133" s="205">
        <f xml:space="preserve"> InpR!O$100</f>
        <v>0</v>
      </c>
      <c r="P133" s="205">
        <f xml:space="preserve"> InpR!P$100</f>
        <v>0</v>
      </c>
      <c r="Q133" s="205">
        <f xml:space="preserve"> InpR!Q$100</f>
        <v>0</v>
      </c>
      <c r="R133" s="205">
        <f xml:space="preserve"> InpR!R$100</f>
        <v>0</v>
      </c>
    </row>
    <row r="134" spans="1:16383" s="161" customFormat="1" x14ac:dyDescent="0.25">
      <c r="A134" s="157"/>
      <c r="B134" s="158"/>
      <c r="C134" s="159"/>
      <c r="D134" s="160"/>
      <c r="E134" s="161" t="str">
        <f xml:space="preserve"> E$141</f>
        <v>True up Nominal RCV balance BEG</v>
      </c>
      <c r="F134" s="326">
        <f t="shared" ref="F134:R134" si="60" xml:space="preserve"> F$141</f>
        <v>0</v>
      </c>
      <c r="G134" s="161" t="str">
        <f t="shared" si="60"/>
        <v>£m</v>
      </c>
      <c r="H134" s="326">
        <f t="shared" si="60"/>
        <v>0</v>
      </c>
      <c r="I134" s="326">
        <f t="shared" si="60"/>
        <v>0</v>
      </c>
      <c r="J134" s="326">
        <f t="shared" si="60"/>
        <v>0</v>
      </c>
      <c r="K134" s="326">
        <f t="shared" si="60"/>
        <v>0</v>
      </c>
      <c r="L134" s="326">
        <f t="shared" si="60"/>
        <v>0</v>
      </c>
      <c r="M134" s="326">
        <f t="shared" si="60"/>
        <v>0</v>
      </c>
      <c r="N134" s="326">
        <f t="shared" si="60"/>
        <v>0</v>
      </c>
      <c r="O134" s="326">
        <f t="shared" si="60"/>
        <v>0</v>
      </c>
      <c r="P134" s="326">
        <f t="shared" si="60"/>
        <v>0</v>
      </c>
      <c r="Q134" s="326">
        <f t="shared" si="60"/>
        <v>0</v>
      </c>
      <c r="R134" s="326">
        <f t="shared" si="60"/>
        <v>0</v>
      </c>
    </row>
    <row r="135" spans="1:16383" x14ac:dyDescent="0.25">
      <c r="C135" s="267"/>
      <c r="E135" s="7" t="str">
        <f xml:space="preserve"> E$131</f>
        <v>True up RCV indexation</v>
      </c>
      <c r="F135" s="7">
        <f t="shared" ref="F135:R135" si="61" xml:space="preserve"> F$131</f>
        <v>0</v>
      </c>
      <c r="G135" s="91" t="str">
        <f t="shared" si="61"/>
        <v>£m</v>
      </c>
      <c r="H135" s="7">
        <f t="shared" si="61"/>
        <v>0</v>
      </c>
      <c r="I135" s="7">
        <f t="shared" si="61"/>
        <v>0</v>
      </c>
      <c r="J135" s="245">
        <f t="shared" si="61"/>
        <v>0</v>
      </c>
      <c r="K135" s="245">
        <f t="shared" si="61"/>
        <v>0</v>
      </c>
      <c r="L135" s="245">
        <f t="shared" si="61"/>
        <v>0</v>
      </c>
      <c r="M135" s="245">
        <f t="shared" si="61"/>
        <v>0</v>
      </c>
      <c r="N135" s="245">
        <f t="shared" si="61"/>
        <v>0</v>
      </c>
      <c r="O135" s="245">
        <f t="shared" si="61"/>
        <v>0</v>
      </c>
      <c r="P135" s="245">
        <f t="shared" si="61"/>
        <v>0</v>
      </c>
      <c r="Q135" s="245">
        <f t="shared" si="61"/>
        <v>0</v>
      </c>
      <c r="R135" s="245">
        <f t="shared" si="61"/>
        <v>0</v>
      </c>
    </row>
    <row r="136" spans="1:16383" x14ac:dyDescent="0.25">
      <c r="C136" s="267"/>
      <c r="E136" s="7" t="s">
        <v>481</v>
      </c>
      <c r="F136" s="246"/>
      <c r="G136" s="162" t="s">
        <v>238</v>
      </c>
      <c r="H136" s="246"/>
      <c r="I136" s="246"/>
      <c r="J136" s="245">
        <f t="shared" ref="J136:L136" si="62" xml:space="preserve"> (J134+J135) * J133</f>
        <v>0</v>
      </c>
      <c r="K136" s="245">
        <f t="shared" si="62"/>
        <v>0</v>
      </c>
      <c r="L136" s="245">
        <f t="shared" si="62"/>
        <v>0</v>
      </c>
      <c r="M136" s="245">
        <f xml:space="preserve"> (M134+M135) * M133</f>
        <v>0</v>
      </c>
      <c r="N136" s="245">
        <f t="shared" ref="N136:R136" si="63" xml:space="preserve"> (N134+N135) * N133</f>
        <v>0</v>
      </c>
      <c r="O136" s="245">
        <f t="shared" si="63"/>
        <v>0</v>
      </c>
      <c r="P136" s="245">
        <f t="shared" si="63"/>
        <v>0</v>
      </c>
      <c r="Q136" s="245">
        <f t="shared" si="63"/>
        <v>0</v>
      </c>
      <c r="R136" s="245">
        <f t="shared" si="6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E137" s="138"/>
      <c r="F137" s="138"/>
      <c r="G137" s="138"/>
      <c r="H137" s="138"/>
    </row>
    <row r="138" spans="1:16383" s="200" customFormat="1" x14ac:dyDescent="0.25">
      <c r="A138" s="196"/>
      <c r="B138" s="197"/>
      <c r="C138" s="198"/>
      <c r="D138" s="199"/>
      <c r="E138" s="249" t="str">
        <f>InpR!$E$93</f>
        <v>RCV - CPI(H) + RPI wedge initial balance - nominal - WWN</v>
      </c>
      <c r="F138" s="249">
        <f>InpR!$F$93</f>
        <v>0</v>
      </c>
      <c r="G138" s="249" t="str">
        <f>InpR!$G$93</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4" xml:space="preserve"> I144</f>
        <v>0</v>
      </c>
      <c r="K141" s="241">
        <f t="shared" ref="K141" si="65" xml:space="preserve"> J144</f>
        <v>0</v>
      </c>
      <c r="L141" s="241">
        <f t="shared" ref="L141" si="66" xml:space="preserve"> K144</f>
        <v>0</v>
      </c>
      <c r="M141" s="241">
        <f t="shared" ref="M141" si="67" xml:space="preserve"> L144</f>
        <v>0</v>
      </c>
      <c r="N141" s="241">
        <f t="shared" ref="N141" si="68" xml:space="preserve"> M144</f>
        <v>0</v>
      </c>
      <c r="O141" s="241">
        <f t="shared" ref="O141" si="69" xml:space="preserve"> N144</f>
        <v>0</v>
      </c>
      <c r="P141" s="241">
        <f t="shared" ref="P141" si="70" xml:space="preserve"> O144</f>
        <v>0</v>
      </c>
      <c r="Q141" s="241">
        <f t="shared" ref="Q141" si="71" xml:space="preserve"> P144</f>
        <v>0</v>
      </c>
      <c r="R141" s="241">
        <f t="shared" ref="R141" si="72" xml:space="preserve"> Q144</f>
        <v>0</v>
      </c>
    </row>
    <row r="142" spans="1:16383" x14ac:dyDescent="0.25">
      <c r="A142" s="47"/>
      <c r="B142" s="51"/>
      <c r="C142" s="111"/>
      <c r="D142" s="56" t="s">
        <v>445</v>
      </c>
      <c r="E142" s="7" t="str">
        <f t="shared" ref="E142:R142" si="73" xml:space="preserve"> E$131</f>
        <v>True up RCV indexation</v>
      </c>
      <c r="F142" s="241">
        <f t="shared" si="73"/>
        <v>0</v>
      </c>
      <c r="G142" s="241" t="str">
        <f t="shared" si="73"/>
        <v>£m</v>
      </c>
      <c r="H142" s="241">
        <f t="shared" si="73"/>
        <v>0</v>
      </c>
      <c r="I142" s="241">
        <f t="shared" si="73"/>
        <v>0</v>
      </c>
      <c r="J142" s="241">
        <f t="shared" si="73"/>
        <v>0</v>
      </c>
      <c r="K142" s="241">
        <f t="shared" si="73"/>
        <v>0</v>
      </c>
      <c r="L142" s="241">
        <f t="shared" si="73"/>
        <v>0</v>
      </c>
      <c r="M142" s="241">
        <f t="shared" si="73"/>
        <v>0</v>
      </c>
      <c r="N142" s="241">
        <f t="shared" si="73"/>
        <v>0</v>
      </c>
      <c r="O142" s="241">
        <f t="shared" si="73"/>
        <v>0</v>
      </c>
      <c r="P142" s="241">
        <f t="shared" si="73"/>
        <v>0</v>
      </c>
      <c r="Q142" s="241">
        <f t="shared" si="73"/>
        <v>0</v>
      </c>
      <c r="R142" s="241">
        <f t="shared" si="73"/>
        <v>0</v>
      </c>
    </row>
    <row r="143" spans="1:16383" x14ac:dyDescent="0.25">
      <c r="A143" s="47"/>
      <c r="B143" s="51"/>
      <c r="C143" s="111"/>
      <c r="D143" s="56" t="s">
        <v>446</v>
      </c>
      <c r="E143" s="7" t="str">
        <f t="shared" ref="E143:R143" si="74" xml:space="preserve"> E$136</f>
        <v>True up Nominal RCV run-off</v>
      </c>
      <c r="F143" s="241">
        <f t="shared" si="74"/>
        <v>0</v>
      </c>
      <c r="G143" s="241" t="str">
        <f t="shared" si="74"/>
        <v>£m</v>
      </c>
      <c r="H143" s="241">
        <f t="shared" si="74"/>
        <v>0</v>
      </c>
      <c r="I143" s="241">
        <f t="shared" si="74"/>
        <v>0</v>
      </c>
      <c r="J143" s="241">
        <f t="shared" si="74"/>
        <v>0</v>
      </c>
      <c r="K143" s="241">
        <f t="shared" si="74"/>
        <v>0</v>
      </c>
      <c r="L143" s="241">
        <f t="shared" si="74"/>
        <v>0</v>
      </c>
      <c r="M143" s="241">
        <f t="shared" si="74"/>
        <v>0</v>
      </c>
      <c r="N143" s="241">
        <f t="shared" si="74"/>
        <v>0</v>
      </c>
      <c r="O143" s="241">
        <f t="shared" si="74"/>
        <v>0</v>
      </c>
      <c r="P143" s="241">
        <f t="shared" si="74"/>
        <v>0</v>
      </c>
      <c r="Q143" s="241">
        <f t="shared" si="74"/>
        <v>0</v>
      </c>
      <c r="R143" s="241">
        <f t="shared" si="74"/>
        <v>0</v>
      </c>
    </row>
    <row r="144" spans="1:16383" s="138" customFormat="1" x14ac:dyDescent="0.25">
      <c r="A144" s="134"/>
      <c r="B144" s="135"/>
      <c r="C144" s="268"/>
      <c r="D144" s="137"/>
      <c r="E144" s="138" t="s">
        <v>483</v>
      </c>
      <c r="G144" s="163" t="s">
        <v>238</v>
      </c>
      <c r="J144" s="242">
        <f t="shared" ref="J144:K144" si="75" xml:space="preserve"> IF( J139 = 1, $F138, J141 + J142 - J143)</f>
        <v>0</v>
      </c>
      <c r="K144" s="242">
        <f t="shared" si="75"/>
        <v>0</v>
      </c>
      <c r="L144" s="242">
        <f xml:space="preserve"> IF( L139 = 1, $F138, L141 + L142 - L143)</f>
        <v>0</v>
      </c>
      <c r="M144" s="242">
        <f t="shared" ref="M144:R144" si="76" xml:space="preserve"> IF( M139 = 1, $F138, M141 + M142 - M143)</f>
        <v>0</v>
      </c>
      <c r="N144" s="242">
        <f t="shared" si="76"/>
        <v>0</v>
      </c>
      <c r="O144" s="242">
        <f t="shared" si="76"/>
        <v>0</v>
      </c>
      <c r="P144" s="242">
        <f t="shared" si="76"/>
        <v>0</v>
      </c>
      <c r="Q144" s="242">
        <f t="shared" si="76"/>
        <v>0</v>
      </c>
      <c r="R144" s="242">
        <f t="shared" si="76"/>
        <v>0</v>
      </c>
    </row>
    <row r="145" spans="1:18" x14ac:dyDescent="0.25"/>
    <row r="146" spans="1:18" s="92" customFormat="1" x14ac:dyDescent="0.25">
      <c r="A146" s="164"/>
      <c r="B146" s="165"/>
      <c r="C146" s="166"/>
      <c r="D146" s="167"/>
      <c r="E146" s="179" t="str">
        <f t="shared" ref="E146:R146" si="77" xml:space="preserve"> E$141</f>
        <v>True up Nominal RCV balance BEG</v>
      </c>
      <c r="F146" s="185">
        <f t="shared" si="77"/>
        <v>0</v>
      </c>
      <c r="G146" s="185" t="str">
        <f t="shared" si="77"/>
        <v>£m</v>
      </c>
      <c r="H146" s="185">
        <f t="shared" si="77"/>
        <v>0</v>
      </c>
      <c r="I146" s="185">
        <f t="shared" si="77"/>
        <v>0</v>
      </c>
      <c r="J146" s="185">
        <f t="shared" si="77"/>
        <v>0</v>
      </c>
      <c r="K146" s="185">
        <f t="shared" si="77"/>
        <v>0</v>
      </c>
      <c r="L146" s="185">
        <f t="shared" si="77"/>
        <v>0</v>
      </c>
      <c r="M146" s="185">
        <f t="shared" si="77"/>
        <v>0</v>
      </c>
      <c r="N146" s="185">
        <f t="shared" si="77"/>
        <v>0</v>
      </c>
      <c r="O146" s="185">
        <f t="shared" si="77"/>
        <v>0</v>
      </c>
      <c r="P146" s="185">
        <f t="shared" si="77"/>
        <v>0</v>
      </c>
      <c r="Q146" s="185">
        <f t="shared" si="77"/>
        <v>0</v>
      </c>
      <c r="R146" s="185">
        <f t="shared" si="77"/>
        <v>0</v>
      </c>
    </row>
    <row r="147" spans="1:18" s="92" customFormat="1" x14ac:dyDescent="0.25">
      <c r="A147" s="164"/>
      <c r="B147" s="165"/>
      <c r="C147" s="166"/>
      <c r="D147" s="167"/>
      <c r="E147" s="179" t="str">
        <f t="shared" ref="E147:R147" si="78" xml:space="preserve"> E$131</f>
        <v>True up RCV indexation</v>
      </c>
      <c r="F147" s="185">
        <f t="shared" si="78"/>
        <v>0</v>
      </c>
      <c r="G147" s="185" t="str">
        <f t="shared" si="78"/>
        <v>£m</v>
      </c>
      <c r="H147" s="185">
        <f t="shared" si="78"/>
        <v>0</v>
      </c>
      <c r="I147" s="185">
        <f t="shared" si="78"/>
        <v>0</v>
      </c>
      <c r="J147" s="185">
        <f t="shared" si="78"/>
        <v>0</v>
      </c>
      <c r="K147" s="185">
        <f t="shared" si="78"/>
        <v>0</v>
      </c>
      <c r="L147" s="185">
        <f t="shared" si="78"/>
        <v>0</v>
      </c>
      <c r="M147" s="185">
        <f t="shared" si="78"/>
        <v>0</v>
      </c>
      <c r="N147" s="185">
        <f t="shared" si="78"/>
        <v>0</v>
      </c>
      <c r="O147" s="185">
        <f t="shared" si="78"/>
        <v>0</v>
      </c>
      <c r="P147" s="185">
        <f t="shared" si="78"/>
        <v>0</v>
      </c>
      <c r="Q147" s="185">
        <f t="shared" si="78"/>
        <v>0</v>
      </c>
      <c r="R147" s="185">
        <f t="shared" si="78"/>
        <v>0</v>
      </c>
    </row>
    <row r="148" spans="1:18" s="92" customFormat="1" x14ac:dyDescent="0.25">
      <c r="A148" s="164"/>
      <c r="B148" s="165"/>
      <c r="C148" s="166"/>
      <c r="D148" s="167"/>
      <c r="E148" s="179" t="str">
        <f t="shared" ref="E148:R148" si="79" xml:space="preserve"> E$144</f>
        <v>True up Nominal RCV balance END</v>
      </c>
      <c r="F148" s="185">
        <f t="shared" si="79"/>
        <v>0</v>
      </c>
      <c r="G148" s="185" t="str">
        <f t="shared" si="79"/>
        <v>£m</v>
      </c>
      <c r="H148" s="185">
        <f t="shared" si="79"/>
        <v>0</v>
      </c>
      <c r="I148" s="185">
        <f t="shared" si="79"/>
        <v>0</v>
      </c>
      <c r="J148" s="185">
        <f t="shared" si="79"/>
        <v>0</v>
      </c>
      <c r="K148" s="185">
        <f t="shared" si="79"/>
        <v>0</v>
      </c>
      <c r="L148" s="185">
        <f t="shared" si="79"/>
        <v>0</v>
      </c>
      <c r="M148" s="185">
        <f t="shared" si="79"/>
        <v>0</v>
      </c>
      <c r="N148" s="185">
        <f t="shared" si="79"/>
        <v>0</v>
      </c>
      <c r="O148" s="185">
        <f t="shared" si="79"/>
        <v>0</v>
      </c>
      <c r="P148" s="185">
        <f t="shared" si="79"/>
        <v>0</v>
      </c>
      <c r="Q148" s="185">
        <f t="shared" si="79"/>
        <v>0</v>
      </c>
      <c r="R148" s="185">
        <f t="shared" si="79"/>
        <v>0</v>
      </c>
    </row>
    <row r="149" spans="1:18" x14ac:dyDescent="0.25">
      <c r="A149" s="49"/>
      <c r="C149" s="267"/>
      <c r="D149" s="57"/>
      <c r="E149" s="7" t="s">
        <v>484</v>
      </c>
      <c r="F149" s="243"/>
      <c r="G149" s="185" t="s">
        <v>238</v>
      </c>
      <c r="H149" s="243"/>
      <c r="I149" s="243"/>
      <c r="J149" s="185">
        <f t="shared" ref="J149:L149" si="80" xml:space="preserve"> ( (J146+J147) + J148) / 2</f>
        <v>0</v>
      </c>
      <c r="K149" s="185">
        <f t="shared" si="80"/>
        <v>0</v>
      </c>
      <c r="L149" s="185">
        <f t="shared" si="80"/>
        <v>0</v>
      </c>
      <c r="M149" s="185">
        <f xml:space="preserve"> ( (M146+M147) + M148) / 2</f>
        <v>0</v>
      </c>
      <c r="N149" s="185">
        <f t="shared" ref="N149:R149" si="81" xml:space="preserve"> ( (N146+N147) + N148) / 2</f>
        <v>0</v>
      </c>
      <c r="O149" s="185">
        <f t="shared" si="81"/>
        <v>0</v>
      </c>
      <c r="P149" s="185">
        <f t="shared" si="81"/>
        <v>0</v>
      </c>
      <c r="Q149" s="185">
        <f t="shared" si="81"/>
        <v>0</v>
      </c>
      <c r="R149" s="185">
        <f t="shared" si="81"/>
        <v>0</v>
      </c>
    </row>
    <row r="150" spans="1:18" x14ac:dyDescent="0.25"/>
    <row r="151" spans="1:18" s="205" customFormat="1" x14ac:dyDescent="0.25">
      <c r="A151" s="201"/>
      <c r="B151" s="202"/>
      <c r="C151" s="203"/>
      <c r="D151" s="204"/>
      <c r="E151" s="205" t="str">
        <f xml:space="preserve"> InpR!E$107</f>
        <v>WACC on RCV - CPI(H) + RPI wedge bf and additions - WWN</v>
      </c>
      <c r="F151" s="205">
        <f xml:space="preserve"> InpR!F$107</f>
        <v>0</v>
      </c>
      <c r="G151" s="223" t="str">
        <f xml:space="preserve"> InpR!G$107</f>
        <v>%</v>
      </c>
      <c r="H151" s="205">
        <f xml:space="preserve"> InpR!H$107</f>
        <v>0</v>
      </c>
      <c r="I151" s="205">
        <f xml:space="preserve"> InpR!I$107</f>
        <v>0</v>
      </c>
      <c r="J151" s="205">
        <f xml:space="preserve"> InpR!J$107</f>
        <v>0</v>
      </c>
      <c r="K151" s="205">
        <f xml:space="preserve"> InpR!K$107</f>
        <v>0</v>
      </c>
      <c r="L151" s="205">
        <f xml:space="preserve"> InpR!L$107</f>
        <v>0</v>
      </c>
      <c r="M151" s="205">
        <f xml:space="preserve"> InpR!M$107</f>
        <v>1.920357193840716E-2</v>
      </c>
      <c r="N151" s="205">
        <f xml:space="preserve"> InpR!N$107</f>
        <v>1.920357193840716E-2</v>
      </c>
      <c r="O151" s="205">
        <f xml:space="preserve"> InpR!O$107</f>
        <v>1.920357193840716E-2</v>
      </c>
      <c r="P151" s="335">
        <f xml:space="preserve"> InpR!P$107</f>
        <v>1.920357193840716E-2</v>
      </c>
      <c r="Q151" s="205">
        <f xml:space="preserve"> InpR!Q$107</f>
        <v>1.920357193840716E-2</v>
      </c>
      <c r="R151" s="205">
        <f xml:space="preserve"> InpR!R$107</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2" xml:space="preserve"> F$149</f>
        <v>0</v>
      </c>
      <c r="G153" s="185" t="str">
        <f t="shared" si="82"/>
        <v>£m</v>
      </c>
      <c r="H153" s="185">
        <f t="shared" si="82"/>
        <v>0</v>
      </c>
      <c r="I153" s="185">
        <f t="shared" si="82"/>
        <v>0</v>
      </c>
      <c r="J153" s="185">
        <f t="shared" si="82"/>
        <v>0</v>
      </c>
      <c r="K153" s="185">
        <f t="shared" si="82"/>
        <v>0</v>
      </c>
      <c r="L153" s="185">
        <f t="shared" si="82"/>
        <v>0</v>
      </c>
      <c r="M153" s="185">
        <f t="shared" si="82"/>
        <v>0</v>
      </c>
      <c r="N153" s="185">
        <f t="shared" si="82"/>
        <v>0</v>
      </c>
      <c r="O153" s="185">
        <f t="shared" si="82"/>
        <v>0</v>
      </c>
      <c r="P153" s="185">
        <f t="shared" si="82"/>
        <v>0</v>
      </c>
      <c r="Q153" s="185">
        <f t="shared" si="82"/>
        <v>0</v>
      </c>
      <c r="R153" s="185">
        <f t="shared" si="82"/>
        <v>0</v>
      </c>
    </row>
    <row r="154" spans="1:18" x14ac:dyDescent="0.25">
      <c r="C154" s="267"/>
      <c r="E154" s="7" t="s">
        <v>485</v>
      </c>
      <c r="F154" s="243"/>
      <c r="G154" s="184" t="s">
        <v>238</v>
      </c>
      <c r="H154" s="243"/>
      <c r="I154" s="243"/>
      <c r="J154" s="245">
        <f t="shared" ref="J154:K154" si="83">J151*J152*J153</f>
        <v>0</v>
      </c>
      <c r="K154" s="245">
        <f t="shared" si="83"/>
        <v>0</v>
      </c>
      <c r="L154" s="245">
        <f>L151*L152*L153</f>
        <v>0</v>
      </c>
      <c r="M154" s="245">
        <f t="shared" ref="M154:R154" si="84">M151*M152*M153</f>
        <v>0</v>
      </c>
      <c r="N154" s="245">
        <f t="shared" si="84"/>
        <v>0</v>
      </c>
      <c r="O154" s="245">
        <f t="shared" si="84"/>
        <v>0</v>
      </c>
      <c r="P154" s="245">
        <f t="shared" si="84"/>
        <v>0</v>
      </c>
      <c r="Q154" s="245">
        <f t="shared" si="84"/>
        <v>0</v>
      </c>
      <c r="R154" s="245">
        <f t="shared" si="8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5" xml:space="preserve"> F$136</f>
        <v>0</v>
      </c>
      <c r="G156" s="185" t="str">
        <f t="shared" si="85"/>
        <v>£m</v>
      </c>
      <c r="H156" s="185">
        <f t="shared" si="85"/>
        <v>0</v>
      </c>
      <c r="I156" s="185">
        <f t="shared" si="85"/>
        <v>0</v>
      </c>
      <c r="J156" s="185">
        <f t="shared" si="85"/>
        <v>0</v>
      </c>
      <c r="K156" s="185">
        <f t="shared" si="85"/>
        <v>0</v>
      </c>
      <c r="L156" s="185">
        <f t="shared" si="85"/>
        <v>0</v>
      </c>
      <c r="M156" s="185">
        <f t="shared" si="85"/>
        <v>0</v>
      </c>
      <c r="N156" s="185">
        <f t="shared" si="85"/>
        <v>0</v>
      </c>
      <c r="O156" s="185">
        <f t="shared" si="85"/>
        <v>0</v>
      </c>
      <c r="P156" s="185">
        <f t="shared" si="85"/>
        <v>0</v>
      </c>
      <c r="Q156" s="185">
        <f t="shared" si="85"/>
        <v>0</v>
      </c>
      <c r="R156" s="185">
        <f t="shared" si="85"/>
        <v>0</v>
      </c>
    </row>
    <row r="157" spans="1:18" s="92" customFormat="1" x14ac:dyDescent="0.25">
      <c r="A157" s="164"/>
      <c r="B157" s="165"/>
      <c r="C157" s="166"/>
      <c r="D157" s="167"/>
      <c r="E157" s="179" t="str">
        <f xml:space="preserve"> E$154</f>
        <v>True up Nominal return</v>
      </c>
      <c r="F157" s="185">
        <f t="shared" ref="F157:R157" si="86" xml:space="preserve"> F$154</f>
        <v>0</v>
      </c>
      <c r="G157" s="185" t="str">
        <f t="shared" si="86"/>
        <v>£m</v>
      </c>
      <c r="H157" s="185">
        <f t="shared" si="86"/>
        <v>0</v>
      </c>
      <c r="I157" s="185">
        <f t="shared" si="86"/>
        <v>0</v>
      </c>
      <c r="J157" s="185">
        <f t="shared" si="86"/>
        <v>0</v>
      </c>
      <c r="K157" s="185">
        <f t="shared" si="86"/>
        <v>0</v>
      </c>
      <c r="L157" s="185">
        <f t="shared" si="86"/>
        <v>0</v>
      </c>
      <c r="M157" s="185">
        <f t="shared" si="86"/>
        <v>0</v>
      </c>
      <c r="N157" s="185">
        <f t="shared" si="86"/>
        <v>0</v>
      </c>
      <c r="O157" s="185">
        <f t="shared" si="86"/>
        <v>0</v>
      </c>
      <c r="P157" s="185">
        <f t="shared" si="86"/>
        <v>0</v>
      </c>
      <c r="Q157" s="185">
        <f t="shared" si="86"/>
        <v>0</v>
      </c>
      <c r="R157" s="185">
        <f t="shared" si="86"/>
        <v>0</v>
      </c>
    </row>
    <row r="158" spans="1:18" x14ac:dyDescent="0.25">
      <c r="C158" s="267"/>
      <c r="E158" s="7" t="s">
        <v>486</v>
      </c>
      <c r="F158" s="243"/>
      <c r="G158" s="184" t="str">
        <f t="shared" ref="G158" si="87">G$273</f>
        <v>£m</v>
      </c>
      <c r="H158" s="243">
        <f>SUM(J158:R158)</f>
        <v>0</v>
      </c>
      <c r="I158" s="243"/>
      <c r="J158" s="243">
        <f t="shared" ref="J158:K158" si="88">SUM(J156:J157)</f>
        <v>0</v>
      </c>
      <c r="K158" s="243">
        <f t="shared" si="88"/>
        <v>0</v>
      </c>
      <c r="L158" s="243">
        <f>SUM(L156:L157)</f>
        <v>0</v>
      </c>
      <c r="M158" s="243">
        <f t="shared" ref="M158:R158" si="89">SUM(M156:M157)</f>
        <v>0</v>
      </c>
      <c r="N158" s="243">
        <f t="shared" si="89"/>
        <v>0</v>
      </c>
      <c r="O158" s="243">
        <f t="shared" si="89"/>
        <v>0</v>
      </c>
      <c r="P158" s="243">
        <f t="shared" si="89"/>
        <v>0</v>
      </c>
      <c r="Q158" s="243">
        <f t="shared" si="89"/>
        <v>0</v>
      </c>
      <c r="R158" s="243">
        <f t="shared" si="89"/>
        <v>0</v>
      </c>
    </row>
    <row r="159" spans="1:18" x14ac:dyDescent="0.25"/>
    <row r="160" spans="1:18" x14ac:dyDescent="0.25">
      <c r="C160" s="267"/>
      <c r="E160" s="7" t="str">
        <f xml:space="preserve"> E$158</f>
        <v>Total True up Nominal revenue to company</v>
      </c>
      <c r="F160" s="243">
        <f t="shared" ref="F160:R160" si="90" xml:space="preserve"> F$158</f>
        <v>0</v>
      </c>
      <c r="G160" s="184" t="str">
        <f t="shared" si="90"/>
        <v>£m</v>
      </c>
      <c r="H160" s="243">
        <f t="shared" si="90"/>
        <v>0</v>
      </c>
      <c r="I160" s="243">
        <f t="shared" si="90"/>
        <v>0</v>
      </c>
      <c r="J160" s="243">
        <f t="shared" si="90"/>
        <v>0</v>
      </c>
      <c r="K160" s="243">
        <f t="shared" si="90"/>
        <v>0</v>
      </c>
      <c r="L160" s="243">
        <f t="shared" si="90"/>
        <v>0</v>
      </c>
      <c r="M160" s="243">
        <f t="shared" si="90"/>
        <v>0</v>
      </c>
      <c r="N160" s="243">
        <f t="shared" si="90"/>
        <v>0</v>
      </c>
      <c r="O160" s="243">
        <f t="shared" si="90"/>
        <v>0</v>
      </c>
      <c r="P160" s="243">
        <f t="shared" si="90"/>
        <v>0</v>
      </c>
      <c r="Q160" s="243">
        <f t="shared" si="90"/>
        <v>0</v>
      </c>
      <c r="R160" s="243">
        <f t="shared" si="90"/>
        <v>0</v>
      </c>
    </row>
    <row r="161" spans="1:16383" x14ac:dyDescent="0.25">
      <c r="E161" s="7" t="str">
        <f t="shared" ref="E161:R161" si="91" xml:space="preserve"> E$109</f>
        <v>Total nominal revenue company should have received</v>
      </c>
      <c r="F161" s="184">
        <f t="shared" si="91"/>
        <v>0</v>
      </c>
      <c r="G161" s="184" t="str">
        <f t="shared" si="91"/>
        <v>£m</v>
      </c>
      <c r="H161" s="184">
        <f t="shared" si="91"/>
        <v>0</v>
      </c>
      <c r="I161" s="184">
        <f t="shared" si="91"/>
        <v>0</v>
      </c>
      <c r="J161" s="184">
        <f t="shared" si="91"/>
        <v>0</v>
      </c>
      <c r="K161" s="184">
        <f t="shared" si="91"/>
        <v>0</v>
      </c>
      <c r="L161" s="184">
        <f t="shared" si="91"/>
        <v>0</v>
      </c>
      <c r="M161" s="184">
        <f t="shared" si="91"/>
        <v>0</v>
      </c>
      <c r="N161" s="184">
        <f t="shared" si="91"/>
        <v>0</v>
      </c>
      <c r="O161" s="184">
        <f t="shared" si="91"/>
        <v>0</v>
      </c>
      <c r="P161" s="184">
        <f t="shared" si="91"/>
        <v>0</v>
      </c>
      <c r="Q161" s="184">
        <f t="shared" si="91"/>
        <v>0</v>
      </c>
      <c r="R161" s="184">
        <f t="shared" si="91"/>
        <v>0</v>
      </c>
    </row>
    <row r="162" spans="1:16383" s="185" customFormat="1" x14ac:dyDescent="0.25">
      <c r="A162" s="251"/>
      <c r="B162" s="181"/>
      <c r="C162" s="182"/>
      <c r="D162" s="252"/>
      <c r="E162" s="7" t="s">
        <v>487</v>
      </c>
      <c r="G162" s="185" t="str">
        <f t="shared" ref="G162" si="92" xml:space="preserve"> G$271</f>
        <v>£m</v>
      </c>
      <c r="H162" s="185">
        <f xml:space="preserve"> SUM(J162:R162)</f>
        <v>0</v>
      </c>
      <c r="J162" s="185">
        <f t="shared" ref="J162:K162" si="93">J161-J160</f>
        <v>0</v>
      </c>
      <c r="K162" s="185">
        <f t="shared" si="93"/>
        <v>0</v>
      </c>
      <c r="L162" s="185">
        <f>L161-L160</f>
        <v>0</v>
      </c>
      <c r="M162" s="185">
        <f>M161-M160</f>
        <v>0</v>
      </c>
      <c r="N162" s="185">
        <f t="shared" ref="N162:R162" si="94">N161-N160</f>
        <v>0</v>
      </c>
      <c r="O162" s="185">
        <f t="shared" si="94"/>
        <v>0</v>
      </c>
      <c r="P162" s="185">
        <f t="shared" si="94"/>
        <v>0</v>
      </c>
      <c r="Q162" s="185">
        <f t="shared" si="94"/>
        <v>0</v>
      </c>
      <c r="R162" s="185">
        <f t="shared" si="94"/>
        <v>0</v>
      </c>
    </row>
    <row r="163" spans="1:16383" x14ac:dyDescent="0.25"/>
    <row r="164" spans="1:16383" s="185" customFormat="1" x14ac:dyDescent="0.25">
      <c r="A164" s="251"/>
      <c r="B164" s="181"/>
      <c r="C164" s="182"/>
      <c r="D164" s="252"/>
      <c r="E164" s="7" t="str">
        <f xml:space="preserve"> E$162</f>
        <v>Value of True up nominal</v>
      </c>
      <c r="F164" s="185">
        <f t="shared" ref="F164:R164" si="95" xml:space="preserve"> F$162</f>
        <v>0</v>
      </c>
      <c r="G164" s="185" t="str">
        <f t="shared" si="95"/>
        <v>£m</v>
      </c>
      <c r="H164" s="185">
        <f t="shared" si="95"/>
        <v>0</v>
      </c>
      <c r="I164" s="185">
        <f t="shared" si="95"/>
        <v>0</v>
      </c>
      <c r="J164" s="185">
        <f t="shared" si="95"/>
        <v>0</v>
      </c>
      <c r="K164" s="185">
        <f t="shared" si="95"/>
        <v>0</v>
      </c>
      <c r="L164" s="185">
        <f t="shared" si="95"/>
        <v>0</v>
      </c>
      <c r="M164" s="185">
        <f t="shared" si="95"/>
        <v>0</v>
      </c>
      <c r="N164" s="185">
        <f t="shared" si="95"/>
        <v>0</v>
      </c>
      <c r="O164" s="185">
        <f t="shared" si="95"/>
        <v>0</v>
      </c>
      <c r="P164" s="185">
        <f t="shared" si="95"/>
        <v>0</v>
      </c>
      <c r="Q164" s="185">
        <f t="shared" si="95"/>
        <v>0</v>
      </c>
      <c r="R164" s="185">
        <f t="shared" si="95"/>
        <v>0</v>
      </c>
    </row>
    <row r="165" spans="1:16383" s="91" customFormat="1" x14ac:dyDescent="0.25">
      <c r="A165" s="170"/>
      <c r="B165" s="165"/>
      <c r="C165" s="166"/>
      <c r="D165" s="171"/>
      <c r="E165" s="7" t="str">
        <f t="shared" ref="E165:R165" si="96" xml:space="preserve"> E$117</f>
        <v>Difference in nominal revenue</v>
      </c>
      <c r="F165" s="247">
        <f t="shared" si="96"/>
        <v>0</v>
      </c>
      <c r="G165" s="247" t="str">
        <f t="shared" si="96"/>
        <v>£m</v>
      </c>
      <c r="H165" s="247">
        <f t="shared" si="96"/>
        <v>0</v>
      </c>
      <c r="I165" s="247">
        <f t="shared" si="96"/>
        <v>0</v>
      </c>
      <c r="J165" s="247">
        <f t="shared" si="96"/>
        <v>0</v>
      </c>
      <c r="K165" s="247">
        <f t="shared" si="96"/>
        <v>0</v>
      </c>
      <c r="L165" s="247">
        <f t="shared" si="96"/>
        <v>0</v>
      </c>
      <c r="M165" s="247">
        <f t="shared" si="96"/>
        <v>0</v>
      </c>
      <c r="N165" s="247">
        <f t="shared" si="96"/>
        <v>0</v>
      </c>
      <c r="O165" s="247">
        <f t="shared" si="96"/>
        <v>0</v>
      </c>
      <c r="P165" s="247">
        <f t="shared" si="96"/>
        <v>0</v>
      </c>
      <c r="Q165" s="247">
        <f t="shared" si="96"/>
        <v>0</v>
      </c>
      <c r="R165" s="247">
        <f t="shared" si="9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97">IF( ABS(J164-J165)&gt;ChK_Tol,1,0)</f>
        <v>0</v>
      </c>
      <c r="K166" s="225">
        <f t="shared" si="97"/>
        <v>0</v>
      </c>
      <c r="L166" s="225">
        <f t="shared" si="97"/>
        <v>0</v>
      </c>
      <c r="M166" s="225">
        <f t="shared" si="97"/>
        <v>0</v>
      </c>
      <c r="N166" s="225">
        <f t="shared" si="97"/>
        <v>0</v>
      </c>
      <c r="O166" s="225">
        <f t="shared" si="97"/>
        <v>0</v>
      </c>
      <c r="P166" s="225">
        <f t="shared" si="97"/>
        <v>0</v>
      </c>
      <c r="Q166" s="225">
        <f t="shared" si="97"/>
        <v>0</v>
      </c>
      <c r="R166" s="225">
        <f t="shared" si="97"/>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98" xml:space="preserve"> N164=N165</f>
        <v>1</v>
      </c>
      <c r="O167" s="186" t="b">
        <f t="shared" si="98"/>
        <v>1</v>
      </c>
      <c r="P167" s="186" t="b">
        <f t="shared" si="98"/>
        <v>1</v>
      </c>
      <c r="Q167" s="186" t="b">
        <f t="shared" si="9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99">F$37</f>
        <v>0</v>
      </c>
      <c r="G170" s="168" t="str">
        <f t="shared" si="99"/>
        <v>£m</v>
      </c>
      <c r="H170" s="246">
        <f t="shared" si="99"/>
        <v>0</v>
      </c>
      <c r="I170" s="246">
        <f t="shared" si="99"/>
        <v>0</v>
      </c>
      <c r="J170" s="185">
        <f t="shared" si="99"/>
        <v>0</v>
      </c>
      <c r="K170" s="185">
        <f t="shared" si="99"/>
        <v>0</v>
      </c>
      <c r="L170" s="185">
        <f t="shared" si="99"/>
        <v>0</v>
      </c>
      <c r="M170" s="185">
        <f t="shared" si="99"/>
        <v>0</v>
      </c>
      <c r="N170" s="185">
        <f t="shared" si="99"/>
        <v>0</v>
      </c>
      <c r="O170" s="185">
        <f t="shared" si="99"/>
        <v>0</v>
      </c>
      <c r="P170" s="185">
        <f t="shared" si="99"/>
        <v>0</v>
      </c>
      <c r="Q170" s="185">
        <f t="shared" si="99"/>
        <v>0</v>
      </c>
      <c r="R170" s="185">
        <f t="shared" si="99"/>
        <v>0</v>
      </c>
    </row>
    <row r="171" spans="1:16383" x14ac:dyDescent="0.25">
      <c r="A171" s="49"/>
      <c r="D171" s="57"/>
      <c r="E171" s="7" t="str">
        <f>E$89 &amp; " - nominal"</f>
        <v>Actual Nominal RCV balance END - nominal</v>
      </c>
      <c r="F171" s="185">
        <f t="shared" ref="F171:R171" si="100">F$89</f>
        <v>0</v>
      </c>
      <c r="G171" s="168" t="str">
        <f t="shared" si="100"/>
        <v>£m</v>
      </c>
      <c r="H171" s="246">
        <f t="shared" si="100"/>
        <v>0</v>
      </c>
      <c r="I171" s="246">
        <f t="shared" si="100"/>
        <v>0</v>
      </c>
      <c r="J171" s="185">
        <f t="shared" si="100"/>
        <v>0</v>
      </c>
      <c r="K171" s="185">
        <f t="shared" si="100"/>
        <v>0</v>
      </c>
      <c r="L171" s="185">
        <f t="shared" si="100"/>
        <v>0</v>
      </c>
      <c r="M171" s="185">
        <f t="shared" si="100"/>
        <v>0</v>
      </c>
      <c r="N171" s="185">
        <f t="shared" si="100"/>
        <v>0</v>
      </c>
      <c r="O171" s="185">
        <f t="shared" si="100"/>
        <v>0</v>
      </c>
      <c r="P171" s="185">
        <f t="shared" si="100"/>
        <v>0</v>
      </c>
      <c r="Q171" s="185">
        <f t="shared" si="100"/>
        <v>0</v>
      </c>
      <c r="R171" s="185">
        <f t="shared" si="10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1" xml:space="preserve"> IF(K$172 = 0, 0, K170 / K$172)</f>
        <v>0</v>
      </c>
      <c r="L174" s="185">
        <f t="shared" si="101"/>
        <v>0</v>
      </c>
      <c r="M174" s="185">
        <f t="shared" si="101"/>
        <v>0</v>
      </c>
      <c r="N174" s="185">
        <f t="shared" si="101"/>
        <v>0</v>
      </c>
      <c r="O174" s="185">
        <f t="shared" si="101"/>
        <v>0</v>
      </c>
      <c r="P174" s="185">
        <f t="shared" si="101"/>
        <v>0</v>
      </c>
      <c r="Q174" s="185">
        <f t="shared" si="101"/>
        <v>0</v>
      </c>
      <c r="R174" s="185">
        <f t="shared" si="101"/>
        <v>0</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02" xml:space="preserve"> IF(J$173 = 0, 0, J171 / J$173)</f>
        <v>0</v>
      </c>
      <c r="K175" s="185">
        <f t="shared" si="102"/>
        <v>0</v>
      </c>
      <c r="L175" s="185">
        <f xml:space="preserve"> IF(L$173 = 0, 0, L171 / L$173)</f>
        <v>0</v>
      </c>
      <c r="M175" s="185">
        <f t="shared" ref="M175:R175" si="103" xml:space="preserve"> IF(M$173 = 0, 0, M171 / M$173)</f>
        <v>0</v>
      </c>
      <c r="N175" s="185">
        <f t="shared" si="103"/>
        <v>0</v>
      </c>
      <c r="O175" s="185">
        <f t="shared" si="103"/>
        <v>0</v>
      </c>
      <c r="P175" s="185">
        <f t="shared" si="103"/>
        <v>0</v>
      </c>
      <c r="Q175" s="185">
        <f t="shared" si="103"/>
        <v>0</v>
      </c>
      <c r="R175" s="185">
        <f t="shared" si="10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04">K175-K174</f>
        <v>0</v>
      </c>
      <c r="L176" s="185">
        <f t="shared" si="104"/>
        <v>0</v>
      </c>
      <c r="M176" s="185">
        <f t="shared" si="104"/>
        <v>0</v>
      </c>
      <c r="N176" s="185">
        <f t="shared" si="104"/>
        <v>0</v>
      </c>
      <c r="O176" s="185">
        <f t="shared" si="104"/>
        <v>0</v>
      </c>
      <c r="P176" s="185">
        <f t="shared" si="104"/>
        <v>0</v>
      </c>
      <c r="Q176" s="185">
        <f t="shared" si="104"/>
        <v>0</v>
      </c>
      <c r="R176" s="185">
        <f t="shared" si="104"/>
        <v>0</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5">F$176</f>
        <v>0</v>
      </c>
      <c r="G178" s="168" t="str">
        <f t="shared" si="105"/>
        <v>£m</v>
      </c>
      <c r="H178" s="246">
        <f t="shared" si="105"/>
        <v>0</v>
      </c>
      <c r="I178" s="246">
        <f t="shared" si="105"/>
        <v>0</v>
      </c>
      <c r="J178" s="185">
        <f t="shared" si="105"/>
        <v>0</v>
      </c>
      <c r="K178" s="185">
        <f t="shared" si="105"/>
        <v>0</v>
      </c>
      <c r="L178" s="185">
        <f t="shared" si="105"/>
        <v>0</v>
      </c>
      <c r="M178" s="185">
        <f t="shared" si="105"/>
        <v>0</v>
      </c>
      <c r="N178" s="185">
        <f t="shared" si="105"/>
        <v>0</v>
      </c>
      <c r="O178" s="185">
        <f t="shared" si="105"/>
        <v>0</v>
      </c>
      <c r="P178" s="185">
        <f t="shared" si="105"/>
        <v>0</v>
      </c>
      <c r="Q178" s="185">
        <f t="shared" si="105"/>
        <v>0</v>
      </c>
      <c r="R178" s="185">
        <f t="shared" si="105"/>
        <v>0</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544</v>
      </c>
      <c r="F180" s="260"/>
      <c r="G180" s="260" t="s">
        <v>238</v>
      </c>
      <c r="H180" s="259"/>
      <c r="I180" s="260"/>
      <c r="J180" s="260">
        <f xml:space="preserve"> J178 * J179</f>
        <v>0</v>
      </c>
      <c r="K180" s="260">
        <f t="shared" ref="K180:P180" si="106" xml:space="preserve"> K178 * K179</f>
        <v>0</v>
      </c>
      <c r="L180" s="260">
        <f t="shared" si="106"/>
        <v>0</v>
      </c>
      <c r="M180" s="260">
        <f t="shared" si="106"/>
        <v>0</v>
      </c>
      <c r="N180" s="260">
        <f t="shared" si="106"/>
        <v>0</v>
      </c>
      <c r="O180" s="260">
        <f t="shared" si="106"/>
        <v>0</v>
      </c>
      <c r="P180" s="260">
        <f t="shared" si="106"/>
        <v>0</v>
      </c>
      <c r="Q180" s="260">
        <f xml:space="preserve"> Q178 * Q179</f>
        <v>0</v>
      </c>
      <c r="R180" s="260">
        <f t="shared" ref="R180" si="10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08">F$136</f>
        <v>0</v>
      </c>
      <c r="G184" s="184" t="str">
        <f t="shared" si="108"/>
        <v>£m</v>
      </c>
      <c r="H184" s="184">
        <f t="shared" si="108"/>
        <v>0</v>
      </c>
      <c r="I184" s="184">
        <f t="shared" si="108"/>
        <v>0</v>
      </c>
      <c r="J184" s="184">
        <f t="shared" si="108"/>
        <v>0</v>
      </c>
      <c r="K184" s="184">
        <f t="shared" si="108"/>
        <v>0</v>
      </c>
      <c r="L184" s="184">
        <f t="shared" si="108"/>
        <v>0</v>
      </c>
      <c r="M184" s="184">
        <f t="shared" si="108"/>
        <v>0</v>
      </c>
      <c r="N184" s="184">
        <f t="shared" si="108"/>
        <v>0</v>
      </c>
      <c r="O184" s="184">
        <f t="shared" si="108"/>
        <v>0</v>
      </c>
      <c r="P184" s="184">
        <f t="shared" si="108"/>
        <v>0</v>
      </c>
      <c r="Q184" s="184">
        <f t="shared" si="108"/>
        <v>0</v>
      </c>
      <c r="R184" s="184">
        <f t="shared" si="10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09">F$154</f>
        <v>0</v>
      </c>
      <c r="G185" s="184" t="str">
        <f t="shared" si="109"/>
        <v>£m</v>
      </c>
      <c r="H185" s="184">
        <f t="shared" si="109"/>
        <v>0</v>
      </c>
      <c r="I185" s="184">
        <f t="shared" si="109"/>
        <v>0</v>
      </c>
      <c r="J185" s="184">
        <f t="shared" si="109"/>
        <v>0</v>
      </c>
      <c r="K185" s="184">
        <f t="shared" si="109"/>
        <v>0</v>
      </c>
      <c r="L185" s="184">
        <f t="shared" si="109"/>
        <v>0</v>
      </c>
      <c r="M185" s="184">
        <f t="shared" si="109"/>
        <v>0</v>
      </c>
      <c r="N185" s="184">
        <f t="shared" si="109"/>
        <v>0</v>
      </c>
      <c r="O185" s="184">
        <f t="shared" si="109"/>
        <v>0</v>
      </c>
      <c r="P185" s="184">
        <f t="shared" si="109"/>
        <v>0</v>
      </c>
      <c r="Q185" s="184">
        <f t="shared" si="109"/>
        <v>0</v>
      </c>
      <c r="R185" s="184">
        <f t="shared" si="10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0">F$158</f>
        <v>0</v>
      </c>
      <c r="G186" s="184" t="str">
        <f t="shared" si="110"/>
        <v>£m</v>
      </c>
      <c r="H186" s="184">
        <f t="shared" si="110"/>
        <v>0</v>
      </c>
      <c r="I186" s="184">
        <f t="shared" si="110"/>
        <v>0</v>
      </c>
      <c r="J186" s="184">
        <f t="shared" si="110"/>
        <v>0</v>
      </c>
      <c r="K186" s="184">
        <f t="shared" si="110"/>
        <v>0</v>
      </c>
      <c r="L186" s="184">
        <f t="shared" si="110"/>
        <v>0</v>
      </c>
      <c r="M186" s="184">
        <f t="shared" si="110"/>
        <v>0</v>
      </c>
      <c r="N186" s="184">
        <f t="shared" si="110"/>
        <v>0</v>
      </c>
      <c r="O186" s="184">
        <f t="shared" si="110"/>
        <v>0</v>
      </c>
      <c r="P186" s="184">
        <f t="shared" si="110"/>
        <v>0</v>
      </c>
      <c r="Q186" s="184">
        <f t="shared" si="110"/>
        <v>0</v>
      </c>
      <c r="R186" s="184">
        <f t="shared" si="11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1">F$107</f>
        <v>0</v>
      </c>
      <c r="G187" s="184" t="str">
        <f t="shared" si="111"/>
        <v>£m</v>
      </c>
      <c r="H187" s="184">
        <f t="shared" si="111"/>
        <v>0</v>
      </c>
      <c r="I187" s="184">
        <f t="shared" si="111"/>
        <v>0</v>
      </c>
      <c r="J187" s="184">
        <f t="shared" si="111"/>
        <v>0</v>
      </c>
      <c r="K187" s="184">
        <f t="shared" si="111"/>
        <v>0</v>
      </c>
      <c r="L187" s="184">
        <f t="shared" si="111"/>
        <v>0</v>
      </c>
      <c r="M187" s="184">
        <f t="shared" si="111"/>
        <v>0</v>
      </c>
      <c r="N187" s="184">
        <f t="shared" si="111"/>
        <v>0</v>
      </c>
      <c r="O187" s="184">
        <f t="shared" si="111"/>
        <v>0</v>
      </c>
      <c r="P187" s="184">
        <f t="shared" si="111"/>
        <v>0</v>
      </c>
      <c r="Q187" s="184">
        <f t="shared" si="111"/>
        <v>0</v>
      </c>
      <c r="R187" s="184">
        <f t="shared" si="11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2">F$108</f>
        <v>0</v>
      </c>
      <c r="G188" s="184" t="str">
        <f t="shared" si="112"/>
        <v>£m</v>
      </c>
      <c r="H188" s="184">
        <f t="shared" si="112"/>
        <v>0</v>
      </c>
      <c r="I188" s="184">
        <f t="shared" si="112"/>
        <v>0</v>
      </c>
      <c r="J188" s="184">
        <f t="shared" si="112"/>
        <v>0</v>
      </c>
      <c r="K188" s="184">
        <f t="shared" si="112"/>
        <v>0</v>
      </c>
      <c r="L188" s="184">
        <f t="shared" si="112"/>
        <v>0</v>
      </c>
      <c r="M188" s="184">
        <f t="shared" si="112"/>
        <v>0</v>
      </c>
      <c r="N188" s="184">
        <f t="shared" si="112"/>
        <v>0</v>
      </c>
      <c r="O188" s="184">
        <f t="shared" si="112"/>
        <v>0</v>
      </c>
      <c r="P188" s="184">
        <f t="shared" si="112"/>
        <v>0</v>
      </c>
      <c r="Q188" s="184">
        <f t="shared" si="112"/>
        <v>0</v>
      </c>
      <c r="R188" s="184">
        <f t="shared" si="11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3">F$109</f>
        <v>0</v>
      </c>
      <c r="G189" s="184" t="str">
        <f t="shared" si="113"/>
        <v>£m</v>
      </c>
      <c r="H189" s="184">
        <f t="shared" si="113"/>
        <v>0</v>
      </c>
      <c r="I189" s="184">
        <f t="shared" si="113"/>
        <v>0</v>
      </c>
      <c r="J189" s="184">
        <f t="shared" si="113"/>
        <v>0</v>
      </c>
      <c r="K189" s="184">
        <f t="shared" si="113"/>
        <v>0</v>
      </c>
      <c r="L189" s="184">
        <f t="shared" si="113"/>
        <v>0</v>
      </c>
      <c r="M189" s="184">
        <f t="shared" si="113"/>
        <v>0</v>
      </c>
      <c r="N189" s="184">
        <f t="shared" si="113"/>
        <v>0</v>
      </c>
      <c r="O189" s="184">
        <f t="shared" si="113"/>
        <v>0</v>
      </c>
      <c r="P189" s="184">
        <f t="shared" si="113"/>
        <v>0</v>
      </c>
      <c r="Q189" s="184">
        <f t="shared" si="113"/>
        <v>0</v>
      </c>
      <c r="R189" s="184">
        <f t="shared" si="11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4" xml:space="preserve"> E184 &amp; "- real"</f>
        <v>True up Nominal RCV run-off- real</v>
      </c>
      <c r="F192" s="185"/>
      <c r="G192" s="185" t="str">
        <f t="shared" ref="G192:G197" si="115">G$273</f>
        <v>£m</v>
      </c>
      <c r="H192" s="243">
        <f t="shared" ref="H192:H197" si="116">SUM(J192:R192)</f>
        <v>0</v>
      </c>
      <c r="I192" s="185"/>
      <c r="J192" s="185">
        <f xml:space="preserve"> IF(J$190 = 0, 0, J184 / J$190)</f>
        <v>0</v>
      </c>
      <c r="K192" s="185">
        <f t="shared" ref="K192:R192" si="117" xml:space="preserve"> IF(K$190 = 0, 0, K184 / K$190)</f>
        <v>0</v>
      </c>
      <c r="L192" s="185">
        <f t="shared" si="117"/>
        <v>0</v>
      </c>
      <c r="M192" s="185">
        <f t="shared" si="117"/>
        <v>0</v>
      </c>
      <c r="N192" s="185">
        <f t="shared" si="117"/>
        <v>0</v>
      </c>
      <c r="O192" s="185">
        <f t="shared" si="117"/>
        <v>0</v>
      </c>
      <c r="P192" s="185">
        <f t="shared" si="117"/>
        <v>0</v>
      </c>
      <c r="Q192" s="185">
        <f t="shared" si="117"/>
        <v>0</v>
      </c>
      <c r="R192" s="185">
        <f t="shared" si="117"/>
        <v>0</v>
      </c>
      <c r="S192" s="92"/>
      <c r="T192" s="92"/>
      <c r="U192" s="92"/>
      <c r="V192" s="92"/>
      <c r="W192" s="92"/>
      <c r="X192" s="92"/>
      <c r="Y192" s="92"/>
      <c r="Z192" s="92"/>
    </row>
    <row r="193" spans="1:26" s="91" customFormat="1" x14ac:dyDescent="0.25">
      <c r="A193" s="340"/>
      <c r="B193" s="341"/>
      <c r="C193" s="342"/>
      <c r="D193" s="343"/>
      <c r="E193" s="7" t="str">
        <f t="shared" si="114"/>
        <v>True up Nominal return- real</v>
      </c>
      <c r="F193" s="185"/>
      <c r="G193" s="185" t="str">
        <f t="shared" si="115"/>
        <v>£m</v>
      </c>
      <c r="H193" s="243">
        <f t="shared" si="116"/>
        <v>0</v>
      </c>
      <c r="I193" s="185"/>
      <c r="J193" s="185">
        <f t="shared" ref="J193:R193" si="118" xml:space="preserve"> IF(J$190 = 0, 0, J185 / J$190)</f>
        <v>0</v>
      </c>
      <c r="K193" s="185">
        <f t="shared" si="118"/>
        <v>0</v>
      </c>
      <c r="L193" s="185">
        <f t="shared" si="118"/>
        <v>0</v>
      </c>
      <c r="M193" s="185">
        <f t="shared" si="118"/>
        <v>0</v>
      </c>
      <c r="N193" s="185">
        <f t="shared" si="118"/>
        <v>0</v>
      </c>
      <c r="O193" s="185">
        <f t="shared" si="118"/>
        <v>0</v>
      </c>
      <c r="P193" s="185">
        <f t="shared" si="118"/>
        <v>0</v>
      </c>
      <c r="Q193" s="185">
        <f t="shared" si="118"/>
        <v>0</v>
      </c>
      <c r="R193" s="185">
        <f t="shared" si="118"/>
        <v>0</v>
      </c>
      <c r="S193" s="92"/>
      <c r="T193" s="92"/>
      <c r="U193" s="92"/>
      <c r="V193" s="92"/>
      <c r="W193" s="92"/>
      <c r="X193" s="92"/>
      <c r="Y193" s="92"/>
      <c r="Z193" s="92"/>
    </row>
    <row r="194" spans="1:26" s="91" customFormat="1" x14ac:dyDescent="0.25">
      <c r="A194" s="340"/>
      <c r="B194" s="341"/>
      <c r="C194" s="342"/>
      <c r="D194" s="343"/>
      <c r="E194" s="7" t="str">
        <f t="shared" si="114"/>
        <v>Total True up Nominal revenue to company- real</v>
      </c>
      <c r="F194" s="185"/>
      <c r="G194" s="185" t="str">
        <f t="shared" si="115"/>
        <v>£m</v>
      </c>
      <c r="H194" s="243">
        <f t="shared" si="116"/>
        <v>0</v>
      </c>
      <c r="I194" s="185"/>
      <c r="J194" s="185">
        <f t="shared" ref="J194:R194" si="119" xml:space="preserve"> IF(J$190 = 0, 0, J186 / J$190)</f>
        <v>0</v>
      </c>
      <c r="K194" s="185">
        <f t="shared" si="119"/>
        <v>0</v>
      </c>
      <c r="L194" s="185">
        <f t="shared" si="119"/>
        <v>0</v>
      </c>
      <c r="M194" s="185">
        <f t="shared" si="119"/>
        <v>0</v>
      </c>
      <c r="N194" s="185">
        <f t="shared" si="119"/>
        <v>0</v>
      </c>
      <c r="O194" s="185">
        <f t="shared" si="119"/>
        <v>0</v>
      </c>
      <c r="P194" s="185">
        <f t="shared" si="119"/>
        <v>0</v>
      </c>
      <c r="Q194" s="185">
        <f xml:space="preserve"> IF(Q$190 = 0, 0, Q186 / Q$190)</f>
        <v>0</v>
      </c>
      <c r="R194" s="185">
        <f t="shared" si="119"/>
        <v>0</v>
      </c>
      <c r="S194" s="92"/>
      <c r="T194" s="92"/>
      <c r="U194" s="92"/>
      <c r="V194" s="92"/>
      <c r="W194" s="92"/>
      <c r="X194" s="92"/>
      <c r="Y194" s="92"/>
      <c r="Z194" s="92"/>
    </row>
    <row r="195" spans="1:26" s="91" customFormat="1" x14ac:dyDescent="0.25">
      <c r="A195" s="340"/>
      <c r="B195" s="341"/>
      <c r="C195" s="342"/>
      <c r="D195" s="343"/>
      <c r="E195" s="7" t="str">
        <f t="shared" si="114"/>
        <v>RCV run-off company should have received - nominal- real</v>
      </c>
      <c r="F195" s="185"/>
      <c r="G195" s="185" t="str">
        <f t="shared" si="115"/>
        <v>£m</v>
      </c>
      <c r="H195" s="243">
        <f t="shared" si="116"/>
        <v>0</v>
      </c>
      <c r="I195" s="185"/>
      <c r="J195" s="185">
        <f t="shared" ref="J195:L195" si="120" xml:space="preserve"> IF(J$191 = 0, 0, J187 / J$191)</f>
        <v>0</v>
      </c>
      <c r="K195" s="185">
        <f t="shared" si="120"/>
        <v>0</v>
      </c>
      <c r="L195" s="185">
        <f t="shared" si="120"/>
        <v>0</v>
      </c>
      <c r="M195" s="185">
        <f xml:space="preserve"> IF(M$191 = 0, 0, M187 / M$191)</f>
        <v>0</v>
      </c>
      <c r="N195" s="185">
        <f t="shared" ref="N195:Q195" si="121" xml:space="preserve"> IF(N$191 = 0, 0, N187 / N$191)</f>
        <v>0</v>
      </c>
      <c r="O195" s="185">
        <f t="shared" si="121"/>
        <v>0</v>
      </c>
      <c r="P195" s="185">
        <f t="shared" si="121"/>
        <v>0</v>
      </c>
      <c r="Q195" s="185">
        <f t="shared" si="121"/>
        <v>0</v>
      </c>
      <c r="R195" s="185">
        <f t="shared" ref="R195" si="12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14"/>
        <v>Nominal return company should have received- real</v>
      </c>
      <c r="F196" s="185"/>
      <c r="G196" s="185" t="str">
        <f t="shared" si="115"/>
        <v>£m</v>
      </c>
      <c r="H196" s="243">
        <f t="shared" si="116"/>
        <v>0</v>
      </c>
      <c r="I196" s="185"/>
      <c r="J196" s="185">
        <f t="shared" ref="J196:L196" si="123" xml:space="preserve"> IF(J$191 = 0, 0, J188 / J$191)</f>
        <v>0</v>
      </c>
      <c r="K196" s="185">
        <f t="shared" si="123"/>
        <v>0</v>
      </c>
      <c r="L196" s="185">
        <f t="shared" si="123"/>
        <v>0</v>
      </c>
      <c r="M196" s="185">
        <f xml:space="preserve"> IF(M$191 = 0, 0, M188 / M$191)</f>
        <v>0</v>
      </c>
      <c r="N196" s="185">
        <f t="shared" ref="N196:Q196" si="124" xml:space="preserve"> IF(N$191 = 0, 0, N188 / N$191)</f>
        <v>0</v>
      </c>
      <c r="O196" s="185">
        <f t="shared" si="124"/>
        <v>0</v>
      </c>
      <c r="P196" s="185">
        <f t="shared" si="124"/>
        <v>0</v>
      </c>
      <c r="Q196" s="185">
        <f t="shared" si="124"/>
        <v>0</v>
      </c>
      <c r="R196" s="185">
        <f t="shared" ref="R196" si="12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14"/>
        <v>Total nominal revenue company should have received- real</v>
      </c>
      <c r="F197" s="185"/>
      <c r="G197" s="185" t="str">
        <f t="shared" si="115"/>
        <v>£m</v>
      </c>
      <c r="H197" s="243">
        <f t="shared" si="116"/>
        <v>0</v>
      </c>
      <c r="I197" s="185"/>
      <c r="J197" s="185">
        <f t="shared" ref="J197:L197" si="126" xml:space="preserve"> IF(J$191 = 0, 0, J189 / J$191)</f>
        <v>0</v>
      </c>
      <c r="K197" s="185">
        <f t="shared" si="126"/>
        <v>0</v>
      </c>
      <c r="L197" s="185">
        <f t="shared" si="126"/>
        <v>0</v>
      </c>
      <c r="M197" s="185">
        <f xml:space="preserve"> IF(M$191 = 0, 0, M189 / M$191)</f>
        <v>0</v>
      </c>
      <c r="N197" s="185">
        <f t="shared" ref="N197:Q197" si="127" xml:space="preserve"> IF(N$191 = 0, 0, N189 / N$191)</f>
        <v>0</v>
      </c>
      <c r="O197" s="185">
        <f t="shared" si="127"/>
        <v>0</v>
      </c>
      <c r="P197" s="185">
        <f t="shared" si="127"/>
        <v>0</v>
      </c>
      <c r="Q197" s="185">
        <f t="shared" si="127"/>
        <v>0</v>
      </c>
      <c r="R197" s="185">
        <f t="shared" ref="R197" si="12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29">F$192</f>
        <v>0</v>
      </c>
      <c r="G199" s="184" t="str">
        <f t="shared" si="129"/>
        <v>£m</v>
      </c>
      <c r="H199" s="243">
        <f t="shared" si="129"/>
        <v>0</v>
      </c>
      <c r="I199" s="184">
        <f t="shared" si="129"/>
        <v>0</v>
      </c>
      <c r="J199" s="184">
        <f t="shared" si="129"/>
        <v>0</v>
      </c>
      <c r="K199" s="184">
        <f t="shared" si="129"/>
        <v>0</v>
      </c>
      <c r="L199" s="184">
        <f t="shared" si="129"/>
        <v>0</v>
      </c>
      <c r="M199" s="185">
        <f t="shared" si="129"/>
        <v>0</v>
      </c>
      <c r="N199" s="184">
        <f t="shared" si="129"/>
        <v>0</v>
      </c>
      <c r="O199" s="184">
        <f t="shared" si="129"/>
        <v>0</v>
      </c>
      <c r="P199" s="184">
        <f t="shared" si="129"/>
        <v>0</v>
      </c>
      <c r="Q199" s="184">
        <f t="shared" si="129"/>
        <v>0</v>
      </c>
      <c r="R199" s="184">
        <f t="shared" si="12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0">F$195</f>
        <v>0</v>
      </c>
      <c r="G200" s="184" t="str">
        <f t="shared" si="130"/>
        <v>£m</v>
      </c>
      <c r="H200" s="243">
        <f t="shared" si="130"/>
        <v>0</v>
      </c>
      <c r="I200" s="184">
        <f t="shared" si="130"/>
        <v>0</v>
      </c>
      <c r="J200" s="184">
        <f t="shared" si="130"/>
        <v>0</v>
      </c>
      <c r="K200" s="184">
        <f t="shared" si="130"/>
        <v>0</v>
      </c>
      <c r="L200" s="184">
        <f t="shared" si="130"/>
        <v>0</v>
      </c>
      <c r="M200" s="185">
        <f t="shared" si="130"/>
        <v>0</v>
      </c>
      <c r="N200" s="184">
        <f t="shared" si="130"/>
        <v>0</v>
      </c>
      <c r="O200" s="184">
        <f t="shared" si="130"/>
        <v>0</v>
      </c>
      <c r="P200" s="184">
        <f t="shared" si="130"/>
        <v>0</v>
      </c>
      <c r="Q200" s="184">
        <f t="shared" si="130"/>
        <v>0</v>
      </c>
      <c r="R200" s="184">
        <f t="shared" si="130"/>
        <v>0</v>
      </c>
      <c r="S200" s="92"/>
      <c r="T200" s="92"/>
      <c r="U200" s="92"/>
      <c r="V200" s="92"/>
      <c r="W200" s="92"/>
      <c r="X200" s="92"/>
      <c r="Y200" s="92"/>
      <c r="Z200" s="92"/>
    </row>
    <row r="201" spans="1:26" x14ac:dyDescent="0.25">
      <c r="C201" s="267"/>
      <c r="E201" s="7" t="s">
        <v>495</v>
      </c>
      <c r="G201" s="7" t="s">
        <v>238</v>
      </c>
      <c r="H201" s="185">
        <f xml:space="preserve"> SUM(J201:R201)</f>
        <v>0</v>
      </c>
      <c r="I201" s="185"/>
      <c r="J201" s="184">
        <f t="shared" ref="J201:K201" si="131">J200-J199</f>
        <v>0</v>
      </c>
      <c r="K201" s="184">
        <f t="shared" si="131"/>
        <v>0</v>
      </c>
      <c r="L201" s="184">
        <f>L200-L199</f>
        <v>0</v>
      </c>
      <c r="M201" s="185">
        <f>M200-M199</f>
        <v>0</v>
      </c>
      <c r="N201" s="184">
        <f t="shared" ref="N201:R201" si="132">N200-N199</f>
        <v>0</v>
      </c>
      <c r="O201" s="184">
        <f t="shared" si="132"/>
        <v>0</v>
      </c>
      <c r="P201" s="184">
        <f t="shared" si="132"/>
        <v>0</v>
      </c>
      <c r="Q201" s="184">
        <f t="shared" si="132"/>
        <v>0</v>
      </c>
      <c r="R201" s="184">
        <f t="shared" si="132"/>
        <v>0</v>
      </c>
    </row>
    <row r="202" spans="1:26" x14ac:dyDescent="0.25"/>
    <row r="203" spans="1:26" x14ac:dyDescent="0.25">
      <c r="C203" s="267"/>
      <c r="E203" s="7" t="str">
        <f>E$193</f>
        <v>True up Nominal return- real</v>
      </c>
      <c r="F203" s="7">
        <f t="shared" ref="F203:R203" si="133">F$193</f>
        <v>0</v>
      </c>
      <c r="G203" s="7" t="str">
        <f t="shared" si="133"/>
        <v>£m</v>
      </c>
      <c r="H203" s="185">
        <f t="shared" si="133"/>
        <v>0</v>
      </c>
      <c r="I203" s="185">
        <f t="shared" si="133"/>
        <v>0</v>
      </c>
      <c r="J203" s="184">
        <f t="shared" si="133"/>
        <v>0</v>
      </c>
      <c r="K203" s="184">
        <f t="shared" si="133"/>
        <v>0</v>
      </c>
      <c r="L203" s="184">
        <f t="shared" si="133"/>
        <v>0</v>
      </c>
      <c r="M203" s="185">
        <f t="shared" si="133"/>
        <v>0</v>
      </c>
      <c r="N203" s="184">
        <f t="shared" si="133"/>
        <v>0</v>
      </c>
      <c r="O203" s="184">
        <f t="shared" si="133"/>
        <v>0</v>
      </c>
      <c r="P203" s="184">
        <f t="shared" si="133"/>
        <v>0</v>
      </c>
      <c r="Q203" s="184">
        <f t="shared" si="133"/>
        <v>0</v>
      </c>
      <c r="R203" s="184">
        <f t="shared" si="133"/>
        <v>0</v>
      </c>
    </row>
    <row r="204" spans="1:26" x14ac:dyDescent="0.25">
      <c r="C204" s="267"/>
      <c r="E204" s="7" t="str">
        <f>E$196</f>
        <v>Nominal return company should have received- real</v>
      </c>
      <c r="F204" s="7">
        <f t="shared" ref="F204:R204" si="134">F$196</f>
        <v>0</v>
      </c>
      <c r="G204" s="7" t="str">
        <f t="shared" si="134"/>
        <v>£m</v>
      </c>
      <c r="H204" s="185">
        <f t="shared" si="134"/>
        <v>0</v>
      </c>
      <c r="I204" s="185">
        <f t="shared" si="134"/>
        <v>0</v>
      </c>
      <c r="J204" s="184">
        <f t="shared" si="134"/>
        <v>0</v>
      </c>
      <c r="K204" s="184">
        <f t="shared" si="134"/>
        <v>0</v>
      </c>
      <c r="L204" s="184">
        <f t="shared" si="134"/>
        <v>0</v>
      </c>
      <c r="M204" s="185">
        <f t="shared" si="134"/>
        <v>0</v>
      </c>
      <c r="N204" s="184">
        <f t="shared" si="134"/>
        <v>0</v>
      </c>
      <c r="O204" s="184">
        <f t="shared" si="134"/>
        <v>0</v>
      </c>
      <c r="P204" s="184">
        <f t="shared" si="134"/>
        <v>0</v>
      </c>
      <c r="Q204" s="184">
        <f t="shared" si="134"/>
        <v>0</v>
      </c>
      <c r="R204" s="184">
        <f t="shared" si="134"/>
        <v>0</v>
      </c>
    </row>
    <row r="205" spans="1:26" x14ac:dyDescent="0.25">
      <c r="C205" s="267"/>
      <c r="E205" s="7" t="s">
        <v>496</v>
      </c>
      <c r="G205" s="7" t="s">
        <v>238</v>
      </c>
      <c r="H205" s="185">
        <f xml:space="preserve"> SUM(J205:R205)</f>
        <v>0</v>
      </c>
      <c r="I205" s="185"/>
      <c r="J205" s="184">
        <f t="shared" ref="J205:K205" si="135">J204-J203</f>
        <v>0</v>
      </c>
      <c r="K205" s="184">
        <f t="shared" si="135"/>
        <v>0</v>
      </c>
      <c r="L205" s="184">
        <f>L204-L203</f>
        <v>0</v>
      </c>
      <c r="M205" s="185">
        <f>M204-M203</f>
        <v>0</v>
      </c>
      <c r="N205" s="184">
        <f t="shared" ref="N205" si="136">N204-N203</f>
        <v>0</v>
      </c>
      <c r="O205" s="184">
        <f>O204-O203</f>
        <v>0</v>
      </c>
      <c r="P205" s="184">
        <f t="shared" ref="P205:R205" si="137">P204-P203</f>
        <v>0</v>
      </c>
      <c r="Q205" s="184">
        <f t="shared" si="137"/>
        <v>0</v>
      </c>
      <c r="R205" s="184">
        <f t="shared" si="137"/>
        <v>0</v>
      </c>
    </row>
    <row r="206" spans="1:26" x14ac:dyDescent="0.25"/>
    <row r="207" spans="1:26" x14ac:dyDescent="0.25">
      <c r="C207" s="267"/>
      <c r="E207" s="7" t="str">
        <f>E$194</f>
        <v>Total True up Nominal revenue to company- real</v>
      </c>
      <c r="F207" s="7">
        <f t="shared" ref="F207:R207" si="138">F$194</f>
        <v>0</v>
      </c>
      <c r="G207" s="7" t="str">
        <f t="shared" si="138"/>
        <v>£m</v>
      </c>
      <c r="H207" s="185">
        <f t="shared" si="138"/>
        <v>0</v>
      </c>
      <c r="I207" s="185">
        <f t="shared" si="138"/>
        <v>0</v>
      </c>
      <c r="J207" s="184">
        <f t="shared" si="138"/>
        <v>0</v>
      </c>
      <c r="K207" s="184">
        <f t="shared" si="138"/>
        <v>0</v>
      </c>
      <c r="L207" s="184">
        <f t="shared" si="138"/>
        <v>0</v>
      </c>
      <c r="M207" s="185">
        <f t="shared" si="138"/>
        <v>0</v>
      </c>
      <c r="N207" s="184">
        <f t="shared" si="138"/>
        <v>0</v>
      </c>
      <c r="O207" s="184">
        <f t="shared" si="138"/>
        <v>0</v>
      </c>
      <c r="P207" s="184">
        <f t="shared" si="138"/>
        <v>0</v>
      </c>
      <c r="Q207" s="184">
        <f t="shared" si="138"/>
        <v>0</v>
      </c>
      <c r="R207" s="184">
        <f t="shared" si="138"/>
        <v>0</v>
      </c>
    </row>
    <row r="208" spans="1:26" x14ac:dyDescent="0.25">
      <c r="C208" s="267"/>
      <c r="E208" s="7" t="str">
        <f>E$197</f>
        <v>Total nominal revenue company should have received- real</v>
      </c>
      <c r="F208" s="7">
        <f t="shared" ref="F208:R208" si="139">F$197</f>
        <v>0</v>
      </c>
      <c r="G208" s="7" t="str">
        <f t="shared" si="139"/>
        <v>£m</v>
      </c>
      <c r="H208" s="185">
        <f t="shared" si="139"/>
        <v>0</v>
      </c>
      <c r="I208" s="185">
        <f t="shared" si="139"/>
        <v>0</v>
      </c>
      <c r="J208" s="184">
        <f t="shared" si="139"/>
        <v>0</v>
      </c>
      <c r="K208" s="184">
        <f t="shared" si="139"/>
        <v>0</v>
      </c>
      <c r="L208" s="184">
        <f t="shared" si="139"/>
        <v>0</v>
      </c>
      <c r="M208" s="185">
        <f t="shared" si="139"/>
        <v>0</v>
      </c>
      <c r="N208" s="184">
        <f t="shared" si="139"/>
        <v>0</v>
      </c>
      <c r="O208" s="184">
        <f t="shared" si="139"/>
        <v>0</v>
      </c>
      <c r="P208" s="184">
        <f t="shared" si="139"/>
        <v>0</v>
      </c>
      <c r="Q208" s="184">
        <f t="shared" si="139"/>
        <v>0</v>
      </c>
      <c r="R208" s="184">
        <f t="shared" si="139"/>
        <v>0</v>
      </c>
    </row>
    <row r="209" spans="1:18" x14ac:dyDescent="0.25">
      <c r="C209" s="267"/>
      <c r="E209" s="7" t="s">
        <v>497</v>
      </c>
      <c r="G209" s="7" t="s">
        <v>238</v>
      </c>
      <c r="H209" s="185">
        <f xml:space="preserve"> SUM(J209:R209)</f>
        <v>0</v>
      </c>
      <c r="I209" s="185"/>
      <c r="J209" s="184">
        <f t="shared" ref="J209:K209" si="140">J208-J207</f>
        <v>0</v>
      </c>
      <c r="K209" s="184">
        <f t="shared" si="140"/>
        <v>0</v>
      </c>
      <c r="L209" s="184">
        <f>L208-L207</f>
        <v>0</v>
      </c>
      <c r="M209" s="185">
        <f>M208-M207</f>
        <v>0</v>
      </c>
      <c r="N209" s="184">
        <f t="shared" ref="N209:R209" si="141">N208-N207</f>
        <v>0</v>
      </c>
      <c r="O209" s="184">
        <f t="shared" si="141"/>
        <v>0</v>
      </c>
      <c r="P209" s="184">
        <f t="shared" si="141"/>
        <v>0</v>
      </c>
      <c r="Q209" s="184">
        <f t="shared" si="141"/>
        <v>0</v>
      </c>
      <c r="R209" s="184">
        <f t="shared" si="14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InpR!E$114</f>
        <v>WACC real on RCV - CPI(H) bf and additions - WWN</v>
      </c>
      <c r="F213" s="205">
        <f>InpR!F$114</f>
        <v>0</v>
      </c>
      <c r="G213" s="223" t="str">
        <f>InpR!G$114</f>
        <v>%</v>
      </c>
      <c r="H213" s="205">
        <f>InpR!H$114</f>
        <v>0</v>
      </c>
      <c r="I213" s="205">
        <f>InpR!I$114</f>
        <v>0</v>
      </c>
      <c r="J213" s="205">
        <f>InpR!J$114</f>
        <v>0</v>
      </c>
      <c r="K213" s="205">
        <f>InpR!K$114</f>
        <v>0</v>
      </c>
      <c r="L213" s="205">
        <f>InpR!L$114</f>
        <v>0</v>
      </c>
      <c r="M213" s="205">
        <f>InpR!M$114</f>
        <v>2.9195763820156317E-2</v>
      </c>
      <c r="N213" s="205">
        <f>InpR!N$114</f>
        <v>2.9195763820156317E-2</v>
      </c>
      <c r="O213" s="205">
        <f>InpR!O$114</f>
        <v>2.9195763820156317E-2</v>
      </c>
      <c r="P213" s="205">
        <f>InpR!P$114</f>
        <v>2.9195763820156317E-2</v>
      </c>
      <c r="Q213" s="205">
        <f>InpR!Q$114</f>
        <v>2.9195763820156317E-2</v>
      </c>
      <c r="R213" s="205">
        <f>InpR!R$114</f>
        <v>0</v>
      </c>
    </row>
    <row r="214" spans="1:18" x14ac:dyDescent="0.25">
      <c r="E214" s="7" t="s">
        <v>499</v>
      </c>
      <c r="G214" s="7" t="s">
        <v>500</v>
      </c>
      <c r="J214" s="254">
        <f xml:space="preserve"> (1 + J$289) ^ J$288</f>
        <v>1</v>
      </c>
      <c r="K214" s="254">
        <f t="shared" ref="K214:R214" si="142" xml:space="preserve"> (1 + K$289) ^ K$288</f>
        <v>1</v>
      </c>
      <c r="L214" s="254">
        <f t="shared" si="142"/>
        <v>1</v>
      </c>
      <c r="M214" s="254">
        <f t="shared" si="142"/>
        <v>1.1219976826191176</v>
      </c>
      <c r="N214" s="254">
        <f t="shared" si="142"/>
        <v>1.0901693555893588</v>
      </c>
      <c r="O214" s="254">
        <f t="shared" si="142"/>
        <v>1.059243920265355</v>
      </c>
      <c r="P214" s="254">
        <f t="shared" si="142"/>
        <v>1.0291957638201563</v>
      </c>
      <c r="Q214" s="254">
        <f t="shared" si="142"/>
        <v>1</v>
      </c>
      <c r="R214" s="254">
        <f t="shared" si="142"/>
        <v>1</v>
      </c>
    </row>
    <row r="215" spans="1:18" x14ac:dyDescent="0.25"/>
    <row r="216" spans="1:18" x14ac:dyDescent="0.25">
      <c r="B216" s="61" t="s">
        <v>501</v>
      </c>
    </row>
    <row r="217" spans="1:18" x14ac:dyDescent="0.25">
      <c r="C217" s="267"/>
      <c r="E217" s="7" t="str">
        <f>E$201</f>
        <v>Value of True up run-off - real</v>
      </c>
      <c r="F217" s="7">
        <f t="shared" ref="F217:R217" si="143">F$201</f>
        <v>0</v>
      </c>
      <c r="G217" s="7" t="str">
        <f t="shared" si="143"/>
        <v>£m</v>
      </c>
      <c r="H217" s="185">
        <f t="shared" si="143"/>
        <v>0</v>
      </c>
      <c r="I217" s="185">
        <f t="shared" si="143"/>
        <v>0</v>
      </c>
      <c r="J217" s="184">
        <f t="shared" si="143"/>
        <v>0</v>
      </c>
      <c r="K217" s="184">
        <f t="shared" si="143"/>
        <v>0</v>
      </c>
      <c r="L217" s="184">
        <f t="shared" si="143"/>
        <v>0</v>
      </c>
      <c r="M217" s="185">
        <f t="shared" si="143"/>
        <v>0</v>
      </c>
      <c r="N217" s="184">
        <f t="shared" si="143"/>
        <v>0</v>
      </c>
      <c r="O217" s="184">
        <f t="shared" si="143"/>
        <v>0</v>
      </c>
      <c r="P217" s="184">
        <f t="shared" si="143"/>
        <v>0</v>
      </c>
      <c r="Q217" s="184">
        <f t="shared" si="143"/>
        <v>0</v>
      </c>
      <c r="R217" s="184">
        <f t="shared" si="143"/>
        <v>0</v>
      </c>
    </row>
    <row r="218" spans="1:18" x14ac:dyDescent="0.25">
      <c r="E218" s="7" t="str">
        <f>E$290</f>
        <v xml:space="preserve">Time value of money factor </v>
      </c>
      <c r="F218" s="184">
        <f t="shared" ref="F218:R218" si="144">F$290</f>
        <v>0</v>
      </c>
      <c r="G218" s="7" t="str">
        <f t="shared" si="144"/>
        <v>Factor</v>
      </c>
      <c r="H218" s="246">
        <f t="shared" si="144"/>
        <v>0</v>
      </c>
      <c r="I218" s="246">
        <f t="shared" si="144"/>
        <v>0</v>
      </c>
      <c r="J218" s="184">
        <f t="shared" si="144"/>
        <v>1</v>
      </c>
      <c r="K218" s="184">
        <f t="shared" si="144"/>
        <v>1</v>
      </c>
      <c r="L218" s="184">
        <f t="shared" si="144"/>
        <v>1</v>
      </c>
      <c r="M218" s="185">
        <f t="shared" si="144"/>
        <v>1.1219976826191176</v>
      </c>
      <c r="N218" s="184">
        <f t="shared" si="144"/>
        <v>1.0901693555893588</v>
      </c>
      <c r="O218" s="184">
        <f t="shared" si="144"/>
        <v>1.059243920265355</v>
      </c>
      <c r="P218" s="184">
        <f t="shared" si="144"/>
        <v>1.0291957638201563</v>
      </c>
      <c r="Q218" s="184">
        <f t="shared" si="144"/>
        <v>1</v>
      </c>
      <c r="R218" s="184">
        <f t="shared" si="144"/>
        <v>1</v>
      </c>
    </row>
    <row r="219" spans="1:18" x14ac:dyDescent="0.25">
      <c r="A219" s="49"/>
      <c r="C219" s="267"/>
      <c r="D219" s="57"/>
      <c r="E219" s="7" t="s">
        <v>545</v>
      </c>
      <c r="G219" s="7" t="s">
        <v>238</v>
      </c>
      <c r="H219" s="185">
        <f xml:space="preserve"> SUM(J219:R219)</f>
        <v>0</v>
      </c>
      <c r="J219" s="185">
        <f xml:space="preserve"> J217 * J218</f>
        <v>0</v>
      </c>
      <c r="K219" s="185">
        <f t="shared" ref="K219:R219" si="145" xml:space="preserve"> K217 * K218</f>
        <v>0</v>
      </c>
      <c r="L219" s="185">
        <f t="shared" si="145"/>
        <v>0</v>
      </c>
      <c r="M219" s="185">
        <f t="shared" si="145"/>
        <v>0</v>
      </c>
      <c r="N219" s="185">
        <f t="shared" si="145"/>
        <v>0</v>
      </c>
      <c r="O219" s="185">
        <f t="shared" si="145"/>
        <v>0</v>
      </c>
      <c r="P219" s="185">
        <f t="shared" si="145"/>
        <v>0</v>
      </c>
      <c r="Q219" s="185">
        <f t="shared" si="145"/>
        <v>0</v>
      </c>
      <c r="R219" s="185">
        <f t="shared" si="145"/>
        <v>0</v>
      </c>
    </row>
    <row r="220" spans="1:18" x14ac:dyDescent="0.25"/>
    <row r="221" spans="1:18" x14ac:dyDescent="0.25">
      <c r="B221" s="61" t="s">
        <v>503</v>
      </c>
    </row>
    <row r="222" spans="1:18" x14ac:dyDescent="0.25">
      <c r="E222" s="7" t="str">
        <f>E205</f>
        <v>Value of True up return - real</v>
      </c>
      <c r="F222" s="184">
        <f t="shared" ref="F222:R222" si="146">F205</f>
        <v>0</v>
      </c>
      <c r="G222" s="7" t="str">
        <f t="shared" si="146"/>
        <v>£m</v>
      </c>
      <c r="H222" s="246">
        <f t="shared" si="146"/>
        <v>0</v>
      </c>
      <c r="I222" s="246">
        <f t="shared" si="146"/>
        <v>0</v>
      </c>
      <c r="J222" s="184">
        <f t="shared" si="146"/>
        <v>0</v>
      </c>
      <c r="K222" s="184">
        <f t="shared" si="146"/>
        <v>0</v>
      </c>
      <c r="L222" s="184">
        <f t="shared" si="146"/>
        <v>0</v>
      </c>
      <c r="M222" s="185">
        <f t="shared" si="146"/>
        <v>0</v>
      </c>
      <c r="N222" s="184">
        <f t="shared" si="146"/>
        <v>0</v>
      </c>
      <c r="O222" s="184">
        <f t="shared" si="146"/>
        <v>0</v>
      </c>
      <c r="P222" s="184">
        <f t="shared" si="146"/>
        <v>0</v>
      </c>
      <c r="Q222" s="184">
        <f t="shared" si="146"/>
        <v>0</v>
      </c>
      <c r="R222" s="184">
        <f t="shared" si="146"/>
        <v>0</v>
      </c>
    </row>
    <row r="223" spans="1:18" x14ac:dyDescent="0.25">
      <c r="E223" s="7" t="str">
        <f>E$290</f>
        <v xml:space="preserve">Time value of money factor </v>
      </c>
      <c r="F223" s="184">
        <f t="shared" ref="F223:R223" si="147">F$290</f>
        <v>0</v>
      </c>
      <c r="G223" s="7" t="str">
        <f t="shared" si="147"/>
        <v>Factor</v>
      </c>
      <c r="H223" s="246">
        <f t="shared" si="147"/>
        <v>0</v>
      </c>
      <c r="I223" s="246">
        <f t="shared" si="147"/>
        <v>0</v>
      </c>
      <c r="J223" s="184">
        <f t="shared" si="147"/>
        <v>1</v>
      </c>
      <c r="K223" s="184">
        <f t="shared" si="147"/>
        <v>1</v>
      </c>
      <c r="L223" s="184">
        <f t="shared" si="147"/>
        <v>1</v>
      </c>
      <c r="M223" s="185">
        <f t="shared" si="147"/>
        <v>1.1219976826191176</v>
      </c>
      <c r="N223" s="184">
        <f t="shared" si="147"/>
        <v>1.0901693555893588</v>
      </c>
      <c r="O223" s="184">
        <f t="shared" si="147"/>
        <v>1.059243920265355</v>
      </c>
      <c r="P223" s="184">
        <f t="shared" si="147"/>
        <v>1.0291957638201563</v>
      </c>
      <c r="Q223" s="184">
        <f t="shared" si="147"/>
        <v>1</v>
      </c>
      <c r="R223" s="184">
        <f t="shared" si="147"/>
        <v>1</v>
      </c>
    </row>
    <row r="224" spans="1:18" x14ac:dyDescent="0.25">
      <c r="A224" s="49"/>
      <c r="C224" s="267"/>
      <c r="D224" s="57"/>
      <c r="E224" s="7" t="s">
        <v>546</v>
      </c>
      <c r="G224" s="7" t="s">
        <v>238</v>
      </c>
      <c r="H224" s="185">
        <f xml:space="preserve"> SUM(J224:R224)</f>
        <v>0</v>
      </c>
      <c r="J224" s="185">
        <f xml:space="preserve"> J222 * J223</f>
        <v>0</v>
      </c>
      <c r="K224" s="185">
        <f t="shared" ref="K224:M224" si="148" xml:space="preserve"> K222 * K223</f>
        <v>0</v>
      </c>
      <c r="L224" s="185">
        <f t="shared" si="148"/>
        <v>0</v>
      </c>
      <c r="M224" s="185">
        <f t="shared" si="148"/>
        <v>0</v>
      </c>
      <c r="N224" s="185">
        <f xml:space="preserve"> N222 * N223</f>
        <v>0</v>
      </c>
      <c r="O224" s="185">
        <f t="shared" ref="O224:R224" si="149" xml:space="preserve"> O222 * O223</f>
        <v>0</v>
      </c>
      <c r="P224" s="185">
        <f t="shared" si="149"/>
        <v>0</v>
      </c>
      <c r="Q224" s="185">
        <f t="shared" si="149"/>
        <v>0</v>
      </c>
      <c r="R224" s="185">
        <f t="shared" si="149"/>
        <v>0</v>
      </c>
    </row>
    <row r="225" spans="1:26" x14ac:dyDescent="0.25"/>
    <row r="226" spans="1:26" x14ac:dyDescent="0.25">
      <c r="B226" s="61" t="s">
        <v>505</v>
      </c>
    </row>
    <row r="227" spans="1:26" x14ac:dyDescent="0.25">
      <c r="E227" s="7" t="str">
        <f xml:space="preserve"> E$219</f>
        <v>Revenue adjustment for RCV run-off - real - WWN</v>
      </c>
      <c r="F227" s="184">
        <f t="shared" ref="F227:R227" si="150" xml:space="preserve"> F$219</f>
        <v>0</v>
      </c>
      <c r="G227" s="7" t="str">
        <f t="shared" si="150"/>
        <v>£m</v>
      </c>
      <c r="H227" s="246">
        <f t="shared" si="150"/>
        <v>0</v>
      </c>
      <c r="I227" s="246">
        <f t="shared" si="150"/>
        <v>0</v>
      </c>
      <c r="J227" s="184">
        <f t="shared" si="150"/>
        <v>0</v>
      </c>
      <c r="K227" s="184">
        <f t="shared" si="150"/>
        <v>0</v>
      </c>
      <c r="L227" s="184">
        <f t="shared" si="150"/>
        <v>0</v>
      </c>
      <c r="M227" s="185">
        <f t="shared" si="150"/>
        <v>0</v>
      </c>
      <c r="N227" s="184">
        <f t="shared" si="150"/>
        <v>0</v>
      </c>
      <c r="O227" s="184">
        <f t="shared" si="150"/>
        <v>0</v>
      </c>
      <c r="P227" s="184">
        <f t="shared" si="150"/>
        <v>0</v>
      </c>
      <c r="Q227" s="184">
        <f t="shared" si="150"/>
        <v>0</v>
      </c>
      <c r="R227" s="184">
        <f t="shared" si="150"/>
        <v>0</v>
      </c>
    </row>
    <row r="228" spans="1:26" x14ac:dyDescent="0.25">
      <c r="E228" s="7" t="str">
        <f xml:space="preserve"> E$224</f>
        <v>Revenue adjustment for return - real - WWN</v>
      </c>
      <c r="F228" s="184">
        <f t="shared" ref="F228:R228" si="151" xml:space="preserve"> F$224</f>
        <v>0</v>
      </c>
      <c r="G228" s="7" t="str">
        <f t="shared" si="151"/>
        <v>£m</v>
      </c>
      <c r="H228" s="246">
        <f t="shared" si="151"/>
        <v>0</v>
      </c>
      <c r="I228" s="246">
        <f t="shared" si="151"/>
        <v>0</v>
      </c>
      <c r="J228" s="184">
        <f t="shared" si="151"/>
        <v>0</v>
      </c>
      <c r="K228" s="184">
        <f t="shared" si="151"/>
        <v>0</v>
      </c>
      <c r="L228" s="184">
        <f t="shared" si="151"/>
        <v>0</v>
      </c>
      <c r="M228" s="185">
        <f t="shared" si="151"/>
        <v>0</v>
      </c>
      <c r="N228" s="184">
        <f t="shared" si="151"/>
        <v>0</v>
      </c>
      <c r="O228" s="184">
        <f t="shared" si="151"/>
        <v>0</v>
      </c>
      <c r="P228" s="184">
        <f t="shared" si="151"/>
        <v>0</v>
      </c>
      <c r="Q228" s="184">
        <f t="shared" si="151"/>
        <v>0</v>
      </c>
      <c r="R228" s="184">
        <f t="shared" si="151"/>
        <v>0</v>
      </c>
    </row>
    <row r="229" spans="1:26" x14ac:dyDescent="0.25">
      <c r="A229" s="49"/>
      <c r="C229" s="267"/>
      <c r="D229" s="57"/>
      <c r="E229" s="7" t="s">
        <v>547</v>
      </c>
      <c r="G229" s="7" t="s">
        <v>238</v>
      </c>
      <c r="H229" s="185">
        <f xml:space="preserve"> SUM(J229:R229)</f>
        <v>0</v>
      </c>
      <c r="J229" s="185">
        <f xml:space="preserve"> J$227 + J$228</f>
        <v>0</v>
      </c>
      <c r="K229" s="185">
        <f t="shared" ref="K229:R229" si="152" xml:space="preserve"> K$227 + K$228</f>
        <v>0</v>
      </c>
      <c r="L229" s="185">
        <f t="shared" si="152"/>
        <v>0</v>
      </c>
      <c r="M229" s="185">
        <f t="shared" si="152"/>
        <v>0</v>
      </c>
      <c r="N229" s="185">
        <f t="shared" si="152"/>
        <v>0</v>
      </c>
      <c r="O229" s="185">
        <f t="shared" si="152"/>
        <v>0</v>
      </c>
      <c r="P229" s="185">
        <f t="shared" si="152"/>
        <v>0</v>
      </c>
      <c r="Q229" s="185">
        <f t="shared" si="152"/>
        <v>0</v>
      </c>
      <c r="R229" s="185">
        <f t="shared" si="15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53">SUM(J238:J239)</f>
        <v>0</v>
      </c>
      <c r="K240" s="172">
        <f t="shared" si="153"/>
        <v>0</v>
      </c>
      <c r="L240" s="172">
        <f t="shared" si="153"/>
        <v>3.1522140708501789E-2</v>
      </c>
      <c r="M240" s="172">
        <f>SUM(M238:M239)</f>
        <v>2.4258091513662761E-2</v>
      </c>
      <c r="N240" s="172">
        <f t="shared" ref="N240:R240" si="154">SUM(N238:N239)</f>
        <v>2.9587648685595269E-2</v>
      </c>
      <c r="O240" s="172">
        <f t="shared" si="154"/>
        <v>3.150368327076003E-2</v>
      </c>
      <c r="P240" s="172">
        <f t="shared" si="154"/>
        <v>3.2000000000000695E-2</v>
      </c>
      <c r="Q240" s="172">
        <f t="shared" si="154"/>
        <v>3.1999999999999806E-2</v>
      </c>
      <c r="R240" s="172">
        <f t="shared" si="15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5" xml:space="preserve"> E$258</f>
        <v>2019-20 wedge Nominal RCV balance BEG</v>
      </c>
      <c r="F242" s="244">
        <f xml:space="preserve"> F$258</f>
        <v>0</v>
      </c>
      <c r="G242" s="244" t="str">
        <f t="shared" si="155"/>
        <v>£m</v>
      </c>
      <c r="H242" s="244">
        <f t="shared" si="155"/>
        <v>0</v>
      </c>
      <c r="I242" s="244">
        <f t="shared" si="155"/>
        <v>0</v>
      </c>
      <c r="J242" s="244">
        <f t="shared" si="155"/>
        <v>0</v>
      </c>
      <c r="K242" s="244">
        <f t="shared" si="155"/>
        <v>0</v>
      </c>
      <c r="L242" s="244">
        <f t="shared" si="155"/>
        <v>0</v>
      </c>
      <c r="M242" s="244">
        <f t="shared" si="155"/>
        <v>0</v>
      </c>
      <c r="N242" s="244">
        <f t="shared" si="155"/>
        <v>0</v>
      </c>
      <c r="O242" s="244">
        <f t="shared" si="155"/>
        <v>0</v>
      </c>
      <c r="P242" s="244">
        <f t="shared" si="155"/>
        <v>0</v>
      </c>
      <c r="Q242" s="244">
        <f t="shared" si="155"/>
        <v>0</v>
      </c>
      <c r="R242" s="244">
        <f t="shared" si="155"/>
        <v>0</v>
      </c>
    </row>
    <row r="243" spans="1:16383" x14ac:dyDescent="0.25">
      <c r="E243" s="178" t="str">
        <f t="shared" ref="E243:R243" si="156" xml:space="preserve"> E$240</f>
        <v>2019-20 wedge Indexation percentage</v>
      </c>
      <c r="F243" s="178">
        <f t="shared" si="156"/>
        <v>0</v>
      </c>
      <c r="G243" s="178">
        <f t="shared" si="156"/>
        <v>0</v>
      </c>
      <c r="H243" s="178">
        <f t="shared" si="156"/>
        <v>0</v>
      </c>
      <c r="I243" s="178">
        <f t="shared" si="156"/>
        <v>0</v>
      </c>
      <c r="J243" s="178">
        <f t="shared" si="156"/>
        <v>0</v>
      </c>
      <c r="K243" s="178">
        <f t="shared" si="156"/>
        <v>0</v>
      </c>
      <c r="L243" s="178">
        <f t="shared" si="156"/>
        <v>3.1522140708501789E-2</v>
      </c>
      <c r="M243" s="178">
        <f t="shared" si="156"/>
        <v>2.4258091513662761E-2</v>
      </c>
      <c r="N243" s="178">
        <f t="shared" si="156"/>
        <v>2.9587648685595269E-2</v>
      </c>
      <c r="O243" s="178">
        <f t="shared" si="156"/>
        <v>3.150368327076003E-2</v>
      </c>
      <c r="P243" s="178">
        <f t="shared" si="156"/>
        <v>3.2000000000000695E-2</v>
      </c>
      <c r="Q243" s="178">
        <f t="shared" si="156"/>
        <v>3.1999999999999806E-2</v>
      </c>
      <c r="R243" s="178">
        <f t="shared" si="156"/>
        <v>2.9999999999999805E-2</v>
      </c>
    </row>
    <row r="244" spans="1:16383" x14ac:dyDescent="0.25">
      <c r="A244" s="49"/>
      <c r="C244" s="267"/>
      <c r="D244" s="57"/>
      <c r="E244" s="7" t="s">
        <v>510</v>
      </c>
      <c r="G244" s="92" t="s">
        <v>238</v>
      </c>
      <c r="J244" s="321">
        <f>J242*J243</f>
        <v>0</v>
      </c>
      <c r="K244" s="321">
        <f t="shared" ref="K244:L244" si="157">K242*K243</f>
        <v>0</v>
      </c>
      <c r="L244" s="321">
        <f t="shared" si="157"/>
        <v>0</v>
      </c>
      <c r="M244" s="321">
        <f>M242*M243</f>
        <v>0</v>
      </c>
      <c r="N244" s="321">
        <f t="shared" ref="N244:R244" si="158">N242*N243</f>
        <v>0</v>
      </c>
      <c r="O244" s="321">
        <f t="shared" si="158"/>
        <v>0</v>
      </c>
      <c r="P244" s="321">
        <f t="shared" si="158"/>
        <v>0</v>
      </c>
      <c r="Q244" s="321">
        <f t="shared" si="158"/>
        <v>0</v>
      </c>
      <c r="R244" s="321">
        <f t="shared" si="158"/>
        <v>0</v>
      </c>
    </row>
    <row r="245" spans="1:16383" x14ac:dyDescent="0.25"/>
    <row r="246" spans="1:16383" s="205" customFormat="1" x14ac:dyDescent="0.25">
      <c r="A246" s="201"/>
      <c r="B246" s="202"/>
      <c r="C246" s="203"/>
      <c r="D246" s="204"/>
      <c r="E246" s="37" t="str">
        <f xml:space="preserve"> InpR!E$100</f>
        <v>Run-off rate - CPI(H) + RPI wedge - active - WWN</v>
      </c>
      <c r="F246" s="205">
        <f xml:space="preserve"> InpR!F$100</f>
        <v>0</v>
      </c>
      <c r="G246" s="223" t="str">
        <f xml:space="preserve"> InpR!G$100</f>
        <v>%</v>
      </c>
      <c r="H246" s="205">
        <f xml:space="preserve"> InpR!H$100</f>
        <v>0</v>
      </c>
      <c r="I246" s="205">
        <f xml:space="preserve"> InpR!I$100</f>
        <v>0</v>
      </c>
      <c r="J246" s="205">
        <f xml:space="preserve"> InpR!J$100</f>
        <v>0</v>
      </c>
      <c r="K246" s="205">
        <f xml:space="preserve"> InpR!K$100</f>
        <v>0</v>
      </c>
      <c r="L246" s="205">
        <f xml:space="preserve"> InpR!L$100</f>
        <v>0</v>
      </c>
      <c r="M246" s="205">
        <f xml:space="preserve"> InpR!M$100</f>
        <v>0</v>
      </c>
      <c r="N246" s="205">
        <f xml:space="preserve"> InpR!N$100</f>
        <v>0</v>
      </c>
      <c r="O246" s="205">
        <f xml:space="preserve"> InpR!O$100</f>
        <v>0</v>
      </c>
      <c r="P246" s="205">
        <f xml:space="preserve"> InpR!P$100</f>
        <v>0</v>
      </c>
      <c r="Q246" s="205">
        <f xml:space="preserve"> InpR!Q$100</f>
        <v>0</v>
      </c>
      <c r="R246" s="205">
        <f xml:space="preserve"> InpR!R$100</f>
        <v>0</v>
      </c>
    </row>
    <row r="247" spans="1:16383" s="161" customFormat="1" x14ac:dyDescent="0.25">
      <c r="A247" s="157"/>
      <c r="B247" s="158"/>
      <c r="C247" s="159"/>
      <c r="D247" s="160"/>
      <c r="E247" s="161" t="str">
        <f t="shared" ref="E247:R247" si="159" xml:space="preserve"> E$258</f>
        <v>2019-20 wedge Nominal RCV balance BEG</v>
      </c>
      <c r="F247" s="244">
        <f t="shared" si="159"/>
        <v>0</v>
      </c>
      <c r="G247" s="244" t="str">
        <f t="shared" si="159"/>
        <v>£m</v>
      </c>
      <c r="H247" s="244">
        <f t="shared" si="159"/>
        <v>0</v>
      </c>
      <c r="I247" s="244">
        <f t="shared" si="159"/>
        <v>0</v>
      </c>
      <c r="J247" s="244">
        <f t="shared" si="159"/>
        <v>0</v>
      </c>
      <c r="K247" s="244">
        <f t="shared" si="159"/>
        <v>0</v>
      </c>
      <c r="L247" s="244">
        <f t="shared" si="159"/>
        <v>0</v>
      </c>
      <c r="M247" s="244">
        <f t="shared" si="159"/>
        <v>0</v>
      </c>
      <c r="N247" s="244">
        <f t="shared" si="159"/>
        <v>0</v>
      </c>
      <c r="O247" s="244">
        <f t="shared" si="159"/>
        <v>0</v>
      </c>
      <c r="P247" s="244">
        <f t="shared" si="159"/>
        <v>0</v>
      </c>
      <c r="Q247" s="244">
        <f t="shared" si="159"/>
        <v>0</v>
      </c>
      <c r="R247" s="244">
        <f t="shared" si="159"/>
        <v>0</v>
      </c>
    </row>
    <row r="248" spans="1:16383" s="91" customFormat="1" x14ac:dyDescent="0.25">
      <c r="A248" s="170"/>
      <c r="B248" s="165"/>
      <c r="C248" s="265"/>
      <c r="D248" s="171"/>
      <c r="E248" s="7" t="str">
        <f t="shared" ref="E248:R248" si="160" xml:space="preserve"> E$244</f>
        <v>2019-20 wedge RCV indexation</v>
      </c>
      <c r="F248" s="245">
        <f t="shared" si="160"/>
        <v>0</v>
      </c>
      <c r="G248" s="162" t="str">
        <f t="shared" si="160"/>
        <v>£m</v>
      </c>
      <c r="H248" s="245">
        <f t="shared" si="160"/>
        <v>0</v>
      </c>
      <c r="I248" s="245">
        <f t="shared" si="160"/>
        <v>0</v>
      </c>
      <c r="J248" s="245">
        <f t="shared" si="160"/>
        <v>0</v>
      </c>
      <c r="K248" s="245">
        <f t="shared" si="160"/>
        <v>0</v>
      </c>
      <c r="L248" s="245">
        <f t="shared" si="160"/>
        <v>0</v>
      </c>
      <c r="M248" s="245">
        <f t="shared" si="160"/>
        <v>0</v>
      </c>
      <c r="N248" s="245">
        <f t="shared" si="160"/>
        <v>0</v>
      </c>
      <c r="O248" s="245">
        <f t="shared" si="160"/>
        <v>0</v>
      </c>
      <c r="P248" s="245">
        <f t="shared" si="160"/>
        <v>0</v>
      </c>
      <c r="Q248" s="245">
        <f t="shared" si="160"/>
        <v>0</v>
      </c>
      <c r="R248" s="245">
        <f t="shared" si="160"/>
        <v>0</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1" xml:space="preserve"> (J247+J248) * J246</f>
        <v>0</v>
      </c>
      <c r="K249" s="321">
        <f t="shared" si="161"/>
        <v>0</v>
      </c>
      <c r="L249" s="321">
        <f t="shared" si="161"/>
        <v>0</v>
      </c>
      <c r="M249" s="321">
        <f xml:space="preserve"> (M247+M248) * M246</f>
        <v>0</v>
      </c>
      <c r="N249" s="321">
        <f t="shared" si="161"/>
        <v>0</v>
      </c>
      <c r="O249" s="321">
        <f t="shared" si="161"/>
        <v>0</v>
      </c>
      <c r="P249" s="321">
        <f t="shared" si="161"/>
        <v>0</v>
      </c>
      <c r="Q249" s="321">
        <f t="shared" si="161"/>
        <v>0</v>
      </c>
      <c r="R249" s="321">
        <f t="shared" si="161"/>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E250" s="138"/>
      <c r="F250" s="138"/>
      <c r="G250" s="138"/>
      <c r="H250" s="138"/>
    </row>
    <row r="251" spans="1:16383" s="200" customFormat="1" x14ac:dyDescent="0.25">
      <c r="A251" s="196"/>
      <c r="B251" s="197"/>
      <c r="C251" s="198"/>
      <c r="D251" s="199"/>
      <c r="E251" s="249" t="str">
        <f>InpR!$E$121</f>
        <v>2019-20 RPI-CPIH wedge adjustment at 2017-18 FYA CPIH prices - WWN</v>
      </c>
      <c r="F251" s="249">
        <f>InpR!$F$121</f>
        <v>0</v>
      </c>
      <c r="G251" s="249" t="str">
        <f>InpR!$G$121</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246" t="s">
        <v>548</v>
      </c>
      <c r="F255" s="246">
        <f xml:space="preserve"> $F$251 * $F$254</f>
        <v>0</v>
      </c>
      <c r="G255" s="246"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2" xml:space="preserve"> I261</f>
        <v>0</v>
      </c>
      <c r="K258" s="241">
        <f t="shared" si="162"/>
        <v>0</v>
      </c>
      <c r="L258" s="241">
        <f t="shared" si="162"/>
        <v>0</v>
      </c>
      <c r="M258" s="241">
        <f t="shared" si="162"/>
        <v>0</v>
      </c>
      <c r="N258" s="241">
        <f t="shared" si="162"/>
        <v>0</v>
      </c>
      <c r="O258" s="241">
        <f t="shared" si="162"/>
        <v>0</v>
      </c>
      <c r="P258" s="241">
        <f t="shared" si="162"/>
        <v>0</v>
      </c>
      <c r="Q258" s="241">
        <f t="shared" si="162"/>
        <v>0</v>
      </c>
      <c r="R258" s="241">
        <f t="shared" si="162"/>
        <v>0</v>
      </c>
    </row>
    <row r="259" spans="1:26" x14ac:dyDescent="0.25">
      <c r="A259" s="47"/>
      <c r="B259" s="51"/>
      <c r="C259" s="111"/>
      <c r="D259" s="56" t="s">
        <v>445</v>
      </c>
      <c r="E259" s="7" t="str">
        <f t="shared" ref="E259:R259" si="163" xml:space="preserve"> E$244</f>
        <v>2019-20 wedge RCV indexation</v>
      </c>
      <c r="F259" s="241">
        <f t="shared" si="163"/>
        <v>0</v>
      </c>
      <c r="G259" s="241" t="str">
        <f t="shared" si="163"/>
        <v>£m</v>
      </c>
      <c r="H259" s="241">
        <f t="shared" si="163"/>
        <v>0</v>
      </c>
      <c r="I259" s="241">
        <f t="shared" si="163"/>
        <v>0</v>
      </c>
      <c r="J259" s="241">
        <f t="shared" si="163"/>
        <v>0</v>
      </c>
      <c r="K259" s="241">
        <f t="shared" si="163"/>
        <v>0</v>
      </c>
      <c r="L259" s="241">
        <f t="shared" si="163"/>
        <v>0</v>
      </c>
      <c r="M259" s="241">
        <f t="shared" si="163"/>
        <v>0</v>
      </c>
      <c r="N259" s="241">
        <f t="shared" si="163"/>
        <v>0</v>
      </c>
      <c r="O259" s="241">
        <f t="shared" si="163"/>
        <v>0</v>
      </c>
      <c r="P259" s="241">
        <f t="shared" si="163"/>
        <v>0</v>
      </c>
      <c r="Q259" s="241">
        <f t="shared" si="163"/>
        <v>0</v>
      </c>
      <c r="R259" s="241">
        <f t="shared" si="163"/>
        <v>0</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64" xml:space="preserve"> IF( J256 = 1, $F255, J258 + J259 - J260)</f>
        <v>0</v>
      </c>
      <c r="K261" s="242">
        <f t="shared" si="164"/>
        <v>0</v>
      </c>
      <c r="L261" s="242">
        <f t="shared" si="164"/>
        <v>0</v>
      </c>
      <c r="M261" s="242">
        <f t="shared" si="164"/>
        <v>0</v>
      </c>
      <c r="N261" s="242">
        <f t="shared" si="164"/>
        <v>0</v>
      </c>
      <c r="O261" s="242">
        <f t="shared" si="164"/>
        <v>0</v>
      </c>
      <c r="P261" s="242">
        <f t="shared" si="164"/>
        <v>0</v>
      </c>
      <c r="Q261" s="242">
        <f t="shared" si="164"/>
        <v>0</v>
      </c>
      <c r="R261" s="242">
        <f t="shared" si="164"/>
        <v>0</v>
      </c>
    </row>
    <row r="262" spans="1:26" x14ac:dyDescent="0.25"/>
    <row r="263" spans="1:26" s="92" customFormat="1" x14ac:dyDescent="0.25">
      <c r="A263" s="164"/>
      <c r="B263" s="165"/>
      <c r="C263" s="166"/>
      <c r="D263" s="167"/>
      <c r="E263" s="179" t="str">
        <f t="shared" ref="E263:R263" si="165" xml:space="preserve"> E$258</f>
        <v>2019-20 wedge Nominal RCV balance BEG</v>
      </c>
      <c r="F263" s="185">
        <f t="shared" si="165"/>
        <v>0</v>
      </c>
      <c r="G263" s="185" t="str">
        <f t="shared" si="165"/>
        <v>£m</v>
      </c>
      <c r="H263" s="185">
        <f t="shared" si="165"/>
        <v>0</v>
      </c>
      <c r="I263" s="185">
        <f t="shared" si="165"/>
        <v>0</v>
      </c>
      <c r="J263" s="185">
        <f t="shared" si="165"/>
        <v>0</v>
      </c>
      <c r="K263" s="185">
        <f t="shared" si="165"/>
        <v>0</v>
      </c>
      <c r="L263" s="185">
        <f t="shared" si="165"/>
        <v>0</v>
      </c>
      <c r="M263" s="185">
        <f t="shared" si="165"/>
        <v>0</v>
      </c>
      <c r="N263" s="185">
        <f t="shared" si="165"/>
        <v>0</v>
      </c>
      <c r="O263" s="185">
        <f t="shared" si="165"/>
        <v>0</v>
      </c>
      <c r="P263" s="185">
        <f t="shared" si="165"/>
        <v>0</v>
      </c>
      <c r="Q263" s="185">
        <f t="shared" si="165"/>
        <v>0</v>
      </c>
      <c r="R263" s="185">
        <f t="shared" si="165"/>
        <v>0</v>
      </c>
    </row>
    <row r="264" spans="1:26" s="91" customFormat="1" x14ac:dyDescent="0.25">
      <c r="A264" s="170"/>
      <c r="B264" s="165"/>
      <c r="C264" s="166"/>
      <c r="D264" s="171"/>
      <c r="E264" s="179" t="str">
        <f t="shared" ref="E264:R264" si="166" xml:space="preserve"> E$244</f>
        <v>2019-20 wedge RCV indexation</v>
      </c>
      <c r="F264" s="184">
        <f t="shared" si="166"/>
        <v>0</v>
      </c>
      <c r="G264" s="185" t="str">
        <f t="shared" si="166"/>
        <v>£m</v>
      </c>
      <c r="H264" s="184">
        <f t="shared" si="166"/>
        <v>0</v>
      </c>
      <c r="I264" s="184">
        <f t="shared" si="166"/>
        <v>0</v>
      </c>
      <c r="J264" s="184">
        <f t="shared" si="166"/>
        <v>0</v>
      </c>
      <c r="K264" s="184">
        <f t="shared" si="166"/>
        <v>0</v>
      </c>
      <c r="L264" s="184">
        <f t="shared" si="166"/>
        <v>0</v>
      </c>
      <c r="M264" s="184">
        <f t="shared" si="166"/>
        <v>0</v>
      </c>
      <c r="N264" s="184">
        <f t="shared" si="166"/>
        <v>0</v>
      </c>
      <c r="O264" s="184">
        <f t="shared" si="166"/>
        <v>0</v>
      </c>
      <c r="P264" s="184">
        <f t="shared" si="166"/>
        <v>0</v>
      </c>
      <c r="Q264" s="184">
        <f t="shared" si="166"/>
        <v>0</v>
      </c>
      <c r="R264" s="184">
        <f t="shared" si="166"/>
        <v>0</v>
      </c>
      <c r="S264" s="92"/>
      <c r="T264" s="92"/>
      <c r="U264" s="92"/>
      <c r="V264" s="92"/>
      <c r="W264" s="92"/>
      <c r="X264" s="92"/>
      <c r="Y264" s="92"/>
      <c r="Z264" s="92"/>
    </row>
    <row r="265" spans="1:26" s="92" customFormat="1" x14ac:dyDescent="0.25">
      <c r="A265" s="164"/>
      <c r="B265" s="165"/>
      <c r="C265" s="166"/>
      <c r="D265" s="167"/>
      <c r="E265" s="179" t="str">
        <f t="shared" ref="E265:R265" si="167" xml:space="preserve"> E$261</f>
        <v>2019-20 wedge Nominal RCV balance END</v>
      </c>
      <c r="F265" s="185">
        <f t="shared" si="167"/>
        <v>0</v>
      </c>
      <c r="G265" s="185" t="str">
        <f t="shared" si="167"/>
        <v>£m</v>
      </c>
      <c r="H265" s="185">
        <f t="shared" si="167"/>
        <v>0</v>
      </c>
      <c r="I265" s="185">
        <f t="shared" si="167"/>
        <v>0</v>
      </c>
      <c r="J265" s="185">
        <f t="shared" si="167"/>
        <v>0</v>
      </c>
      <c r="K265" s="185">
        <f t="shared" si="167"/>
        <v>0</v>
      </c>
      <c r="L265" s="185">
        <f t="shared" si="167"/>
        <v>0</v>
      </c>
      <c r="M265" s="185">
        <f t="shared" si="167"/>
        <v>0</v>
      </c>
      <c r="N265" s="185">
        <f t="shared" si="167"/>
        <v>0</v>
      </c>
      <c r="O265" s="185">
        <f t="shared" si="167"/>
        <v>0</v>
      </c>
      <c r="P265" s="185">
        <f t="shared" si="167"/>
        <v>0</v>
      </c>
      <c r="Q265" s="185">
        <f t="shared" si="167"/>
        <v>0</v>
      </c>
      <c r="R265" s="185">
        <f t="shared" si="167"/>
        <v>0</v>
      </c>
    </row>
    <row r="266" spans="1:26" x14ac:dyDescent="0.25">
      <c r="A266" s="49"/>
      <c r="C266" s="267"/>
      <c r="D266" s="57"/>
      <c r="E266" s="7" t="s">
        <v>517</v>
      </c>
      <c r="F266" s="243"/>
      <c r="G266" s="185" t="s">
        <v>238</v>
      </c>
      <c r="H266" s="243"/>
      <c r="I266" s="243"/>
      <c r="J266" s="185">
        <f t="shared" ref="J266:L266" si="168" xml:space="preserve"> ( (J263+J264) + J265) / 2</f>
        <v>0</v>
      </c>
      <c r="K266" s="185">
        <f t="shared" si="168"/>
        <v>0</v>
      </c>
      <c r="L266" s="185">
        <f t="shared" si="168"/>
        <v>0</v>
      </c>
      <c r="M266" s="185">
        <f xml:space="preserve"> ( (M263+M264) + M265) / 2</f>
        <v>0</v>
      </c>
      <c r="N266" s="185">
        <f t="shared" ref="N266:R266" si="169" xml:space="preserve"> ( (N263+N264) + N265) / 2</f>
        <v>0</v>
      </c>
      <c r="O266" s="185">
        <f t="shared" si="169"/>
        <v>0</v>
      </c>
      <c r="P266" s="185">
        <f t="shared" si="169"/>
        <v>0</v>
      </c>
      <c r="Q266" s="185">
        <f t="shared" si="169"/>
        <v>0</v>
      </c>
      <c r="R266" s="185">
        <f t="shared" si="169"/>
        <v>0</v>
      </c>
    </row>
    <row r="267" spans="1:26" x14ac:dyDescent="0.25"/>
    <row r="268" spans="1:26" s="205" customFormat="1" x14ac:dyDescent="0.25">
      <c r="A268" s="201"/>
      <c r="B268" s="202"/>
      <c r="C268" s="203"/>
      <c r="D268" s="204"/>
      <c r="E268" s="205" t="str">
        <f xml:space="preserve"> InpR!E$107</f>
        <v>WACC on RCV - CPI(H) + RPI wedge bf and additions - WWN</v>
      </c>
      <c r="F268" s="205">
        <f xml:space="preserve"> InpR!F$107</f>
        <v>0</v>
      </c>
      <c r="G268" s="223" t="str">
        <f xml:space="preserve"> InpR!G$107</f>
        <v>%</v>
      </c>
      <c r="H268" s="205">
        <f xml:space="preserve"> InpR!H$107</f>
        <v>0</v>
      </c>
      <c r="I268" s="205">
        <f xml:space="preserve"> InpR!I$107</f>
        <v>0</v>
      </c>
      <c r="J268" s="205">
        <f xml:space="preserve"> InpR!J$107</f>
        <v>0</v>
      </c>
      <c r="K268" s="205">
        <f xml:space="preserve"> InpR!K$107</f>
        <v>0</v>
      </c>
      <c r="L268" s="205">
        <f xml:space="preserve"> InpR!L$107</f>
        <v>0</v>
      </c>
      <c r="M268" s="205">
        <f xml:space="preserve"> InpR!M$107</f>
        <v>1.920357193840716E-2</v>
      </c>
      <c r="N268" s="205">
        <f xml:space="preserve"> InpR!N$107</f>
        <v>1.920357193840716E-2</v>
      </c>
      <c r="O268" s="205">
        <f xml:space="preserve"> InpR!O$107</f>
        <v>1.920357193840716E-2</v>
      </c>
      <c r="P268" s="205">
        <f xml:space="preserve"> InpR!P$107</f>
        <v>1.920357193840716E-2</v>
      </c>
      <c r="Q268" s="205">
        <f xml:space="preserve"> InpR!Q$107</f>
        <v>1.920357193840716E-2</v>
      </c>
      <c r="R268" s="205">
        <f xml:space="preserve"> InpR!R$107</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0" xml:space="preserve"> E$266</f>
        <v>2019-20 wedge Nominal RCV average balance</v>
      </c>
      <c r="F270" s="184">
        <f t="shared" si="170"/>
        <v>0</v>
      </c>
      <c r="G270" s="184" t="str">
        <f t="shared" si="170"/>
        <v>£m</v>
      </c>
      <c r="H270" s="245">
        <f t="shared" si="170"/>
        <v>0</v>
      </c>
      <c r="I270" s="184">
        <f t="shared" si="170"/>
        <v>0</v>
      </c>
      <c r="J270" s="245">
        <f t="shared" si="170"/>
        <v>0</v>
      </c>
      <c r="K270" s="245">
        <f t="shared" si="170"/>
        <v>0</v>
      </c>
      <c r="L270" s="245">
        <f t="shared" si="170"/>
        <v>0</v>
      </c>
      <c r="M270" s="245">
        <f xml:space="preserve"> M$266</f>
        <v>0</v>
      </c>
      <c r="N270" s="245">
        <f t="shared" si="170"/>
        <v>0</v>
      </c>
      <c r="O270" s="245">
        <f t="shared" si="170"/>
        <v>0</v>
      </c>
      <c r="P270" s="245">
        <f t="shared" si="170"/>
        <v>0</v>
      </c>
      <c r="Q270" s="245">
        <f t="shared" si="170"/>
        <v>0</v>
      </c>
      <c r="R270" s="245">
        <f t="shared" si="170"/>
        <v>0</v>
      </c>
    </row>
    <row r="271" spans="1:26" x14ac:dyDescent="0.25">
      <c r="C271" s="267"/>
      <c r="E271" s="7" t="s">
        <v>518</v>
      </c>
      <c r="F271" s="243"/>
      <c r="G271" s="184" t="s">
        <v>238</v>
      </c>
      <c r="H271" s="243"/>
      <c r="I271" s="243"/>
      <c r="J271" s="245">
        <f t="shared" ref="J271:K271" si="171">J268*J269*J270</f>
        <v>0</v>
      </c>
      <c r="K271" s="245">
        <f t="shared" si="171"/>
        <v>0</v>
      </c>
      <c r="L271" s="245">
        <f>L268*L269*L270</f>
        <v>0</v>
      </c>
      <c r="M271" s="245">
        <f>M268*M269*M270</f>
        <v>0</v>
      </c>
      <c r="N271" s="245">
        <f t="shared" ref="N271:R271" si="172">N268*N269*N270</f>
        <v>0</v>
      </c>
      <c r="O271" s="245">
        <f t="shared" si="172"/>
        <v>0</v>
      </c>
      <c r="P271" s="245">
        <f t="shared" si="172"/>
        <v>0</v>
      </c>
      <c r="Q271" s="245">
        <f t="shared" si="172"/>
        <v>0</v>
      </c>
      <c r="R271" s="245">
        <f t="shared" si="172"/>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3" xml:space="preserve"> F$249</f>
        <v>0</v>
      </c>
      <c r="G273" s="184" t="str">
        <f t="shared" si="173"/>
        <v>£m</v>
      </c>
      <c r="H273" s="184">
        <f t="shared" si="173"/>
        <v>0</v>
      </c>
      <c r="I273" s="184">
        <f t="shared" si="173"/>
        <v>0</v>
      </c>
      <c r="J273" s="184">
        <f t="shared" si="173"/>
        <v>0</v>
      </c>
      <c r="K273" s="184">
        <f t="shared" si="173"/>
        <v>0</v>
      </c>
      <c r="L273" s="184">
        <f t="shared" si="173"/>
        <v>0</v>
      </c>
      <c r="M273" s="184">
        <f t="shared" si="173"/>
        <v>0</v>
      </c>
      <c r="N273" s="184">
        <f t="shared" si="173"/>
        <v>0</v>
      </c>
      <c r="O273" s="184">
        <f t="shared" si="173"/>
        <v>0</v>
      </c>
      <c r="P273" s="184">
        <f t="shared" si="173"/>
        <v>0</v>
      </c>
      <c r="Q273" s="184">
        <f t="shared" si="173"/>
        <v>0</v>
      </c>
      <c r="R273" s="184">
        <f t="shared" si="173"/>
        <v>0</v>
      </c>
      <c r="S273" s="92"/>
      <c r="T273" s="92"/>
      <c r="U273" s="92"/>
      <c r="V273" s="92"/>
      <c r="W273" s="92"/>
      <c r="X273" s="92"/>
      <c r="Y273" s="92"/>
      <c r="Z273" s="92"/>
    </row>
    <row r="274" spans="1:26" x14ac:dyDescent="0.25">
      <c r="E274" s="7" t="str">
        <f xml:space="preserve"> E$271</f>
        <v>2019-20 wedge Nominal return</v>
      </c>
      <c r="F274" s="184">
        <f t="shared" ref="F274:R274" si="174" xml:space="preserve"> F$271</f>
        <v>0</v>
      </c>
      <c r="G274" s="184" t="str">
        <f t="shared" si="174"/>
        <v>£m</v>
      </c>
      <c r="H274" s="184">
        <f t="shared" si="174"/>
        <v>0</v>
      </c>
      <c r="I274" s="184">
        <f t="shared" si="174"/>
        <v>0</v>
      </c>
      <c r="J274" s="184">
        <f t="shared" si="174"/>
        <v>0</v>
      </c>
      <c r="K274" s="184">
        <f t="shared" si="174"/>
        <v>0</v>
      </c>
      <c r="L274" s="184">
        <f t="shared" si="174"/>
        <v>0</v>
      </c>
      <c r="M274" s="184">
        <f t="shared" si="174"/>
        <v>0</v>
      </c>
      <c r="N274" s="184">
        <f t="shared" si="174"/>
        <v>0</v>
      </c>
      <c r="O274" s="184">
        <f t="shared" si="174"/>
        <v>0</v>
      </c>
      <c r="P274" s="184">
        <f t="shared" si="174"/>
        <v>0</v>
      </c>
      <c r="Q274" s="184">
        <f t="shared" si="174"/>
        <v>0</v>
      </c>
      <c r="R274" s="184">
        <f t="shared" si="174"/>
        <v>0</v>
      </c>
    </row>
    <row r="275" spans="1:26" x14ac:dyDescent="0.25">
      <c r="C275" s="267"/>
      <c r="E275" s="7" t="s">
        <v>519</v>
      </c>
      <c r="F275" s="243"/>
      <c r="G275" s="184" t="str">
        <f t="shared" ref="G275" si="175">G$273</f>
        <v>£m</v>
      </c>
      <c r="H275" s="243">
        <f>SUM(J275:R275)</f>
        <v>0</v>
      </c>
      <c r="I275" s="243"/>
      <c r="J275" s="243">
        <f t="shared" ref="J275:R275" si="176">SUM(J273:J274)</f>
        <v>0</v>
      </c>
      <c r="K275" s="243">
        <f t="shared" si="176"/>
        <v>0</v>
      </c>
      <c r="L275" s="243">
        <f>SUM(L273:L274)</f>
        <v>0</v>
      </c>
      <c r="M275" s="243">
        <f>SUM(M273:M274)</f>
        <v>0</v>
      </c>
      <c r="N275" s="243">
        <f t="shared" si="176"/>
        <v>0</v>
      </c>
      <c r="O275" s="243">
        <f t="shared" si="176"/>
        <v>0</v>
      </c>
      <c r="P275" s="243">
        <f t="shared" si="176"/>
        <v>0</v>
      </c>
      <c r="Q275" s="243">
        <f t="shared" si="176"/>
        <v>0</v>
      </c>
      <c r="R275" s="243">
        <f t="shared" si="176"/>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77">F$249</f>
        <v>0</v>
      </c>
      <c r="G279" s="185" t="str">
        <f t="shared" si="177"/>
        <v>£m</v>
      </c>
      <c r="H279" s="185">
        <f t="shared" si="177"/>
        <v>0</v>
      </c>
      <c r="I279" s="185">
        <f t="shared" si="177"/>
        <v>0</v>
      </c>
      <c r="J279" s="185">
        <f t="shared" si="177"/>
        <v>0</v>
      </c>
      <c r="K279" s="185">
        <f t="shared" si="177"/>
        <v>0</v>
      </c>
      <c r="L279" s="185">
        <f t="shared" si="177"/>
        <v>0</v>
      </c>
      <c r="M279" s="185">
        <f t="shared" si="177"/>
        <v>0</v>
      </c>
      <c r="N279" s="185">
        <f t="shared" si="177"/>
        <v>0</v>
      </c>
      <c r="O279" s="185">
        <f t="shared" si="177"/>
        <v>0</v>
      </c>
      <c r="P279" s="185">
        <f t="shared" si="177"/>
        <v>0</v>
      </c>
      <c r="Q279" s="185">
        <f t="shared" si="177"/>
        <v>0</v>
      </c>
      <c r="R279" s="185">
        <f t="shared" si="177"/>
        <v>0</v>
      </c>
    </row>
    <row r="280" spans="1:26" s="92" customFormat="1" x14ac:dyDescent="0.25">
      <c r="A280" s="164"/>
      <c r="B280" s="165"/>
      <c r="C280" s="166"/>
      <c r="D280" s="167"/>
      <c r="E280" s="7" t="str">
        <f>E$271</f>
        <v>2019-20 wedge Nominal return</v>
      </c>
      <c r="F280" s="185">
        <f t="shared" ref="F280:R280" si="178">F$271</f>
        <v>0</v>
      </c>
      <c r="G280" s="185" t="str">
        <f t="shared" si="178"/>
        <v>£m</v>
      </c>
      <c r="H280" s="185">
        <f t="shared" si="178"/>
        <v>0</v>
      </c>
      <c r="I280" s="185">
        <f t="shared" si="178"/>
        <v>0</v>
      </c>
      <c r="J280" s="185">
        <f t="shared" si="178"/>
        <v>0</v>
      </c>
      <c r="K280" s="185">
        <f t="shared" si="178"/>
        <v>0</v>
      </c>
      <c r="L280" s="185">
        <f t="shared" si="178"/>
        <v>0</v>
      </c>
      <c r="M280" s="185">
        <f t="shared" si="178"/>
        <v>0</v>
      </c>
      <c r="N280" s="185">
        <f t="shared" si="178"/>
        <v>0</v>
      </c>
      <c r="O280" s="185">
        <f t="shared" si="178"/>
        <v>0</v>
      </c>
      <c r="P280" s="185">
        <f t="shared" si="178"/>
        <v>0</v>
      </c>
      <c r="Q280" s="185">
        <f t="shared" si="178"/>
        <v>0</v>
      </c>
      <c r="R280" s="185">
        <f t="shared" si="178"/>
        <v>0</v>
      </c>
    </row>
    <row r="281" spans="1:26" s="92" customFormat="1" x14ac:dyDescent="0.25">
      <c r="A281" s="164"/>
      <c r="B281" s="165"/>
      <c r="C281" s="166"/>
      <c r="D281" s="167"/>
      <c r="E281" s="7" t="str">
        <f>E$275</f>
        <v>Total 2019-20 wedge Nominal revenue to company</v>
      </c>
      <c r="F281" s="185">
        <f t="shared" ref="F281:R281" si="179">F$275</f>
        <v>0</v>
      </c>
      <c r="G281" s="185" t="str">
        <f t="shared" si="179"/>
        <v>£m</v>
      </c>
      <c r="H281" s="185">
        <f t="shared" si="179"/>
        <v>0</v>
      </c>
      <c r="I281" s="185">
        <f t="shared" si="179"/>
        <v>0</v>
      </c>
      <c r="J281" s="185">
        <f t="shared" si="179"/>
        <v>0</v>
      </c>
      <c r="K281" s="185">
        <f t="shared" si="179"/>
        <v>0</v>
      </c>
      <c r="L281" s="185">
        <f t="shared" si="179"/>
        <v>0</v>
      </c>
      <c r="M281" s="185">
        <f t="shared" si="179"/>
        <v>0</v>
      </c>
      <c r="N281" s="185">
        <f t="shared" si="179"/>
        <v>0</v>
      </c>
      <c r="O281" s="185">
        <f t="shared" si="179"/>
        <v>0</v>
      </c>
      <c r="P281" s="185">
        <f t="shared" si="179"/>
        <v>0</v>
      </c>
      <c r="Q281" s="185">
        <f t="shared" si="179"/>
        <v>0</v>
      </c>
      <c r="R281" s="185">
        <f t="shared" si="179"/>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0">G$273</f>
        <v>£m</v>
      </c>
      <c r="H283" s="243">
        <f>SUM(J283:R283)</f>
        <v>0</v>
      </c>
      <c r="I283" s="185"/>
      <c r="J283" s="185">
        <f t="shared" ref="J283:R283" si="181" xml:space="preserve"> IF(J$282 = 0, 0, J279 / J$282)</f>
        <v>0</v>
      </c>
      <c r="K283" s="185">
        <f t="shared" si="181"/>
        <v>0</v>
      </c>
      <c r="L283" s="185">
        <f t="shared" si="181"/>
        <v>0</v>
      </c>
      <c r="M283" s="185">
        <f t="shared" si="181"/>
        <v>0</v>
      </c>
      <c r="N283" s="185">
        <f t="shared" si="181"/>
        <v>0</v>
      </c>
      <c r="O283" s="185">
        <f t="shared" si="181"/>
        <v>0</v>
      </c>
      <c r="P283" s="185">
        <f t="shared" si="181"/>
        <v>0</v>
      </c>
      <c r="Q283" s="185">
        <f t="shared" si="181"/>
        <v>0</v>
      </c>
      <c r="R283" s="185">
        <f t="shared" si="181"/>
        <v>0</v>
      </c>
    </row>
    <row r="284" spans="1:26" s="92" customFormat="1" x14ac:dyDescent="0.25">
      <c r="A284" s="164"/>
      <c r="B284" s="165"/>
      <c r="C284" s="166"/>
      <c r="D284" s="167"/>
      <c r="E284" s="7" t="s">
        <v>521</v>
      </c>
      <c r="F284" s="185"/>
      <c r="G284" s="185" t="str">
        <f t="shared" si="180"/>
        <v>£m</v>
      </c>
      <c r="H284" s="243">
        <f t="shared" ref="H284:H285" si="182">SUM(J284:R284)</f>
        <v>0</v>
      </c>
      <c r="I284" s="185"/>
      <c r="J284" s="185">
        <f t="shared" ref="J284:R284" si="183" xml:space="preserve"> IF(J$282 = 0, 0, J280 / J$282)</f>
        <v>0</v>
      </c>
      <c r="K284" s="185">
        <f t="shared" si="183"/>
        <v>0</v>
      </c>
      <c r="L284" s="185">
        <f t="shared" si="183"/>
        <v>0</v>
      </c>
      <c r="M284" s="185">
        <f t="shared" si="183"/>
        <v>0</v>
      </c>
      <c r="N284" s="185">
        <f t="shared" si="183"/>
        <v>0</v>
      </c>
      <c r="O284" s="185">
        <f t="shared" si="183"/>
        <v>0</v>
      </c>
      <c r="P284" s="185">
        <f t="shared" si="183"/>
        <v>0</v>
      </c>
      <c r="Q284" s="185">
        <f t="shared" si="183"/>
        <v>0</v>
      </c>
      <c r="R284" s="185">
        <f t="shared" si="183"/>
        <v>0</v>
      </c>
    </row>
    <row r="285" spans="1:26" s="92" customFormat="1" x14ac:dyDescent="0.25">
      <c r="A285" s="164"/>
      <c r="B285" s="165"/>
      <c r="C285" s="166"/>
      <c r="D285" s="167"/>
      <c r="E285" s="7" t="s">
        <v>522</v>
      </c>
      <c r="F285" s="185"/>
      <c r="G285" s="185" t="str">
        <f t="shared" si="180"/>
        <v>£m</v>
      </c>
      <c r="H285" s="243">
        <f t="shared" si="182"/>
        <v>0</v>
      </c>
      <c r="I285" s="185"/>
      <c r="J285" s="185">
        <f t="shared" ref="J285:R285" si="184" xml:space="preserve"> IF(J$282 = 0, 0, J281 / J$282)</f>
        <v>0</v>
      </c>
      <c r="K285" s="185">
        <f t="shared" si="184"/>
        <v>0</v>
      </c>
      <c r="L285" s="185">
        <f t="shared" si="184"/>
        <v>0</v>
      </c>
      <c r="M285" s="185">
        <f t="shared" si="184"/>
        <v>0</v>
      </c>
      <c r="N285" s="185">
        <f t="shared" si="184"/>
        <v>0</v>
      </c>
      <c r="O285" s="185">
        <f t="shared" si="184"/>
        <v>0</v>
      </c>
      <c r="P285" s="185">
        <f t="shared" si="184"/>
        <v>0</v>
      </c>
      <c r="Q285" s="185">
        <f t="shared" si="184"/>
        <v>0</v>
      </c>
      <c r="R285" s="185">
        <f t="shared" si="184"/>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InpR!E$114</f>
        <v>WACC real on RCV - CPI(H) bf and additions - WWN</v>
      </c>
      <c r="F289" s="205">
        <f>InpR!F$114</f>
        <v>0</v>
      </c>
      <c r="G289" s="223" t="str">
        <f>InpR!G$114</f>
        <v>%</v>
      </c>
      <c r="H289" s="205">
        <f>InpR!H$114</f>
        <v>0</v>
      </c>
      <c r="I289" s="205">
        <f>InpR!I$114</f>
        <v>0</v>
      </c>
      <c r="J289" s="205">
        <f>InpR!J$114</f>
        <v>0</v>
      </c>
      <c r="K289" s="205">
        <f>InpR!K$114</f>
        <v>0</v>
      </c>
      <c r="L289" s="205">
        <f>InpR!L$114</f>
        <v>0</v>
      </c>
      <c r="M289" s="205">
        <f>InpR!M$114</f>
        <v>2.9195763820156317E-2</v>
      </c>
      <c r="N289" s="205">
        <f>InpR!N$114</f>
        <v>2.9195763820156317E-2</v>
      </c>
      <c r="O289" s="205">
        <f>InpR!O$114</f>
        <v>2.9195763820156317E-2</v>
      </c>
      <c r="P289" s="205">
        <f>InpR!P$114</f>
        <v>2.9195763820156317E-2</v>
      </c>
      <c r="Q289" s="205">
        <f>InpR!Q$114</f>
        <v>2.9195763820156317E-2</v>
      </c>
      <c r="R289" s="205">
        <f>InpR!R$114</f>
        <v>0</v>
      </c>
    </row>
    <row r="290" spans="1:18" x14ac:dyDescent="0.25">
      <c r="E290" s="7" t="s">
        <v>499</v>
      </c>
      <c r="G290" s="7" t="s">
        <v>500</v>
      </c>
      <c r="J290" s="254">
        <f xml:space="preserve"> (1 + J$289) ^ J$288</f>
        <v>1</v>
      </c>
      <c r="K290" s="254">
        <f t="shared" ref="K290:R290" si="185" xml:space="preserve"> (1 + K$289) ^ K$288</f>
        <v>1</v>
      </c>
      <c r="L290" s="254">
        <f t="shared" si="185"/>
        <v>1</v>
      </c>
      <c r="M290" s="254">
        <f t="shared" si="185"/>
        <v>1.1219976826191176</v>
      </c>
      <c r="N290" s="254">
        <f t="shared" si="185"/>
        <v>1.0901693555893588</v>
      </c>
      <c r="O290" s="254">
        <f t="shared" si="185"/>
        <v>1.059243920265355</v>
      </c>
      <c r="P290" s="254">
        <f t="shared" si="185"/>
        <v>1.0291957638201563</v>
      </c>
      <c r="Q290" s="254">
        <f t="shared" si="185"/>
        <v>1</v>
      </c>
      <c r="R290" s="254">
        <f t="shared" si="185"/>
        <v>1</v>
      </c>
    </row>
    <row r="291" spans="1:18" x14ac:dyDescent="0.25"/>
    <row r="292" spans="1:18" x14ac:dyDescent="0.25">
      <c r="B292" s="61" t="s">
        <v>501</v>
      </c>
    </row>
    <row r="293" spans="1:18" x14ac:dyDescent="0.25">
      <c r="A293" s="49"/>
      <c r="D293" s="57"/>
      <c r="E293" s="7" t="str">
        <f>E$283</f>
        <v>2019-20 wedge RCV run-off - real</v>
      </c>
      <c r="F293" s="185">
        <f t="shared" ref="F293:R293" si="186">F$283</f>
        <v>0</v>
      </c>
      <c r="G293" s="7" t="str">
        <f t="shared" si="186"/>
        <v>£m</v>
      </c>
      <c r="H293" s="246">
        <f t="shared" si="186"/>
        <v>0</v>
      </c>
      <c r="I293" s="246">
        <f t="shared" si="186"/>
        <v>0</v>
      </c>
      <c r="J293" s="185">
        <f t="shared" si="186"/>
        <v>0</v>
      </c>
      <c r="K293" s="185">
        <f t="shared" si="186"/>
        <v>0</v>
      </c>
      <c r="L293" s="185">
        <f t="shared" si="186"/>
        <v>0</v>
      </c>
      <c r="M293" s="185">
        <f t="shared" si="186"/>
        <v>0</v>
      </c>
      <c r="N293" s="185">
        <f t="shared" si="186"/>
        <v>0</v>
      </c>
      <c r="O293" s="185">
        <f t="shared" si="186"/>
        <v>0</v>
      </c>
      <c r="P293" s="185">
        <f t="shared" si="186"/>
        <v>0</v>
      </c>
      <c r="Q293" s="185">
        <f t="shared" si="186"/>
        <v>0</v>
      </c>
      <c r="R293" s="185">
        <f t="shared" si="186"/>
        <v>0</v>
      </c>
    </row>
    <row r="294" spans="1:18" x14ac:dyDescent="0.25">
      <c r="A294" s="49"/>
      <c r="D294" s="57"/>
      <c r="E294" s="7" t="str">
        <f>E$290</f>
        <v xml:space="preserve">Time value of money factor </v>
      </c>
      <c r="F294" s="185">
        <f t="shared" ref="F294:R294" si="187">F$290</f>
        <v>0</v>
      </c>
      <c r="G294" s="7" t="str">
        <f t="shared" si="187"/>
        <v>Factor</v>
      </c>
      <c r="H294" s="246">
        <f t="shared" si="187"/>
        <v>0</v>
      </c>
      <c r="I294" s="246">
        <f t="shared" si="187"/>
        <v>0</v>
      </c>
      <c r="J294" s="185">
        <f t="shared" si="187"/>
        <v>1</v>
      </c>
      <c r="K294" s="185">
        <f t="shared" si="187"/>
        <v>1</v>
      </c>
      <c r="L294" s="185">
        <f t="shared" si="187"/>
        <v>1</v>
      </c>
      <c r="M294" s="185">
        <f t="shared" si="187"/>
        <v>1.1219976826191176</v>
      </c>
      <c r="N294" s="185">
        <f t="shared" si="187"/>
        <v>1.0901693555893588</v>
      </c>
      <c r="O294" s="185">
        <f t="shared" si="187"/>
        <v>1.059243920265355</v>
      </c>
      <c r="P294" s="185">
        <f t="shared" si="187"/>
        <v>1.0291957638201563</v>
      </c>
      <c r="Q294" s="185">
        <f t="shared" si="187"/>
        <v>1</v>
      </c>
      <c r="R294" s="185">
        <f t="shared" si="187"/>
        <v>1</v>
      </c>
    </row>
    <row r="295" spans="1:18" x14ac:dyDescent="0.25">
      <c r="A295" s="49"/>
      <c r="C295" s="267"/>
      <c r="D295" s="57"/>
      <c r="E295" s="7" t="s">
        <v>549</v>
      </c>
      <c r="G295" s="7" t="s">
        <v>238</v>
      </c>
      <c r="H295" s="185">
        <f xml:space="preserve"> SUM(J295:R295)</f>
        <v>0</v>
      </c>
      <c r="J295" s="185">
        <f xml:space="preserve"> J293 * J294</f>
        <v>0</v>
      </c>
      <c r="K295" s="185">
        <f t="shared" ref="K295:R295" si="188" xml:space="preserve"> K293 * K294</f>
        <v>0</v>
      </c>
      <c r="L295" s="185">
        <f t="shared" si="188"/>
        <v>0</v>
      </c>
      <c r="M295" s="185">
        <f t="shared" si="188"/>
        <v>0</v>
      </c>
      <c r="N295" s="185">
        <f t="shared" si="188"/>
        <v>0</v>
      </c>
      <c r="O295" s="185">
        <f t="shared" si="188"/>
        <v>0</v>
      </c>
      <c r="P295" s="185">
        <f t="shared" si="188"/>
        <v>0</v>
      </c>
      <c r="Q295" s="185">
        <f t="shared" si="188"/>
        <v>0</v>
      </c>
      <c r="R295" s="185">
        <f t="shared" si="188"/>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89">F$284</f>
        <v>0</v>
      </c>
      <c r="G299" s="7" t="str">
        <f t="shared" si="189"/>
        <v>£m</v>
      </c>
      <c r="H299" s="246">
        <f t="shared" si="189"/>
        <v>0</v>
      </c>
      <c r="I299" s="246">
        <f t="shared" si="189"/>
        <v>0</v>
      </c>
      <c r="J299" s="185">
        <f t="shared" si="189"/>
        <v>0</v>
      </c>
      <c r="K299" s="185">
        <f t="shared" si="189"/>
        <v>0</v>
      </c>
      <c r="L299" s="185">
        <f t="shared" si="189"/>
        <v>0</v>
      </c>
      <c r="M299" s="185">
        <f t="shared" si="189"/>
        <v>0</v>
      </c>
      <c r="N299" s="185">
        <f t="shared" si="189"/>
        <v>0</v>
      </c>
      <c r="O299" s="185">
        <f t="shared" si="189"/>
        <v>0</v>
      </c>
      <c r="P299" s="185">
        <f t="shared" si="189"/>
        <v>0</v>
      </c>
      <c r="Q299" s="185">
        <f t="shared" si="189"/>
        <v>0</v>
      </c>
      <c r="R299" s="185">
        <f t="shared" si="189"/>
        <v>0</v>
      </c>
    </row>
    <row r="300" spans="1:18" x14ac:dyDescent="0.25">
      <c r="A300" s="49"/>
      <c r="D300" s="57"/>
      <c r="E300" s="7" t="str">
        <f>E$290</f>
        <v xml:space="preserve">Time value of money factor </v>
      </c>
      <c r="F300" s="185">
        <f t="shared" ref="F300:R300" si="190">F$290</f>
        <v>0</v>
      </c>
      <c r="G300" s="7" t="str">
        <f t="shared" si="190"/>
        <v>Factor</v>
      </c>
      <c r="H300" s="246">
        <f t="shared" si="190"/>
        <v>0</v>
      </c>
      <c r="I300" s="246">
        <f t="shared" si="190"/>
        <v>0</v>
      </c>
      <c r="J300" s="185">
        <f t="shared" si="190"/>
        <v>1</v>
      </c>
      <c r="K300" s="185">
        <f t="shared" si="190"/>
        <v>1</v>
      </c>
      <c r="L300" s="185">
        <f t="shared" si="190"/>
        <v>1</v>
      </c>
      <c r="M300" s="185">
        <f t="shared" si="190"/>
        <v>1.1219976826191176</v>
      </c>
      <c r="N300" s="185">
        <f t="shared" si="190"/>
        <v>1.0901693555893588</v>
      </c>
      <c r="O300" s="185">
        <f t="shared" si="190"/>
        <v>1.059243920265355</v>
      </c>
      <c r="P300" s="185">
        <f t="shared" si="190"/>
        <v>1.0291957638201563</v>
      </c>
      <c r="Q300" s="185">
        <f t="shared" si="190"/>
        <v>1</v>
      </c>
      <c r="R300" s="185">
        <f t="shared" si="190"/>
        <v>1</v>
      </c>
    </row>
    <row r="301" spans="1:18" x14ac:dyDescent="0.25">
      <c r="A301" s="49"/>
      <c r="C301" s="267"/>
      <c r="D301" s="57"/>
      <c r="E301" s="7" t="s">
        <v>550</v>
      </c>
      <c r="G301" s="7" t="s">
        <v>238</v>
      </c>
      <c r="H301" s="185">
        <f xml:space="preserve"> SUM(J301:R301)</f>
        <v>0</v>
      </c>
      <c r="J301" s="185">
        <f xml:space="preserve"> J299 * J300</f>
        <v>0</v>
      </c>
      <c r="K301" s="185">
        <f t="shared" ref="K301:R301" si="191" xml:space="preserve"> K299 * K300</f>
        <v>0</v>
      </c>
      <c r="L301" s="185">
        <f t="shared" si="191"/>
        <v>0</v>
      </c>
      <c r="M301" s="185">
        <f t="shared" si="191"/>
        <v>0</v>
      </c>
      <c r="N301" s="185">
        <f t="shared" si="191"/>
        <v>0</v>
      </c>
      <c r="O301" s="185">
        <f t="shared" si="191"/>
        <v>0</v>
      </c>
      <c r="P301" s="185">
        <f t="shared" si="191"/>
        <v>0</v>
      </c>
      <c r="Q301" s="185">
        <f t="shared" si="191"/>
        <v>0</v>
      </c>
      <c r="R301" s="185">
        <f t="shared" si="191"/>
        <v>0</v>
      </c>
    </row>
    <row r="302" spans="1:18" x14ac:dyDescent="0.25"/>
    <row r="303" spans="1:18" x14ac:dyDescent="0.25"/>
    <row r="304" spans="1:18" x14ac:dyDescent="0.25">
      <c r="B304" s="61" t="s">
        <v>505</v>
      </c>
    </row>
    <row r="305" spans="1:18" x14ac:dyDescent="0.25">
      <c r="A305" s="49"/>
      <c r="D305" s="57"/>
      <c r="E305" s="7" t="str">
        <f t="shared" ref="E305:R305" si="192" xml:space="preserve"> E$295</f>
        <v>Revenue adjustment for 2019-20 wedge run-off - real - WWN</v>
      </c>
      <c r="F305" s="185">
        <f t="shared" si="192"/>
        <v>0</v>
      </c>
      <c r="G305" s="7" t="str">
        <f t="shared" si="192"/>
        <v>£m</v>
      </c>
      <c r="H305" s="246">
        <f t="shared" si="192"/>
        <v>0</v>
      </c>
      <c r="I305" s="246">
        <f t="shared" si="192"/>
        <v>0</v>
      </c>
      <c r="J305" s="185">
        <f t="shared" si="192"/>
        <v>0</v>
      </c>
      <c r="K305" s="185">
        <f t="shared" si="192"/>
        <v>0</v>
      </c>
      <c r="L305" s="185">
        <f t="shared" si="192"/>
        <v>0</v>
      </c>
      <c r="M305" s="185">
        <f t="shared" si="192"/>
        <v>0</v>
      </c>
      <c r="N305" s="185">
        <f t="shared" si="192"/>
        <v>0</v>
      </c>
      <c r="O305" s="185">
        <f t="shared" si="192"/>
        <v>0</v>
      </c>
      <c r="P305" s="185">
        <f t="shared" si="192"/>
        <v>0</v>
      </c>
      <c r="Q305" s="185">
        <f t="shared" si="192"/>
        <v>0</v>
      </c>
      <c r="R305" s="185">
        <f t="shared" si="192"/>
        <v>0</v>
      </c>
    </row>
    <row r="306" spans="1:18" x14ac:dyDescent="0.25">
      <c r="A306" s="49"/>
      <c r="D306" s="57"/>
      <c r="E306" s="7" t="str">
        <f t="shared" ref="E306:R306" si="193" xml:space="preserve"> E$301</f>
        <v>Revenue adjustment for 2019-20 wedge return - real - WWN</v>
      </c>
      <c r="F306" s="185">
        <f t="shared" si="193"/>
        <v>0</v>
      </c>
      <c r="G306" s="7" t="str">
        <f t="shared" si="193"/>
        <v>£m</v>
      </c>
      <c r="H306" s="246">
        <f t="shared" si="193"/>
        <v>0</v>
      </c>
      <c r="I306" s="246">
        <f t="shared" si="193"/>
        <v>0</v>
      </c>
      <c r="J306" s="185">
        <f t="shared" si="193"/>
        <v>0</v>
      </c>
      <c r="K306" s="185">
        <f t="shared" si="193"/>
        <v>0</v>
      </c>
      <c r="L306" s="185">
        <f t="shared" si="193"/>
        <v>0</v>
      </c>
      <c r="M306" s="185">
        <f t="shared" si="193"/>
        <v>0</v>
      </c>
      <c r="N306" s="185">
        <f t="shared" si="193"/>
        <v>0</v>
      </c>
      <c r="O306" s="185">
        <f t="shared" si="193"/>
        <v>0</v>
      </c>
      <c r="P306" s="185">
        <f t="shared" si="193"/>
        <v>0</v>
      </c>
      <c r="Q306" s="185">
        <f t="shared" si="193"/>
        <v>0</v>
      </c>
      <c r="R306" s="185">
        <f t="shared" si="193"/>
        <v>0</v>
      </c>
    </row>
    <row r="307" spans="1:18" x14ac:dyDescent="0.25">
      <c r="A307" s="49"/>
      <c r="C307" s="267"/>
      <c r="D307" s="57"/>
      <c r="E307" s="7" t="s">
        <v>551</v>
      </c>
      <c r="G307" s="7" t="s">
        <v>238</v>
      </c>
      <c r="H307" s="185">
        <f xml:space="preserve"> SUM(J307:R307)</f>
        <v>0</v>
      </c>
      <c r="J307" s="185">
        <f xml:space="preserve"> J$305 + J$306</f>
        <v>0</v>
      </c>
      <c r="K307" s="185">
        <f t="shared" ref="K307:R307" si="194" xml:space="preserve"> K$305 + K$306</f>
        <v>0</v>
      </c>
      <c r="L307" s="185">
        <f t="shared" si="194"/>
        <v>0</v>
      </c>
      <c r="M307" s="185">
        <f t="shared" si="194"/>
        <v>0</v>
      </c>
      <c r="N307" s="185">
        <f t="shared" si="194"/>
        <v>0</v>
      </c>
      <c r="O307" s="185">
        <f t="shared" si="194"/>
        <v>0</v>
      </c>
      <c r="P307" s="185">
        <f t="shared" si="194"/>
        <v>0</v>
      </c>
      <c r="Q307" s="185">
        <f t="shared" si="194"/>
        <v>0</v>
      </c>
      <c r="R307" s="185">
        <f t="shared" si="194"/>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WWN</v>
      </c>
      <c r="F313" s="185">
        <f t="shared" ref="F313:R313" si="195" xml:space="preserve"> F$219</f>
        <v>0</v>
      </c>
      <c r="G313" s="7" t="str">
        <f t="shared" si="195"/>
        <v>£m</v>
      </c>
      <c r="H313" s="246">
        <f t="shared" si="195"/>
        <v>0</v>
      </c>
      <c r="I313" s="246">
        <f t="shared" si="195"/>
        <v>0</v>
      </c>
      <c r="J313" s="185">
        <f t="shared" si="195"/>
        <v>0</v>
      </c>
      <c r="K313" s="185">
        <f t="shared" si="195"/>
        <v>0</v>
      </c>
      <c r="L313" s="185">
        <f t="shared" si="195"/>
        <v>0</v>
      </c>
      <c r="M313" s="185">
        <f t="shared" si="195"/>
        <v>0</v>
      </c>
      <c r="N313" s="185">
        <f t="shared" si="195"/>
        <v>0</v>
      </c>
      <c r="O313" s="185">
        <f t="shared" si="195"/>
        <v>0</v>
      </c>
      <c r="P313" s="185">
        <f t="shared" si="195"/>
        <v>0</v>
      </c>
      <c r="Q313" s="185">
        <f t="shared" si="195"/>
        <v>0</v>
      </c>
      <c r="R313" s="185">
        <f t="shared" si="195"/>
        <v>0</v>
      </c>
    </row>
    <row r="314" spans="1:18" x14ac:dyDescent="0.25">
      <c r="A314" s="49"/>
      <c r="D314" s="57"/>
      <c r="E314" s="7" t="str">
        <f xml:space="preserve"> E$224</f>
        <v>Revenue adjustment for return - real - WWN</v>
      </c>
      <c r="F314" s="185">
        <f t="shared" ref="F314:R314" si="196" xml:space="preserve"> F$224</f>
        <v>0</v>
      </c>
      <c r="G314" s="7" t="str">
        <f t="shared" si="196"/>
        <v>£m</v>
      </c>
      <c r="H314" s="246">
        <f t="shared" si="196"/>
        <v>0</v>
      </c>
      <c r="I314" s="246">
        <f t="shared" si="196"/>
        <v>0</v>
      </c>
      <c r="J314" s="185">
        <f t="shared" si="196"/>
        <v>0</v>
      </c>
      <c r="K314" s="185">
        <f t="shared" si="196"/>
        <v>0</v>
      </c>
      <c r="L314" s="185">
        <f t="shared" si="196"/>
        <v>0</v>
      </c>
      <c r="M314" s="185">
        <f t="shared" si="196"/>
        <v>0</v>
      </c>
      <c r="N314" s="185">
        <f t="shared" si="196"/>
        <v>0</v>
      </c>
      <c r="O314" s="185">
        <f t="shared" si="196"/>
        <v>0</v>
      </c>
      <c r="P314" s="185">
        <f t="shared" si="196"/>
        <v>0</v>
      </c>
      <c r="Q314" s="185">
        <f t="shared" si="196"/>
        <v>0</v>
      </c>
      <c r="R314" s="185">
        <f t="shared" si="196"/>
        <v>0</v>
      </c>
    </row>
    <row r="315" spans="1:18" x14ac:dyDescent="0.25">
      <c r="A315" s="49"/>
      <c r="D315" s="57"/>
      <c r="E315" s="7" t="str">
        <f xml:space="preserve"> E$229</f>
        <v>Revenue adjustment - real - WWN</v>
      </c>
      <c r="F315" s="185">
        <f t="shared" ref="F315:R315" si="197" xml:space="preserve"> F$229</f>
        <v>0</v>
      </c>
      <c r="G315" s="7" t="str">
        <f t="shared" si="197"/>
        <v>£m</v>
      </c>
      <c r="H315" s="246">
        <f t="shared" si="197"/>
        <v>0</v>
      </c>
      <c r="I315" s="246">
        <f t="shared" si="197"/>
        <v>0</v>
      </c>
      <c r="J315" s="185">
        <f t="shared" si="197"/>
        <v>0</v>
      </c>
      <c r="K315" s="185">
        <f t="shared" si="197"/>
        <v>0</v>
      </c>
      <c r="L315" s="185">
        <f t="shared" si="197"/>
        <v>0</v>
      </c>
      <c r="M315" s="185">
        <f t="shared" si="197"/>
        <v>0</v>
      </c>
      <c r="N315" s="185">
        <f t="shared" si="197"/>
        <v>0</v>
      </c>
      <c r="O315" s="185">
        <f t="shared" si="197"/>
        <v>0</v>
      </c>
      <c r="P315" s="185">
        <f t="shared" si="197"/>
        <v>0</v>
      </c>
      <c r="Q315" s="185">
        <f t="shared" si="197"/>
        <v>0</v>
      </c>
      <c r="R315" s="185">
        <f t="shared" si="197"/>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WWN</v>
      </c>
      <c r="F319" s="185">
        <f t="shared" ref="F319:R319" si="198" xml:space="preserve"> F$301</f>
        <v>0</v>
      </c>
      <c r="G319" s="7" t="str">
        <f t="shared" si="198"/>
        <v>£m</v>
      </c>
      <c r="H319" s="246">
        <f t="shared" si="198"/>
        <v>0</v>
      </c>
      <c r="I319" s="246">
        <f t="shared" si="198"/>
        <v>0</v>
      </c>
      <c r="J319" s="185">
        <f t="shared" si="198"/>
        <v>0</v>
      </c>
      <c r="K319" s="185">
        <f t="shared" si="198"/>
        <v>0</v>
      </c>
      <c r="L319" s="185">
        <f t="shared" si="198"/>
        <v>0</v>
      </c>
      <c r="M319" s="185">
        <f t="shared" si="198"/>
        <v>0</v>
      </c>
      <c r="N319" s="185">
        <f t="shared" si="198"/>
        <v>0</v>
      </c>
      <c r="O319" s="185">
        <f t="shared" si="198"/>
        <v>0</v>
      </c>
      <c r="P319" s="185">
        <f t="shared" si="198"/>
        <v>0</v>
      </c>
      <c r="Q319" s="185">
        <f t="shared" si="198"/>
        <v>0</v>
      </c>
      <c r="R319" s="185">
        <f t="shared" si="198"/>
        <v>0</v>
      </c>
    </row>
    <row r="320" spans="1:18" x14ac:dyDescent="0.25"/>
    <row r="321" spans="1:18" x14ac:dyDescent="0.25">
      <c r="B321" s="61" t="s">
        <v>289</v>
      </c>
    </row>
    <row r="322" spans="1:18" s="34" customFormat="1" x14ac:dyDescent="0.25">
      <c r="A322" s="322"/>
      <c r="B322" s="256"/>
      <c r="C322" s="257"/>
      <c r="D322" s="323"/>
      <c r="E322" s="34" t="s">
        <v>552</v>
      </c>
      <c r="G322" s="34" t="s">
        <v>238</v>
      </c>
      <c r="H322" s="266">
        <f xml:space="preserve"> SUM(J322:R322)</f>
        <v>0</v>
      </c>
      <c r="J322" s="266">
        <f t="shared" ref="J322:R322" si="199" xml:space="preserve"> J313 + J318</f>
        <v>0</v>
      </c>
      <c r="K322" s="266">
        <f t="shared" si="199"/>
        <v>0</v>
      </c>
      <c r="L322" s="266">
        <f t="shared" si="199"/>
        <v>0</v>
      </c>
      <c r="M322" s="266">
        <f t="shared" si="199"/>
        <v>0</v>
      </c>
      <c r="N322" s="266">
        <f t="shared" si="199"/>
        <v>0</v>
      </c>
      <c r="O322" s="266">
        <f t="shared" si="199"/>
        <v>0</v>
      </c>
      <c r="P322" s="266">
        <f t="shared" si="199"/>
        <v>0</v>
      </c>
      <c r="Q322" s="266">
        <f t="shared" si="199"/>
        <v>0</v>
      </c>
      <c r="R322" s="266">
        <f t="shared" si="199"/>
        <v>0</v>
      </c>
    </row>
    <row r="323" spans="1:18" s="34" customFormat="1" x14ac:dyDescent="0.25">
      <c r="A323" s="322"/>
      <c r="B323" s="256"/>
      <c r="C323" s="257"/>
      <c r="D323" s="323"/>
      <c r="E323" s="34" t="s">
        <v>553</v>
      </c>
      <c r="G323" s="34" t="s">
        <v>238</v>
      </c>
      <c r="H323" s="266">
        <f xml:space="preserve"> SUM(J323:R323)</f>
        <v>0</v>
      </c>
      <c r="J323" s="266">
        <f t="shared" ref="J323:R323" si="200" xml:space="preserve"> J314 + J319</f>
        <v>0</v>
      </c>
      <c r="K323" s="266">
        <f t="shared" si="200"/>
        <v>0</v>
      </c>
      <c r="L323" s="266">
        <f t="shared" si="200"/>
        <v>0</v>
      </c>
      <c r="M323" s="266">
        <f t="shared" si="200"/>
        <v>0</v>
      </c>
      <c r="N323" s="266">
        <f t="shared" si="200"/>
        <v>0</v>
      </c>
      <c r="O323" s="266">
        <f t="shared" si="200"/>
        <v>0</v>
      </c>
      <c r="P323" s="266">
        <f t="shared" si="200"/>
        <v>0</v>
      </c>
      <c r="Q323" s="266">
        <f t="shared" si="200"/>
        <v>0</v>
      </c>
      <c r="R323" s="266">
        <f t="shared" si="200"/>
        <v>0</v>
      </c>
    </row>
    <row r="324" spans="1:18" s="34" customFormat="1" x14ac:dyDescent="0.25">
      <c r="A324" s="361"/>
      <c r="B324" s="362"/>
      <c r="C324" s="363"/>
      <c r="D324" s="364"/>
      <c r="E324" s="34" t="s">
        <v>554</v>
      </c>
      <c r="G324" s="34" t="s">
        <v>238</v>
      </c>
      <c r="H324" s="266">
        <f xml:space="preserve"> SUM(J324:R324)</f>
        <v>0</v>
      </c>
      <c r="J324" s="266">
        <f t="shared" ref="J324:R324" si="201" xml:space="preserve"> J315 + J319</f>
        <v>0</v>
      </c>
      <c r="K324" s="266">
        <f t="shared" si="201"/>
        <v>0</v>
      </c>
      <c r="L324" s="266">
        <f t="shared" si="201"/>
        <v>0</v>
      </c>
      <c r="M324" s="266">
        <f t="shared" ref="M324" si="202" xml:space="preserve"> M315 + M319</f>
        <v>0</v>
      </c>
      <c r="N324" s="266">
        <f t="shared" si="201"/>
        <v>0</v>
      </c>
      <c r="O324" s="266">
        <f t="shared" si="201"/>
        <v>0</v>
      </c>
      <c r="P324" s="266">
        <f t="shared" si="201"/>
        <v>0</v>
      </c>
      <c r="Q324" s="266">
        <f t="shared" si="201"/>
        <v>0</v>
      </c>
      <c r="R324" s="266">
        <f t="shared" si="201"/>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40" priority="8" stopIfTrue="1" operator="notEqual">
      <formula>0</formula>
    </cfRule>
    <cfRule type="cellIs" dxfId="39" priority="9" stopIfTrue="1" operator="equal">
      <formula>""</formula>
    </cfRule>
  </conditionalFormatting>
  <conditionalFormatting sqref="F166">
    <cfRule type="cellIs" dxfId="38" priority="1" stopIfTrue="1" operator="notEqual">
      <formula>0</formula>
    </cfRule>
    <cfRule type="cellIs" dxfId="37" priority="2" stopIfTrue="1" operator="equal">
      <formula>""</formula>
    </cfRule>
  </conditionalFormatting>
  <conditionalFormatting sqref="J3:Z3">
    <cfRule type="cellIs" dxfId="36" priority="12" operator="equal">
      <formula>"Post-Fcst"</formula>
    </cfRule>
    <cfRule type="cellIs" dxfId="35" priority="13" operator="equal">
      <formula>"Forecast"</formula>
    </cfRule>
    <cfRule type="cellIs" dxfId="34" priority="14" operator="equal">
      <formula>"Pre Fcst"</formula>
    </cfRule>
  </conditionalFormatting>
  <conditionalFormatting sqref="J166:XFD166">
    <cfRule type="cellIs" dxfId="33" priority="3" stopIfTrue="1" operator="notEqual">
      <formula>0</formula>
    </cfRule>
    <cfRule type="cellIs" dxfId="32"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D9091-DB12-4333-9FA7-9BDFA61748FC}">
  <sheetPr>
    <pageSetUpPr fitToPage="1"/>
  </sheetPr>
  <dimension ref="A1:F22"/>
  <sheetViews>
    <sheetView showGridLines="0" zoomScale="80" zoomScaleNormal="80" workbookViewId="0"/>
  </sheetViews>
  <sheetFormatPr defaultColWidth="0" defaultRowHeight="14.5" customHeight="1" zeroHeight="1" x14ac:dyDescent="0.35"/>
  <cols>
    <col min="1" max="2" width="9" style="384" customWidth="1"/>
    <col min="3" max="3" width="25.81640625" style="384" customWidth="1"/>
    <col min="4" max="4" width="82.1796875" style="384" customWidth="1"/>
    <col min="5" max="5" width="45.90625" style="384" customWidth="1"/>
    <col min="6" max="6" width="9" style="384" customWidth="1"/>
    <col min="7" max="16384" width="9" style="384" hidden="1"/>
  </cols>
  <sheetData>
    <row r="1" spans="1:6" ht="31" x14ac:dyDescent="0.35">
      <c r="A1" s="382" t="str">
        <f ca="1" xml:space="preserve"> RIGHT(CELL("filename", $A$1), LEN(CELL("filename", $A$1)) - SEARCH("]", CELL("filename", $A$1)))</f>
        <v>ChangeLog</v>
      </c>
      <c r="B1" s="383"/>
      <c r="C1" s="383"/>
      <c r="D1" s="383"/>
      <c r="E1" s="383"/>
      <c r="F1" s="383"/>
    </row>
    <row r="2" spans="1:6" x14ac:dyDescent="0.35">
      <c r="A2" s="385"/>
      <c r="B2" s="385"/>
      <c r="C2" s="385"/>
      <c r="D2" s="385"/>
      <c r="E2" s="385"/>
      <c r="F2" s="385"/>
    </row>
    <row r="3" spans="1:6" x14ac:dyDescent="0.35">
      <c r="A3" s="385"/>
      <c r="B3" s="385"/>
      <c r="C3" s="385"/>
      <c r="D3" s="385"/>
      <c r="E3" s="385"/>
      <c r="F3" s="385"/>
    </row>
    <row r="4" spans="1:6" x14ac:dyDescent="0.35">
      <c r="A4" s="385"/>
      <c r="B4" s="385" t="s">
        <v>632</v>
      </c>
      <c r="C4" s="385"/>
      <c r="D4" s="385"/>
      <c r="E4" s="385"/>
      <c r="F4" s="385"/>
    </row>
    <row r="5" spans="1:6" x14ac:dyDescent="0.35">
      <c r="A5" s="385"/>
      <c r="B5" s="385"/>
      <c r="C5" s="385"/>
      <c r="D5" s="385"/>
      <c r="E5" s="385"/>
      <c r="F5" s="385"/>
    </row>
    <row r="6" spans="1:6" x14ac:dyDescent="0.35">
      <c r="A6" s="385"/>
      <c r="B6" s="385" t="s">
        <v>633</v>
      </c>
      <c r="C6" s="385"/>
      <c r="D6" s="385"/>
      <c r="E6" s="385"/>
      <c r="F6" s="385"/>
    </row>
    <row r="7" spans="1:6" x14ac:dyDescent="0.35">
      <c r="A7" s="385"/>
      <c r="B7" s="385" t="s">
        <v>634</v>
      </c>
      <c r="C7" s="385"/>
      <c r="D7" s="385"/>
      <c r="E7" s="385"/>
      <c r="F7" s="385"/>
    </row>
    <row r="8" spans="1:6" x14ac:dyDescent="0.35">
      <c r="A8" s="385"/>
      <c r="B8" s="391"/>
      <c r="C8" s="392"/>
      <c r="D8" s="392"/>
      <c r="E8" s="393"/>
      <c r="F8" s="385"/>
    </row>
    <row r="9" spans="1:6" x14ac:dyDescent="0.35">
      <c r="A9" s="385"/>
      <c r="B9" s="385" t="s">
        <v>635</v>
      </c>
      <c r="C9" s="392"/>
      <c r="D9" s="392"/>
      <c r="E9" s="393"/>
      <c r="F9" s="385"/>
    </row>
    <row r="10" spans="1:6" x14ac:dyDescent="0.35">
      <c r="A10" s="385"/>
      <c r="B10" s="385"/>
      <c r="C10" s="392"/>
      <c r="D10" s="392"/>
      <c r="E10" s="393"/>
      <c r="F10" s="385"/>
    </row>
    <row r="11" spans="1:6" x14ac:dyDescent="0.35">
      <c r="A11" s="385"/>
      <c r="B11" s="386" t="s">
        <v>119</v>
      </c>
      <c r="C11" s="386" t="s">
        <v>629</v>
      </c>
      <c r="D11" s="386" t="s">
        <v>630</v>
      </c>
      <c r="E11" s="387" t="s">
        <v>631</v>
      </c>
      <c r="F11" s="385"/>
    </row>
    <row r="12" spans="1:6" ht="45" customHeight="1" x14ac:dyDescent="0.35">
      <c r="A12" s="385"/>
      <c r="B12" s="395">
        <v>1</v>
      </c>
      <c r="C12" s="397" t="s">
        <v>636</v>
      </c>
      <c r="D12" s="397" t="s">
        <v>637</v>
      </c>
      <c r="E12" s="389" t="str">
        <f>'Calcs-WR'!$E$70</f>
        <v>Actual RCV indexation - nominal</v>
      </c>
      <c r="F12" s="385"/>
    </row>
    <row r="13" spans="1:6" ht="45" customHeight="1" x14ac:dyDescent="0.35">
      <c r="A13" s="385"/>
      <c r="B13" s="396"/>
      <c r="C13" s="398"/>
      <c r="D13" s="398"/>
      <c r="E13" s="389" t="str">
        <f>'Calcs-WR'!$E$83</f>
        <v>RCV - CPI(H) + RPI wedge initial balance adjusted for actual inflation - nominal - WR</v>
      </c>
      <c r="F13" s="385"/>
    </row>
    <row r="14" spans="1:6" ht="45" customHeight="1" x14ac:dyDescent="0.35">
      <c r="A14" s="385"/>
      <c r="B14" s="395">
        <v>2</v>
      </c>
      <c r="C14" s="397" t="s">
        <v>636</v>
      </c>
      <c r="D14" s="397" t="s">
        <v>638</v>
      </c>
      <c r="E14" s="389" t="str">
        <f>'Calcs-WR'!$E$173</f>
        <v>CPI(H): Fin year average - inflate from base year 2017-18 average - actual (including forecast)</v>
      </c>
      <c r="F14" s="385"/>
    </row>
    <row r="15" spans="1:6" ht="45" customHeight="1" x14ac:dyDescent="0.35">
      <c r="A15" s="385"/>
      <c r="B15" s="399"/>
      <c r="C15" s="400"/>
      <c r="D15" s="400"/>
      <c r="E15" s="389" t="str">
        <f>'Calcs-WR'!$E$191</f>
        <v>CPI(H): Fin year average - inflate from base year 2017-18 average - actual (including forecast)</v>
      </c>
      <c r="F15" s="385"/>
    </row>
    <row r="16" spans="1:6" ht="45" customHeight="1" x14ac:dyDescent="0.35">
      <c r="A16" s="385"/>
      <c r="B16" s="396"/>
      <c r="C16" s="398"/>
      <c r="D16" s="398"/>
      <c r="E16" s="389" t="str">
        <f>'Calcs-WR'!$E$192</f>
        <v>True up Nominal RCV run-off- real</v>
      </c>
      <c r="F16" s="385"/>
    </row>
    <row r="17" spans="1:6" ht="45" customHeight="1" x14ac:dyDescent="0.35">
      <c r="A17" s="385"/>
      <c r="B17" s="394">
        <v>3</v>
      </c>
      <c r="C17" s="388" t="s">
        <v>636</v>
      </c>
      <c r="D17" s="388" t="s">
        <v>639</v>
      </c>
      <c r="E17" s="389" t="str">
        <f>'Calcs-WR'!$E$261</f>
        <v>2019-20 wedge Nominal RCV balance END</v>
      </c>
      <c r="F17" s="385"/>
    </row>
    <row r="18" spans="1:6" ht="45" customHeight="1" x14ac:dyDescent="0.35">
      <c r="A18" s="385"/>
      <c r="B18" s="394">
        <v>4</v>
      </c>
      <c r="C18" s="388" t="s">
        <v>636</v>
      </c>
      <c r="D18" s="388" t="s">
        <v>640</v>
      </c>
      <c r="E18" s="389" t="str">
        <f>'Calcs-WR'!$E$324</f>
        <v>Revenue adjustment total - real - WR</v>
      </c>
      <c r="F18" s="385"/>
    </row>
    <row r="19" spans="1:6" x14ac:dyDescent="0.35">
      <c r="A19" s="385"/>
      <c r="B19" s="391"/>
      <c r="C19" s="392"/>
      <c r="D19" s="392"/>
      <c r="E19" s="393"/>
      <c r="F19" s="385"/>
    </row>
    <row r="20" spans="1:6" x14ac:dyDescent="0.35">
      <c r="A20" s="385"/>
      <c r="B20" s="391"/>
      <c r="C20" s="392"/>
      <c r="D20" s="392"/>
      <c r="E20" s="393"/>
      <c r="F20" s="385"/>
    </row>
    <row r="21" spans="1:6" x14ac:dyDescent="0.35">
      <c r="A21" s="390" t="s">
        <v>62</v>
      </c>
      <c r="B21" s="390"/>
      <c r="C21" s="390"/>
      <c r="D21" s="390"/>
      <c r="E21" s="390"/>
      <c r="F21" s="390"/>
    </row>
    <row r="22" spans="1:6" x14ac:dyDescent="0.35"/>
  </sheetData>
  <mergeCells count="6">
    <mergeCell ref="B12:B13"/>
    <mergeCell ref="C12:C13"/>
    <mergeCell ref="D12:D13"/>
    <mergeCell ref="B14:B16"/>
    <mergeCell ref="C14:C16"/>
    <mergeCell ref="D14:D16"/>
  </mergeCells>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37EB2-4003-40AC-889A-580014B0667D}">
  <sheetPr codeName="Sheet14">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Calcs-BR</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0</v>
      </c>
      <c r="N22" s="240">
        <f t="shared" si="3"/>
        <v>0</v>
      </c>
      <c r="O22" s="240">
        <f t="shared" si="3"/>
        <v>0</v>
      </c>
      <c r="P22" s="240">
        <f t="shared" si="3"/>
        <v>0</v>
      </c>
      <c r="Q22" s="240">
        <f t="shared" si="3"/>
        <v>0</v>
      </c>
      <c r="R22" s="240">
        <f t="shared" si="3"/>
        <v>0</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5" spans="1:16383" x14ac:dyDescent="0.25"/>
    <row r="26" spans="1:16383" s="205" customFormat="1" x14ac:dyDescent="0.25">
      <c r="A26" s="201"/>
      <c r="B26" s="202"/>
      <c r="C26" s="203"/>
      <c r="D26" s="204"/>
      <c r="E26" s="37" t="str">
        <f xml:space="preserve"> InpR!E$101</f>
        <v>Run-off rate - CPI(H) + RPI wedge - active - BR</v>
      </c>
      <c r="F26" s="205">
        <f xml:space="preserve"> InpR!F$101</f>
        <v>0</v>
      </c>
      <c r="G26" s="223" t="str">
        <f xml:space="preserve"> InpR!G$101</f>
        <v>%</v>
      </c>
      <c r="H26" s="205">
        <f xml:space="preserve"> InpR!H$101</f>
        <v>0</v>
      </c>
      <c r="I26" s="205">
        <f xml:space="preserve"> InpR!I$101</f>
        <v>0</v>
      </c>
      <c r="J26" s="205">
        <f xml:space="preserve"> InpR!J$101</f>
        <v>0</v>
      </c>
      <c r="K26" s="205">
        <f xml:space="preserve"> InpR!K$101</f>
        <v>0</v>
      </c>
      <c r="L26" s="205">
        <f xml:space="preserve"> InpR!L$101</f>
        <v>0</v>
      </c>
      <c r="M26" s="205">
        <f xml:space="preserve"> InpR!M$101</f>
        <v>0</v>
      </c>
      <c r="N26" s="205">
        <f xml:space="preserve"> InpR!N$101</f>
        <v>0</v>
      </c>
      <c r="O26" s="205">
        <f xml:space="preserve"> InpR!O$101</f>
        <v>0</v>
      </c>
      <c r="P26" s="205">
        <f xml:space="preserve"> InpR!P$101</f>
        <v>0</v>
      </c>
      <c r="Q26" s="205">
        <f xml:space="preserve"> InpR!Q$101</f>
        <v>0</v>
      </c>
      <c r="R26" s="205">
        <f xml:space="preserve"> InpR!R$101</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0</v>
      </c>
      <c r="N27" s="240">
        <f t="shared" si="6"/>
        <v>0</v>
      </c>
      <c r="O27" s="240">
        <f t="shared" si="6"/>
        <v>0</v>
      </c>
      <c r="P27" s="240">
        <f t="shared" si="6"/>
        <v>0</v>
      </c>
      <c r="Q27" s="240">
        <f t="shared" si="6"/>
        <v>0</v>
      </c>
      <c r="R27" s="240">
        <f t="shared" si="6"/>
        <v>0</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InpR!$E$94</f>
        <v>RCV - CPI(H) + RPI wedge initial balance - nominal - BR</v>
      </c>
      <c r="F31" s="249">
        <f>InpR!$F$94</f>
        <v>0</v>
      </c>
      <c r="G31" s="248" t="str">
        <f>InpR!$G$94</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0</v>
      </c>
      <c r="N34" s="241">
        <f t="shared" si="9"/>
        <v>0</v>
      </c>
      <c r="O34" s="241">
        <f t="shared" si="9"/>
        <v>0</v>
      </c>
      <c r="P34" s="241">
        <f t="shared" si="9"/>
        <v>0</v>
      </c>
      <c r="Q34" s="241">
        <f t="shared" si="9"/>
        <v>0</v>
      </c>
      <c r="R34" s="241">
        <f t="shared" si="9"/>
        <v>0</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0</v>
      </c>
      <c r="N35" s="241">
        <f t="shared" si="10"/>
        <v>0</v>
      </c>
      <c r="O35" s="241">
        <f t="shared" si="10"/>
        <v>0</v>
      </c>
      <c r="P35" s="241">
        <f t="shared" si="10"/>
        <v>0</v>
      </c>
      <c r="Q35" s="241">
        <f t="shared" si="10"/>
        <v>0</v>
      </c>
      <c r="R35" s="241">
        <f t="shared" si="10"/>
        <v>0</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0</v>
      </c>
      <c r="N36" s="241">
        <f t="shared" si="11"/>
        <v>0</v>
      </c>
      <c r="O36" s="241">
        <f t="shared" si="11"/>
        <v>0</v>
      </c>
      <c r="P36" s="241">
        <f t="shared" si="11"/>
        <v>0</v>
      </c>
      <c r="Q36" s="241">
        <f t="shared" si="11"/>
        <v>0</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0</v>
      </c>
      <c r="M37" s="242">
        <f t="shared" si="12"/>
        <v>0</v>
      </c>
      <c r="N37" s="242">
        <f t="shared" si="12"/>
        <v>0</v>
      </c>
      <c r="O37" s="242">
        <f t="shared" si="12"/>
        <v>0</v>
      </c>
      <c r="P37" s="242">
        <f t="shared" si="12"/>
        <v>0</v>
      </c>
      <c r="Q37" s="242">
        <f t="shared" si="12"/>
        <v>0</v>
      </c>
      <c r="R37" s="242">
        <f t="shared" si="12"/>
        <v>0</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0</v>
      </c>
      <c r="N40" s="241">
        <f t="shared" si="14"/>
        <v>0</v>
      </c>
      <c r="O40" s="241">
        <f t="shared" si="14"/>
        <v>0</v>
      </c>
      <c r="P40" s="241">
        <f t="shared" si="14"/>
        <v>0</v>
      </c>
      <c r="Q40" s="241">
        <f t="shared" si="14"/>
        <v>0</v>
      </c>
      <c r="R40" s="241">
        <f t="shared" si="14"/>
        <v>0</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InpR!E$108</f>
        <v>WACC on RCV - CPI(H) + RPI wedge bf and additions - BR</v>
      </c>
      <c r="F45" s="205">
        <f xml:space="preserve"> InpR!F$108</f>
        <v>0</v>
      </c>
      <c r="G45" s="223" t="str">
        <f xml:space="preserve"> InpR!G$108</f>
        <v>%</v>
      </c>
      <c r="H45" s="205">
        <f xml:space="preserve"> InpR!H$108</f>
        <v>0</v>
      </c>
      <c r="I45" s="205">
        <f xml:space="preserve"> InpR!I$108</f>
        <v>0</v>
      </c>
      <c r="J45" s="205">
        <f xml:space="preserve"> InpR!J$108</f>
        <v>0</v>
      </c>
      <c r="K45" s="205">
        <f xml:space="preserve"> InpR!K$108</f>
        <v>0</v>
      </c>
      <c r="L45" s="205">
        <f xml:space="preserve"> InpR!L$108</f>
        <v>0</v>
      </c>
      <c r="M45" s="205">
        <f xml:space="preserve"> InpR!M$108</f>
        <v>1.920357193840716E-2</v>
      </c>
      <c r="N45" s="205">
        <f xml:space="preserve"> InpR!N$108</f>
        <v>1.920357193840716E-2</v>
      </c>
      <c r="O45" s="205">
        <f xml:space="preserve"> InpR!O$108</f>
        <v>1.920357193840716E-2</v>
      </c>
      <c r="P45" s="205">
        <f xml:space="preserve"> InpR!P$108</f>
        <v>1.920357193840716E-2</v>
      </c>
      <c r="Q45" s="205">
        <f xml:space="preserve"> InpR!Q$108</f>
        <v>1.920357193840716E-2</v>
      </c>
      <c r="R45" s="205">
        <f xml:space="preserve"> InpR!R$108</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0</v>
      </c>
      <c r="N68" s="240">
        <f t="shared" si="25"/>
        <v>0</v>
      </c>
      <c r="O68" s="240">
        <f t="shared" si="25"/>
        <v>0</v>
      </c>
      <c r="P68" s="240">
        <f t="shared" si="25"/>
        <v>0</v>
      </c>
      <c r="Q68" s="240">
        <f t="shared" si="25"/>
        <v>0</v>
      </c>
      <c r="R68" s="240">
        <f t="shared" si="25"/>
        <v>0</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0</v>
      </c>
      <c r="N70" s="184">
        <f t="shared" ref="N70:R70" si="27">N68*N69</f>
        <v>0</v>
      </c>
      <c r="O70" s="184">
        <f t="shared" si="27"/>
        <v>0</v>
      </c>
      <c r="P70" s="184">
        <f t="shared" si="27"/>
        <v>0</v>
      </c>
      <c r="Q70" s="184">
        <f t="shared" si="27"/>
        <v>0</v>
      </c>
      <c r="R70" s="184">
        <f t="shared" si="27"/>
        <v>0</v>
      </c>
    </row>
    <row r="71" spans="1:16383" x14ac:dyDescent="0.25"/>
    <row r="72" spans="1:16383" s="205" customFormat="1" x14ac:dyDescent="0.25">
      <c r="A72" s="201"/>
      <c r="B72" s="202"/>
      <c r="C72" s="203"/>
      <c r="D72" s="204"/>
      <c r="E72" s="37" t="str">
        <f xml:space="preserve"> InpR!E$101</f>
        <v>Run-off rate - CPI(H) + RPI wedge - active - BR</v>
      </c>
      <c r="F72" s="205">
        <f xml:space="preserve"> InpR!F$101</f>
        <v>0</v>
      </c>
      <c r="G72" s="223" t="str">
        <f xml:space="preserve"> InpR!G$101</f>
        <v>%</v>
      </c>
      <c r="H72" s="205">
        <f xml:space="preserve"> InpR!H$101</f>
        <v>0</v>
      </c>
      <c r="I72" s="205">
        <f xml:space="preserve"> InpR!I$101</f>
        <v>0</v>
      </c>
      <c r="J72" s="205">
        <f xml:space="preserve"> InpR!J$101</f>
        <v>0</v>
      </c>
      <c r="K72" s="205">
        <f xml:space="preserve"> InpR!K$101</f>
        <v>0</v>
      </c>
      <c r="L72" s="205">
        <f xml:space="preserve"> InpR!L$101</f>
        <v>0</v>
      </c>
      <c r="M72" s="205">
        <f xml:space="preserve"> InpR!M$101</f>
        <v>0</v>
      </c>
      <c r="N72" s="205">
        <f xml:space="preserve"> InpR!N$101</f>
        <v>0</v>
      </c>
      <c r="O72" s="205">
        <f xml:space="preserve"> InpR!O$101</f>
        <v>0</v>
      </c>
      <c r="P72" s="205">
        <f xml:space="preserve"> InpR!P$101</f>
        <v>0</v>
      </c>
      <c r="Q72" s="205">
        <f xml:space="preserve"> InpR!Q$101</f>
        <v>0</v>
      </c>
      <c r="R72" s="205">
        <f xml:space="preserve"> InpR!R$101</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0</v>
      </c>
      <c r="N73" s="240">
        <f t="shared" si="28"/>
        <v>0</v>
      </c>
      <c r="O73" s="240">
        <f t="shared" si="28"/>
        <v>0</v>
      </c>
      <c r="P73" s="240">
        <f t="shared" si="28"/>
        <v>0</v>
      </c>
      <c r="Q73" s="240">
        <f t="shared" si="28"/>
        <v>0</v>
      </c>
      <c r="R73" s="240">
        <f t="shared" si="28"/>
        <v>0</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0</v>
      </c>
      <c r="N74" s="184">
        <f t="shared" si="29"/>
        <v>0</v>
      </c>
      <c r="O74" s="184">
        <f t="shared" si="29"/>
        <v>0</v>
      </c>
      <c r="P74" s="184">
        <f t="shared" si="29"/>
        <v>0</v>
      </c>
      <c r="Q74" s="184">
        <f t="shared" si="29"/>
        <v>0</v>
      </c>
      <c r="R74" s="184">
        <f t="shared" si="29"/>
        <v>0</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0</v>
      </c>
      <c r="N75" s="184">
        <f xml:space="preserve"> (N73+N74) * N72</f>
        <v>0</v>
      </c>
      <c r="O75" s="184">
        <f t="shared" si="30"/>
        <v>0</v>
      </c>
      <c r="P75" s="184">
        <f t="shared" si="30"/>
        <v>0</v>
      </c>
      <c r="Q75" s="184">
        <f t="shared" si="30"/>
        <v>0</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InpR!E$94</f>
        <v>RCV - CPI(H) + RPI wedge initial balance - nominal - BR</v>
      </c>
      <c r="F77" s="249">
        <f>InpR!F$94</f>
        <v>0</v>
      </c>
      <c r="G77" s="30" t="str">
        <f>InpR!G$94</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0" t="str">
        <f>Index!E$47</f>
        <v>CPI(H): Fin year average - inflate from base year 2017-18 average - final determination</v>
      </c>
      <c r="F78" s="205">
        <f>Index!F$47</f>
        <v>0</v>
      </c>
      <c r="G78" s="248" t="str">
        <f>Index!G$47</f>
        <v>%</v>
      </c>
      <c r="H78" s="205">
        <f>Index!H$47</f>
        <v>0</v>
      </c>
      <c r="I78" s="205">
        <f>Index!I$47</f>
        <v>0</v>
      </c>
      <c r="J78" s="205">
        <f>Index!J$47</f>
        <v>0</v>
      </c>
      <c r="K78" s="205">
        <f>Index!K$47</f>
        <v>1.0212697905005599</v>
      </c>
      <c r="L78" s="205">
        <f>Index!L$47</f>
        <v>1.0416029201511179</v>
      </c>
      <c r="M78" s="205">
        <f>Index!M$47</f>
        <v>1.0622616980779827</v>
      </c>
      <c r="N78" s="205">
        <f>Index!N$47</f>
        <v>1.0835515290872799</v>
      </c>
      <c r="O78" s="205">
        <f>Index!O$47</f>
        <v>1.1060365794841869</v>
      </c>
      <c r="P78" s="205">
        <f>Index!P$47</f>
        <v>1.1292633476533553</v>
      </c>
      <c r="Q78" s="205">
        <f>Index!Q$47</f>
        <v>1.1529778779540774</v>
      </c>
      <c r="R78" s="205">
        <f>Index!R$47</f>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44" t="str">
        <f>Index!E$111</f>
        <v>CPI(H): Fin year average - inflate from base year 2017-18 average - actual (including forecast)</v>
      </c>
      <c r="F79" s="344">
        <f>Index!F$111</f>
        <v>0</v>
      </c>
      <c r="G79" s="344" t="str">
        <f>Index!G$111</f>
        <v>%</v>
      </c>
      <c r="H79" s="344">
        <f>Index!H$111</f>
        <v>0</v>
      </c>
      <c r="I79" s="344">
        <f>Index!I$111</f>
        <v>0</v>
      </c>
      <c r="J79" s="344">
        <f>Index!J$111</f>
        <v>0</v>
      </c>
      <c r="K79" s="344">
        <f>Index!K$111</f>
        <v>1.0212697905005599</v>
      </c>
      <c r="L79" s="344">
        <f>Index!L$111</f>
        <v>1.0386214616983847</v>
      </c>
      <c r="M79" s="344">
        <f>Index!M$111</f>
        <v>1.0469374700143934</v>
      </c>
      <c r="N79" s="344">
        <f>Index!N$111</f>
        <v>1.0853990084759317</v>
      </c>
      <c r="O79" s="344">
        <f>Index!O$111</f>
        <v>1.1806332960179113</v>
      </c>
      <c r="P79" s="344">
        <f>Index!P$111</f>
        <v>1.2461218615064769</v>
      </c>
      <c r="Q79" s="344">
        <f>Index!Q$111</f>
        <v>1.2861826323364782</v>
      </c>
      <c r="R79" s="344">
        <f>Index!R$111</f>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555</v>
      </c>
      <c r="F81" s="243">
        <f>(F77/SUMPRODUCT(J78:R78,J80:R80)) * SUMPRODUCT(J79:R79,J80:R80)</f>
        <v>0</v>
      </c>
      <c r="G81" s="243" t="s">
        <v>238</v>
      </c>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F82" s="138"/>
      <c r="G82" s="138"/>
      <c r="H82" s="138"/>
    </row>
    <row r="83" spans="1:16383" s="200" customFormat="1" x14ac:dyDescent="0.25">
      <c r="A83" s="331"/>
      <c r="B83" s="346"/>
      <c r="C83" s="347"/>
      <c r="D83" s="348"/>
      <c r="E83" s="345" t="str">
        <f>E$81</f>
        <v>RCV - CPI(H) + RPI wedge initial balance adjusted for actual inflation - nominal - BR</v>
      </c>
      <c r="F83" s="354">
        <f t="shared" ref="F83:G83" si="31">F$81</f>
        <v>0</v>
      </c>
      <c r="G83" s="345" t="str">
        <f t="shared" si="31"/>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2" xml:space="preserve"> I89</f>
        <v>0</v>
      </c>
      <c r="K86" s="241">
        <f t="shared" si="32"/>
        <v>0</v>
      </c>
      <c r="L86" s="241">
        <f t="shared" si="32"/>
        <v>0</v>
      </c>
      <c r="M86" s="241">
        <f t="shared" si="32"/>
        <v>0</v>
      </c>
      <c r="N86" s="241">
        <f t="shared" si="32"/>
        <v>0</v>
      </c>
      <c r="O86" s="241">
        <f t="shared" si="32"/>
        <v>0</v>
      </c>
      <c r="P86" s="241">
        <f t="shared" si="32"/>
        <v>0</v>
      </c>
      <c r="Q86" s="241">
        <f t="shared" si="32"/>
        <v>0</v>
      </c>
      <c r="R86" s="241">
        <f t="shared" si="32"/>
        <v>0</v>
      </c>
    </row>
    <row r="87" spans="1:16383" x14ac:dyDescent="0.25">
      <c r="A87" s="47"/>
      <c r="B87" s="51"/>
      <c r="C87" s="111"/>
      <c r="D87" s="56" t="s">
        <v>445</v>
      </c>
      <c r="E87" s="7" t="str">
        <f t="shared" ref="E87:R87" si="33" xml:space="preserve"> E$70</f>
        <v>Actual RCV indexation - nominal</v>
      </c>
      <c r="F87" s="241">
        <f t="shared" si="33"/>
        <v>0</v>
      </c>
      <c r="G87" s="162" t="str">
        <f t="shared" si="33"/>
        <v>£m</v>
      </c>
      <c r="H87" s="241">
        <f t="shared" si="33"/>
        <v>0</v>
      </c>
      <c r="I87" s="162">
        <f t="shared" si="33"/>
        <v>0</v>
      </c>
      <c r="J87" s="241">
        <f t="shared" si="33"/>
        <v>0</v>
      </c>
      <c r="K87" s="241">
        <f t="shared" si="33"/>
        <v>0</v>
      </c>
      <c r="L87" s="241">
        <f t="shared" si="33"/>
        <v>0</v>
      </c>
      <c r="M87" s="241">
        <f t="shared" si="33"/>
        <v>0</v>
      </c>
      <c r="N87" s="241">
        <f t="shared" si="33"/>
        <v>0</v>
      </c>
      <c r="O87" s="241">
        <f t="shared" si="33"/>
        <v>0</v>
      </c>
      <c r="P87" s="241">
        <f t="shared" si="33"/>
        <v>0</v>
      </c>
      <c r="Q87" s="241">
        <f t="shared" si="33"/>
        <v>0</v>
      </c>
      <c r="R87" s="241">
        <f t="shared" si="33"/>
        <v>0</v>
      </c>
    </row>
    <row r="88" spans="1:16383" x14ac:dyDescent="0.25">
      <c r="A88" s="47"/>
      <c r="B88" s="51"/>
      <c r="C88" s="111"/>
      <c r="D88" s="56" t="s">
        <v>446</v>
      </c>
      <c r="E88" s="7" t="str">
        <f t="shared" ref="E88:R88" si="34" xml:space="preserve"> E$75</f>
        <v>RCV run-off company should have received - nominal</v>
      </c>
      <c r="F88" s="241">
        <f t="shared" si="34"/>
        <v>0</v>
      </c>
      <c r="G88" s="162" t="str">
        <f t="shared" si="34"/>
        <v>£m</v>
      </c>
      <c r="H88" s="241">
        <f t="shared" si="34"/>
        <v>0</v>
      </c>
      <c r="I88" s="162">
        <f t="shared" si="34"/>
        <v>0</v>
      </c>
      <c r="J88" s="241">
        <f t="shared" si="34"/>
        <v>0</v>
      </c>
      <c r="K88" s="241">
        <f t="shared" si="34"/>
        <v>0</v>
      </c>
      <c r="L88" s="241">
        <f t="shared" si="34"/>
        <v>0</v>
      </c>
      <c r="M88" s="241">
        <f t="shared" si="34"/>
        <v>0</v>
      </c>
      <c r="N88" s="241">
        <f t="shared" si="34"/>
        <v>0</v>
      </c>
      <c r="O88" s="241">
        <f t="shared" si="34"/>
        <v>0</v>
      </c>
      <c r="P88" s="241">
        <f t="shared" si="34"/>
        <v>0</v>
      </c>
      <c r="Q88" s="241">
        <f t="shared" si="34"/>
        <v>0</v>
      </c>
      <c r="R88" s="241">
        <f t="shared" si="34"/>
        <v>0</v>
      </c>
    </row>
    <row r="89" spans="1:16383" s="138" customFormat="1" x14ac:dyDescent="0.25">
      <c r="A89" s="134"/>
      <c r="B89" s="135"/>
      <c r="C89" s="136"/>
      <c r="D89" s="137"/>
      <c r="E89" s="138" t="s">
        <v>465</v>
      </c>
      <c r="G89" s="163" t="s">
        <v>238</v>
      </c>
      <c r="J89" s="242">
        <f t="shared" ref="J89:R89" si="35" xml:space="preserve"> IF( J84 = 1, $F83, J86 + J87 - J88)</f>
        <v>0</v>
      </c>
      <c r="K89" s="242">
        <f t="shared" si="35"/>
        <v>0</v>
      </c>
      <c r="L89" s="242">
        <f t="shared" si="35"/>
        <v>0</v>
      </c>
      <c r="M89" s="242">
        <f t="shared" si="35"/>
        <v>0</v>
      </c>
      <c r="N89" s="242">
        <f t="shared" si="35"/>
        <v>0</v>
      </c>
      <c r="O89" s="242">
        <f t="shared" si="35"/>
        <v>0</v>
      </c>
      <c r="P89" s="242">
        <f t="shared" si="35"/>
        <v>0</v>
      </c>
      <c r="Q89" s="242">
        <f t="shared" si="35"/>
        <v>0</v>
      </c>
      <c r="R89" s="242">
        <f t="shared" si="35"/>
        <v>0</v>
      </c>
    </row>
    <row r="90" spans="1:16383" x14ac:dyDescent="0.25"/>
    <row r="91" spans="1:16383" s="92" customFormat="1" x14ac:dyDescent="0.25">
      <c r="A91" s="164"/>
      <c r="B91" s="165"/>
      <c r="C91" s="166"/>
      <c r="D91" s="167"/>
      <c r="E91" s="7" t="str">
        <f t="shared" ref="E91:R91" si="36" xml:space="preserve"> E$86</f>
        <v>Actual Nominal RCV balance BEG</v>
      </c>
      <c r="F91" s="185">
        <f t="shared" si="36"/>
        <v>0</v>
      </c>
      <c r="G91" s="92" t="str">
        <f t="shared" si="36"/>
        <v>£m</v>
      </c>
      <c r="H91" s="185">
        <f t="shared" si="36"/>
        <v>0</v>
      </c>
      <c r="I91" s="185">
        <f t="shared" si="36"/>
        <v>0</v>
      </c>
      <c r="J91" s="185">
        <f t="shared" si="36"/>
        <v>0</v>
      </c>
      <c r="K91" s="185">
        <f t="shared" si="36"/>
        <v>0</v>
      </c>
      <c r="L91" s="185">
        <f t="shared" si="36"/>
        <v>0</v>
      </c>
      <c r="M91" s="185">
        <f t="shared" si="36"/>
        <v>0</v>
      </c>
      <c r="N91" s="185">
        <f t="shared" si="36"/>
        <v>0</v>
      </c>
      <c r="O91" s="185">
        <f t="shared" si="36"/>
        <v>0</v>
      </c>
      <c r="P91" s="185">
        <f t="shared" si="36"/>
        <v>0</v>
      </c>
      <c r="Q91" s="185">
        <f t="shared" si="36"/>
        <v>0</v>
      </c>
      <c r="R91" s="185">
        <f t="shared" si="36"/>
        <v>0</v>
      </c>
    </row>
    <row r="92" spans="1:16383" s="92" customFormat="1" x14ac:dyDescent="0.25">
      <c r="A92" s="164"/>
      <c r="B92" s="165"/>
      <c r="C92" s="166"/>
      <c r="D92" s="167"/>
      <c r="E92" s="7" t="str">
        <f t="shared" ref="E92:R92" si="37" xml:space="preserve"> E$87</f>
        <v>Actual RCV indexation - nominal</v>
      </c>
      <c r="F92" s="241">
        <f t="shared" si="37"/>
        <v>0</v>
      </c>
      <c r="G92" s="162" t="str">
        <f t="shared" si="37"/>
        <v>£m</v>
      </c>
      <c r="H92" s="241">
        <f t="shared" si="37"/>
        <v>0</v>
      </c>
      <c r="I92" s="241">
        <f t="shared" si="37"/>
        <v>0</v>
      </c>
      <c r="J92" s="241">
        <f t="shared" si="37"/>
        <v>0</v>
      </c>
      <c r="K92" s="241">
        <f t="shared" si="37"/>
        <v>0</v>
      </c>
      <c r="L92" s="241">
        <f t="shared" si="37"/>
        <v>0</v>
      </c>
      <c r="M92" s="241">
        <f t="shared" si="37"/>
        <v>0</v>
      </c>
      <c r="N92" s="241">
        <f t="shared" si="37"/>
        <v>0</v>
      </c>
      <c r="O92" s="241">
        <f t="shared" si="37"/>
        <v>0</v>
      </c>
      <c r="P92" s="241">
        <f t="shared" si="37"/>
        <v>0</v>
      </c>
      <c r="Q92" s="241">
        <f t="shared" si="37"/>
        <v>0</v>
      </c>
      <c r="R92" s="241">
        <f t="shared" si="37"/>
        <v>0</v>
      </c>
    </row>
    <row r="93" spans="1:16383" s="92" customFormat="1" x14ac:dyDescent="0.25">
      <c r="A93" s="164"/>
      <c r="B93" s="165"/>
      <c r="C93" s="166"/>
      <c r="D93" s="167"/>
      <c r="E93" s="7" t="str">
        <f t="shared" ref="E93:R93" si="38" xml:space="preserve"> E$89</f>
        <v>Actual Nominal RCV balance END</v>
      </c>
      <c r="F93" s="185">
        <f t="shared" si="38"/>
        <v>0</v>
      </c>
      <c r="G93" s="92" t="str">
        <f t="shared" si="38"/>
        <v>£m</v>
      </c>
      <c r="H93" s="185">
        <f t="shared" si="38"/>
        <v>0</v>
      </c>
      <c r="I93" s="185">
        <f t="shared" si="38"/>
        <v>0</v>
      </c>
      <c r="J93" s="185">
        <f t="shared" si="38"/>
        <v>0</v>
      </c>
      <c r="K93" s="185">
        <f t="shared" si="38"/>
        <v>0</v>
      </c>
      <c r="L93" s="185">
        <f t="shared" si="38"/>
        <v>0</v>
      </c>
      <c r="M93" s="185">
        <f t="shared" si="38"/>
        <v>0</v>
      </c>
      <c r="N93" s="185">
        <f t="shared" si="38"/>
        <v>0</v>
      </c>
      <c r="O93" s="185">
        <f t="shared" si="38"/>
        <v>0</v>
      </c>
      <c r="P93" s="185">
        <f t="shared" si="38"/>
        <v>0</v>
      </c>
      <c r="Q93" s="185">
        <f t="shared" si="38"/>
        <v>0</v>
      </c>
      <c r="R93" s="185">
        <f t="shared" si="38"/>
        <v>0</v>
      </c>
    </row>
    <row r="94" spans="1:16383" x14ac:dyDescent="0.25">
      <c r="A94" s="49"/>
      <c r="D94" s="57"/>
      <c r="E94" s="7" t="s">
        <v>466</v>
      </c>
      <c r="G94" s="92" t="s">
        <v>238</v>
      </c>
      <c r="H94" s="243"/>
      <c r="I94" s="243"/>
      <c r="J94" s="185">
        <f t="shared" ref="J94:K94" si="39" xml:space="preserve"> ( (J91+J92) + J93) / 2</f>
        <v>0</v>
      </c>
      <c r="K94" s="185">
        <f t="shared" si="39"/>
        <v>0</v>
      </c>
      <c r="L94" s="185">
        <f xml:space="preserve"> ( (L91+L92) + L93) / 2</f>
        <v>0</v>
      </c>
      <c r="M94" s="185">
        <f xml:space="preserve"> ( (M91+M92) + M93) / 2</f>
        <v>0</v>
      </c>
      <c r="N94" s="185">
        <f t="shared" ref="N94:P94" si="40" xml:space="preserve"> ( (N91+N92) + N93) / 2</f>
        <v>0</v>
      </c>
      <c r="O94" s="185">
        <f t="shared" si="40"/>
        <v>0</v>
      </c>
      <c r="P94" s="185">
        <f t="shared" si="40"/>
        <v>0</v>
      </c>
      <c r="Q94" s="185">
        <f xml:space="preserve"> ( (Q91+Q92) + Q93) / 2</f>
        <v>0</v>
      </c>
      <c r="R94" s="185">
        <f t="shared" ref="R94" si="41"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InpR!E$108</f>
        <v>WACC on RCV - CPI(H) + RPI wedge bf and additions - BR</v>
      </c>
      <c r="F97" s="205">
        <f xml:space="preserve"> InpR!F$108</f>
        <v>0</v>
      </c>
      <c r="G97" s="223" t="str">
        <f xml:space="preserve"> InpR!G$108</f>
        <v>%</v>
      </c>
      <c r="H97" s="205">
        <f xml:space="preserve"> InpR!H$108</f>
        <v>0</v>
      </c>
      <c r="I97" s="205">
        <f xml:space="preserve"> InpR!I$108</f>
        <v>0</v>
      </c>
      <c r="J97" s="205">
        <f xml:space="preserve"> InpR!J$108</f>
        <v>0</v>
      </c>
      <c r="K97" s="205">
        <f xml:space="preserve"> InpR!K$108</f>
        <v>0</v>
      </c>
      <c r="L97" s="205">
        <f xml:space="preserve"> InpR!L$108</f>
        <v>0</v>
      </c>
      <c r="M97" s="205">
        <f xml:space="preserve"> InpR!M$108</f>
        <v>1.920357193840716E-2</v>
      </c>
      <c r="N97" s="205">
        <f xml:space="preserve"> InpR!N$108</f>
        <v>1.920357193840716E-2</v>
      </c>
      <c r="O97" s="205">
        <f xml:space="preserve"> InpR!O$108</f>
        <v>1.920357193840716E-2</v>
      </c>
      <c r="P97" s="205">
        <f xml:space="preserve"> InpR!P$108</f>
        <v>1.920357193840716E-2</v>
      </c>
      <c r="Q97" s="205">
        <f xml:space="preserve"> InpR!Q$108</f>
        <v>1.920357193840716E-2</v>
      </c>
      <c r="R97" s="205">
        <f xml:space="preserve"> InpR!R$108</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2" xml:space="preserve"> E$94</f>
        <v>Actual average RCV balance</v>
      </c>
      <c r="F99" s="184">
        <f t="shared" si="42"/>
        <v>0</v>
      </c>
      <c r="G99" s="184" t="str">
        <f t="shared" si="42"/>
        <v>£m</v>
      </c>
      <c r="H99" s="184">
        <f t="shared" si="42"/>
        <v>0</v>
      </c>
      <c r="I99" s="184">
        <f t="shared" si="42"/>
        <v>0</v>
      </c>
      <c r="J99" s="184">
        <f t="shared" si="42"/>
        <v>0</v>
      </c>
      <c r="K99" s="184">
        <f t="shared" si="42"/>
        <v>0</v>
      </c>
      <c r="L99" s="184">
        <f t="shared" si="42"/>
        <v>0</v>
      </c>
      <c r="M99" s="184">
        <f t="shared" si="42"/>
        <v>0</v>
      </c>
      <c r="N99" s="184">
        <f t="shared" si="42"/>
        <v>0</v>
      </c>
      <c r="O99" s="184">
        <f t="shared" si="42"/>
        <v>0</v>
      </c>
      <c r="P99" s="184">
        <f t="shared" si="42"/>
        <v>0</v>
      </c>
      <c r="Q99" s="184">
        <f t="shared" si="42"/>
        <v>0</v>
      </c>
      <c r="R99" s="184">
        <f t="shared" si="42"/>
        <v>0</v>
      </c>
    </row>
    <row r="100" spans="1:26" x14ac:dyDescent="0.25">
      <c r="E100" s="7" t="s">
        <v>468</v>
      </c>
      <c r="F100" s="243"/>
      <c r="G100" s="184" t="s">
        <v>238</v>
      </c>
      <c r="H100" s="243"/>
      <c r="I100" s="243"/>
      <c r="J100" s="243">
        <f t="shared" ref="J100:K100" si="43">J97*J98*J99</f>
        <v>0</v>
      </c>
      <c r="K100" s="243">
        <f t="shared" si="43"/>
        <v>0</v>
      </c>
      <c r="L100" s="243">
        <f>L97*L98*L99</f>
        <v>0</v>
      </c>
      <c r="M100" s="243">
        <f>M97*M98*M99</f>
        <v>0</v>
      </c>
      <c r="N100" s="243">
        <f t="shared" ref="N100:R100" si="44">N97*N98*N99</f>
        <v>0</v>
      </c>
      <c r="O100" s="243">
        <f t="shared" si="44"/>
        <v>0</v>
      </c>
      <c r="P100" s="243">
        <f t="shared" si="44"/>
        <v>0</v>
      </c>
      <c r="Q100" s="243">
        <f t="shared" si="44"/>
        <v>0</v>
      </c>
      <c r="R100" s="243">
        <f t="shared" si="44"/>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5" xml:space="preserve"> E$89</f>
        <v>Actual Nominal RCV balance END</v>
      </c>
      <c r="F103" s="185">
        <f t="shared" si="45"/>
        <v>0</v>
      </c>
      <c r="G103" s="185" t="str">
        <f t="shared" si="45"/>
        <v>£m</v>
      </c>
      <c r="H103" s="185">
        <f t="shared" si="45"/>
        <v>0</v>
      </c>
      <c r="I103" s="185">
        <f t="shared" si="45"/>
        <v>0</v>
      </c>
      <c r="J103" s="185">
        <f t="shared" si="45"/>
        <v>0</v>
      </c>
      <c r="K103" s="185">
        <f t="shared" si="45"/>
        <v>0</v>
      </c>
      <c r="L103" s="185">
        <f t="shared" si="45"/>
        <v>0</v>
      </c>
      <c r="M103" s="185">
        <f t="shared" si="45"/>
        <v>0</v>
      </c>
      <c r="N103" s="185">
        <f t="shared" si="45"/>
        <v>0</v>
      </c>
      <c r="O103" s="185">
        <f t="shared" si="45"/>
        <v>0</v>
      </c>
      <c r="P103" s="185">
        <f t="shared" si="45"/>
        <v>0</v>
      </c>
      <c r="Q103" s="185">
        <f t="shared" si="45"/>
        <v>0</v>
      </c>
      <c r="R103" s="185">
        <f t="shared" si="45"/>
        <v>0</v>
      </c>
    </row>
    <row r="104" spans="1:26" x14ac:dyDescent="0.25">
      <c r="C104" s="267"/>
      <c r="E104" s="7" t="s">
        <v>469</v>
      </c>
      <c r="F104" s="243"/>
      <c r="G104" s="243"/>
      <c r="H104" s="243"/>
      <c r="I104" s="243"/>
      <c r="J104" s="184">
        <f>J103 * J102</f>
        <v>0</v>
      </c>
      <c r="K104" s="184">
        <f t="shared" ref="K104:R104" si="46">K103 * K102</f>
        <v>0</v>
      </c>
      <c r="L104" s="184">
        <f t="shared" si="46"/>
        <v>0</v>
      </c>
      <c r="M104" s="184">
        <f t="shared" si="46"/>
        <v>0</v>
      </c>
      <c r="N104" s="184">
        <f t="shared" si="46"/>
        <v>0</v>
      </c>
      <c r="O104" s="184">
        <f t="shared" si="46"/>
        <v>0</v>
      </c>
      <c r="P104" s="184">
        <f t="shared" si="46"/>
        <v>0</v>
      </c>
      <c r="Q104" s="184">
        <f t="shared" si="46"/>
        <v>0</v>
      </c>
      <c r="R104" s="184">
        <f t="shared" si="46"/>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7" xml:space="preserve"> E$75</f>
        <v>RCV run-off company should have received - nominal</v>
      </c>
      <c r="F107" s="184">
        <f t="shared" si="47"/>
        <v>0</v>
      </c>
      <c r="G107" s="184" t="str">
        <f t="shared" si="47"/>
        <v>£m</v>
      </c>
      <c r="H107" s="184">
        <f t="shared" si="47"/>
        <v>0</v>
      </c>
      <c r="I107" s="184">
        <f t="shared" si="47"/>
        <v>0</v>
      </c>
      <c r="J107" s="184">
        <f t="shared" si="47"/>
        <v>0</v>
      </c>
      <c r="K107" s="184">
        <f t="shared" si="47"/>
        <v>0</v>
      </c>
      <c r="L107" s="184">
        <f t="shared" si="47"/>
        <v>0</v>
      </c>
      <c r="M107" s="184">
        <f t="shared" si="47"/>
        <v>0</v>
      </c>
      <c r="N107" s="184">
        <f t="shared" si="47"/>
        <v>0</v>
      </c>
      <c r="O107" s="184">
        <f t="shared" si="47"/>
        <v>0</v>
      </c>
      <c r="P107" s="184">
        <f t="shared" si="47"/>
        <v>0</v>
      </c>
      <c r="Q107" s="184">
        <f t="shared" si="47"/>
        <v>0</v>
      </c>
      <c r="R107" s="184">
        <f t="shared" si="47"/>
        <v>0</v>
      </c>
    </row>
    <row r="108" spans="1:26" s="91" customFormat="1" x14ac:dyDescent="0.25">
      <c r="A108" s="170"/>
      <c r="B108" s="165"/>
      <c r="C108" s="166"/>
      <c r="D108" s="171"/>
      <c r="E108" s="7" t="str">
        <f t="shared" ref="E108:R109" si="48" xml:space="preserve"> E$100</f>
        <v>Nominal return company should have received</v>
      </c>
      <c r="F108" s="184">
        <f t="shared" si="48"/>
        <v>0</v>
      </c>
      <c r="G108" s="184" t="str">
        <f t="shared" si="48"/>
        <v>£m</v>
      </c>
      <c r="H108" s="184">
        <f t="shared" si="48"/>
        <v>0</v>
      </c>
      <c r="I108" s="184">
        <f t="shared" si="48"/>
        <v>0</v>
      </c>
      <c r="J108" s="184">
        <f t="shared" si="48"/>
        <v>0</v>
      </c>
      <c r="K108" s="184">
        <f t="shared" si="48"/>
        <v>0</v>
      </c>
      <c r="L108" s="184">
        <f t="shared" si="48"/>
        <v>0</v>
      </c>
      <c r="M108" s="184">
        <f t="shared" si="48"/>
        <v>0</v>
      </c>
      <c r="N108" s="184">
        <f t="shared" si="48"/>
        <v>0</v>
      </c>
      <c r="O108" s="184">
        <f t="shared" si="48"/>
        <v>0</v>
      </c>
      <c r="P108" s="184">
        <f t="shared" si="48"/>
        <v>0</v>
      </c>
      <c r="Q108" s="184">
        <f t="shared" si="48"/>
        <v>0</v>
      </c>
      <c r="R108" s="184">
        <f t="shared" si="48"/>
        <v>0</v>
      </c>
      <c r="S108" s="92"/>
      <c r="T108" s="92"/>
      <c r="U108" s="92"/>
      <c r="V108" s="92"/>
      <c r="W108" s="92"/>
      <c r="X108" s="92"/>
      <c r="Y108" s="92"/>
      <c r="Z108" s="92"/>
    </row>
    <row r="109" spans="1:26" x14ac:dyDescent="0.25">
      <c r="E109" s="7" t="s">
        <v>471</v>
      </c>
      <c r="F109" s="243"/>
      <c r="G109" s="184" t="str">
        <f t="shared" si="48"/>
        <v>£m</v>
      </c>
      <c r="H109" s="243">
        <f>SUM(J109:R109)</f>
        <v>0</v>
      </c>
      <c r="I109" s="243"/>
      <c r="J109" s="243">
        <f t="shared" ref="J109:R109" si="49">SUM(J107:J108)</f>
        <v>0</v>
      </c>
      <c r="K109" s="243">
        <f t="shared" si="49"/>
        <v>0</v>
      </c>
      <c r="L109" s="243">
        <f t="shared" si="49"/>
        <v>0</v>
      </c>
      <c r="M109" s="243">
        <f t="shared" si="49"/>
        <v>0</v>
      </c>
      <c r="N109" s="243">
        <f t="shared" si="49"/>
        <v>0</v>
      </c>
      <c r="O109" s="243">
        <f t="shared" si="49"/>
        <v>0</v>
      </c>
      <c r="P109" s="243">
        <f t="shared" si="49"/>
        <v>0</v>
      </c>
      <c r="Q109" s="243">
        <f t="shared" si="49"/>
        <v>0</v>
      </c>
      <c r="R109" s="243">
        <f t="shared" si="4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0" xml:space="preserve"> F$61</f>
        <v>0</v>
      </c>
      <c r="G115" s="184" t="str">
        <f t="shared" si="50"/>
        <v>£m</v>
      </c>
      <c r="H115" s="184">
        <f t="shared" si="50"/>
        <v>0</v>
      </c>
      <c r="I115" s="184">
        <f t="shared" si="50"/>
        <v>0</v>
      </c>
      <c r="J115" s="184">
        <f t="shared" si="50"/>
        <v>0</v>
      </c>
      <c r="K115" s="184">
        <f t="shared" si="50"/>
        <v>0</v>
      </c>
      <c r="L115" s="184">
        <f t="shared" si="50"/>
        <v>0</v>
      </c>
      <c r="M115" s="184">
        <f t="shared" si="50"/>
        <v>0</v>
      </c>
      <c r="N115" s="184">
        <f t="shared" si="50"/>
        <v>0</v>
      </c>
      <c r="O115" s="184">
        <f t="shared" si="50"/>
        <v>0</v>
      </c>
      <c r="P115" s="184">
        <f t="shared" si="50"/>
        <v>0</v>
      </c>
      <c r="Q115" s="184">
        <f t="shared" si="50"/>
        <v>0</v>
      </c>
      <c r="R115" s="184">
        <f xml:space="preserve"> R$61</f>
        <v>0</v>
      </c>
    </row>
    <row r="116" spans="1:26" x14ac:dyDescent="0.25">
      <c r="E116" s="7" t="str">
        <f t="shared" ref="E116:R116" si="51" xml:space="preserve"> E$109</f>
        <v>Total nominal revenue company should have received</v>
      </c>
      <c r="F116" s="184">
        <f t="shared" si="51"/>
        <v>0</v>
      </c>
      <c r="G116" s="184" t="str">
        <f t="shared" si="51"/>
        <v>£m</v>
      </c>
      <c r="H116" s="184">
        <f t="shared" si="51"/>
        <v>0</v>
      </c>
      <c r="I116" s="184">
        <f t="shared" si="51"/>
        <v>0</v>
      </c>
      <c r="J116" s="184">
        <f t="shared" si="51"/>
        <v>0</v>
      </c>
      <c r="K116" s="184">
        <f t="shared" si="51"/>
        <v>0</v>
      </c>
      <c r="L116" s="184">
        <f t="shared" si="51"/>
        <v>0</v>
      </c>
      <c r="M116" s="184">
        <f t="shared" si="51"/>
        <v>0</v>
      </c>
      <c r="N116" s="184">
        <f t="shared" si="51"/>
        <v>0</v>
      </c>
      <c r="O116" s="184">
        <f t="shared" si="51"/>
        <v>0</v>
      </c>
      <c r="P116" s="184">
        <f t="shared" si="51"/>
        <v>0</v>
      </c>
      <c r="Q116" s="184">
        <f t="shared" si="51"/>
        <v>0</v>
      </c>
      <c r="R116" s="184">
        <f t="shared" si="51"/>
        <v>0</v>
      </c>
    </row>
    <row r="117" spans="1:26" s="184" customFormat="1" x14ac:dyDescent="0.25">
      <c r="A117" s="180"/>
      <c r="B117" s="181"/>
      <c r="C117" s="182"/>
      <c r="D117" s="183"/>
      <c r="E117" s="7" t="s">
        <v>474</v>
      </c>
      <c r="G117" s="184" t="str">
        <f t="shared" ref="G117" si="52" xml:space="preserve"> G$100</f>
        <v>£m</v>
      </c>
      <c r="H117" s="243">
        <f>SUM(J117:R117)</f>
        <v>0</v>
      </c>
      <c r="M117" s="184">
        <f>M116-M115</f>
        <v>0</v>
      </c>
      <c r="N117" s="184">
        <f t="shared" ref="N117:Q117" si="53">N116-N115</f>
        <v>0</v>
      </c>
      <c r="O117" s="184">
        <f t="shared" si="53"/>
        <v>0</v>
      </c>
      <c r="P117" s="184">
        <f t="shared" si="53"/>
        <v>0</v>
      </c>
      <c r="Q117" s="184">
        <f t="shared" si="53"/>
        <v>0</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L127" si="54">SUM(J125:J126)</f>
        <v>0</v>
      </c>
      <c r="K127" s="172">
        <f t="shared" si="54"/>
        <v>0</v>
      </c>
      <c r="L127" s="172">
        <f t="shared" si="54"/>
        <v>3.1522140708501789E-2</v>
      </c>
      <c r="M127" s="172">
        <f>SUM(M125:M126)</f>
        <v>2.4258091513662761E-2</v>
      </c>
      <c r="N127" s="172">
        <f t="shared" ref="N127:R127" si="55">SUM(N125:N126)</f>
        <v>2.9587648685595269E-2</v>
      </c>
      <c r="O127" s="172">
        <f t="shared" si="55"/>
        <v>3.150368327076003E-2</v>
      </c>
      <c r="P127" s="172">
        <f t="shared" si="55"/>
        <v>3.2000000000000695E-2</v>
      </c>
      <c r="Q127" s="172">
        <f t="shared" si="55"/>
        <v>3.1999999999999806E-2</v>
      </c>
      <c r="R127" s="172">
        <f t="shared" si="55"/>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6" xml:space="preserve"> F$141</f>
        <v>0</v>
      </c>
      <c r="G129" s="161" t="str">
        <f t="shared" si="56"/>
        <v>£m</v>
      </c>
      <c r="H129" s="326">
        <f t="shared" si="56"/>
        <v>0</v>
      </c>
      <c r="I129" s="326">
        <f t="shared" si="56"/>
        <v>0</v>
      </c>
      <c r="J129" s="326">
        <f t="shared" si="56"/>
        <v>0</v>
      </c>
      <c r="K129" s="326">
        <f xml:space="preserve"> K$141</f>
        <v>0</v>
      </c>
      <c r="L129" s="326">
        <f t="shared" si="56"/>
        <v>0</v>
      </c>
      <c r="M129" s="326">
        <f t="shared" si="56"/>
        <v>0</v>
      </c>
      <c r="N129" s="326">
        <f t="shared" si="56"/>
        <v>0</v>
      </c>
      <c r="O129" s="326">
        <f t="shared" si="56"/>
        <v>0</v>
      </c>
      <c r="P129" s="326">
        <f t="shared" si="56"/>
        <v>0</v>
      </c>
      <c r="Q129" s="326">
        <f t="shared" si="56"/>
        <v>0</v>
      </c>
      <c r="R129" s="326">
        <f t="shared" si="56"/>
        <v>0</v>
      </c>
    </row>
    <row r="130" spans="1:16383" x14ac:dyDescent="0.25">
      <c r="E130" s="178" t="str">
        <f xml:space="preserve"> E$127</f>
        <v>True up Indexation percentage</v>
      </c>
      <c r="F130" s="178">
        <f t="shared" ref="F130:R130" si="57" xml:space="preserve"> F$127</f>
        <v>0</v>
      </c>
      <c r="G130" s="178">
        <f t="shared" si="57"/>
        <v>0</v>
      </c>
      <c r="H130" s="178">
        <f t="shared" si="57"/>
        <v>0</v>
      </c>
      <c r="I130" s="178">
        <f t="shared" si="57"/>
        <v>0</v>
      </c>
      <c r="J130" s="178">
        <f t="shared" si="57"/>
        <v>0</v>
      </c>
      <c r="K130" s="178">
        <f t="shared" si="57"/>
        <v>0</v>
      </c>
      <c r="L130" s="178">
        <f t="shared" si="57"/>
        <v>3.1522140708501789E-2</v>
      </c>
      <c r="M130" s="178">
        <f t="shared" si="57"/>
        <v>2.4258091513662761E-2</v>
      </c>
      <c r="N130" s="178">
        <f t="shared" si="57"/>
        <v>2.9587648685595269E-2</v>
      </c>
      <c r="O130" s="178">
        <f t="shared" si="57"/>
        <v>3.150368327076003E-2</v>
      </c>
      <c r="P130" s="178">
        <f t="shared" si="57"/>
        <v>3.2000000000000695E-2</v>
      </c>
      <c r="Q130" s="178">
        <f t="shared" si="57"/>
        <v>3.1999999999999806E-2</v>
      </c>
      <c r="R130" s="178">
        <f t="shared" si="57"/>
        <v>2.9999999999999805E-2</v>
      </c>
    </row>
    <row r="131" spans="1:16383" x14ac:dyDescent="0.25">
      <c r="C131" s="267"/>
      <c r="E131" s="7" t="s">
        <v>480</v>
      </c>
      <c r="G131" s="91" t="s">
        <v>238</v>
      </c>
      <c r="J131" s="245">
        <f>J129*J130</f>
        <v>0</v>
      </c>
      <c r="K131" s="245">
        <f t="shared" ref="K131:L131" si="58">K129*K130</f>
        <v>0</v>
      </c>
      <c r="L131" s="245">
        <f t="shared" si="58"/>
        <v>0</v>
      </c>
      <c r="M131" s="245">
        <f>M129*M130</f>
        <v>0</v>
      </c>
      <c r="N131" s="245">
        <f t="shared" ref="N131:R131" si="59">N129*N130</f>
        <v>0</v>
      </c>
      <c r="O131" s="245">
        <f t="shared" si="59"/>
        <v>0</v>
      </c>
      <c r="P131" s="245">
        <f t="shared" si="59"/>
        <v>0</v>
      </c>
      <c r="Q131" s="245">
        <f t="shared" si="59"/>
        <v>0</v>
      </c>
      <c r="R131" s="245">
        <f t="shared" si="59"/>
        <v>0</v>
      </c>
    </row>
    <row r="132" spans="1:16383" x14ac:dyDescent="0.25"/>
    <row r="133" spans="1:16383" s="205" customFormat="1" x14ac:dyDescent="0.25">
      <c r="A133" s="201"/>
      <c r="B133" s="202"/>
      <c r="C133" s="203"/>
      <c r="D133" s="204"/>
      <c r="E133" s="37" t="str">
        <f xml:space="preserve"> InpR!E$101</f>
        <v>Run-off rate - CPI(H) + RPI wedge - active - BR</v>
      </c>
      <c r="F133" s="205">
        <f xml:space="preserve"> InpR!F$101</f>
        <v>0</v>
      </c>
      <c r="G133" s="223" t="str">
        <f xml:space="preserve"> InpR!G$101</f>
        <v>%</v>
      </c>
      <c r="H133" s="205">
        <f xml:space="preserve"> InpR!H$101</f>
        <v>0</v>
      </c>
      <c r="I133" s="205">
        <f xml:space="preserve"> InpR!I$101</f>
        <v>0</v>
      </c>
      <c r="J133" s="205">
        <f xml:space="preserve"> InpR!J$101</f>
        <v>0</v>
      </c>
      <c r="K133" s="205">
        <f xml:space="preserve"> InpR!K$101</f>
        <v>0</v>
      </c>
      <c r="L133" s="205">
        <f xml:space="preserve"> InpR!L$101</f>
        <v>0</v>
      </c>
      <c r="M133" s="205">
        <f xml:space="preserve"> InpR!M$101</f>
        <v>0</v>
      </c>
      <c r="N133" s="205">
        <f xml:space="preserve"> InpR!N$101</f>
        <v>0</v>
      </c>
      <c r="O133" s="205">
        <f xml:space="preserve"> InpR!O$101</f>
        <v>0</v>
      </c>
      <c r="P133" s="205">
        <f xml:space="preserve"> InpR!P$101</f>
        <v>0</v>
      </c>
      <c r="Q133" s="205">
        <f xml:space="preserve"> InpR!Q$101</f>
        <v>0</v>
      </c>
      <c r="R133" s="205">
        <f xml:space="preserve"> InpR!R$101</f>
        <v>0</v>
      </c>
    </row>
    <row r="134" spans="1:16383" s="161" customFormat="1" x14ac:dyDescent="0.25">
      <c r="A134" s="157"/>
      <c r="B134" s="158"/>
      <c r="C134" s="159"/>
      <c r="D134" s="160"/>
      <c r="E134" s="161" t="str">
        <f xml:space="preserve"> E$141</f>
        <v>True up Nominal RCV balance BEG</v>
      </c>
      <c r="F134" s="326">
        <f t="shared" ref="F134:R134" si="60" xml:space="preserve"> F$141</f>
        <v>0</v>
      </c>
      <c r="G134" s="161" t="str">
        <f t="shared" si="60"/>
        <v>£m</v>
      </c>
      <c r="H134" s="326">
        <f t="shared" si="60"/>
        <v>0</v>
      </c>
      <c r="I134" s="326">
        <f t="shared" si="60"/>
        <v>0</v>
      </c>
      <c r="J134" s="326">
        <f t="shared" si="60"/>
        <v>0</v>
      </c>
      <c r="K134" s="326">
        <f t="shared" si="60"/>
        <v>0</v>
      </c>
      <c r="L134" s="326">
        <f t="shared" si="60"/>
        <v>0</v>
      </c>
      <c r="M134" s="326">
        <f t="shared" si="60"/>
        <v>0</v>
      </c>
      <c r="N134" s="326">
        <f t="shared" si="60"/>
        <v>0</v>
      </c>
      <c r="O134" s="326">
        <f t="shared" si="60"/>
        <v>0</v>
      </c>
      <c r="P134" s="326">
        <f t="shared" si="60"/>
        <v>0</v>
      </c>
      <c r="Q134" s="326">
        <f t="shared" si="60"/>
        <v>0</v>
      </c>
      <c r="R134" s="326">
        <f t="shared" si="60"/>
        <v>0</v>
      </c>
    </row>
    <row r="135" spans="1:16383" x14ac:dyDescent="0.25">
      <c r="C135" s="267"/>
      <c r="E135" s="7" t="str">
        <f xml:space="preserve"> E$131</f>
        <v>True up RCV indexation</v>
      </c>
      <c r="F135" s="7">
        <f t="shared" ref="F135:R135" si="61" xml:space="preserve"> F$131</f>
        <v>0</v>
      </c>
      <c r="G135" s="91" t="str">
        <f t="shared" si="61"/>
        <v>£m</v>
      </c>
      <c r="H135" s="7">
        <f t="shared" si="61"/>
        <v>0</v>
      </c>
      <c r="I135" s="7">
        <f t="shared" si="61"/>
        <v>0</v>
      </c>
      <c r="J135" s="245">
        <f t="shared" si="61"/>
        <v>0</v>
      </c>
      <c r="K135" s="245">
        <f t="shared" si="61"/>
        <v>0</v>
      </c>
      <c r="L135" s="245">
        <f t="shared" si="61"/>
        <v>0</v>
      </c>
      <c r="M135" s="245">
        <f t="shared" si="61"/>
        <v>0</v>
      </c>
      <c r="N135" s="245">
        <f t="shared" si="61"/>
        <v>0</v>
      </c>
      <c r="O135" s="245">
        <f t="shared" si="61"/>
        <v>0</v>
      </c>
      <c r="P135" s="245">
        <f t="shared" si="61"/>
        <v>0</v>
      </c>
      <c r="Q135" s="245">
        <f t="shared" si="61"/>
        <v>0</v>
      </c>
      <c r="R135" s="245">
        <f t="shared" si="61"/>
        <v>0</v>
      </c>
    </row>
    <row r="136" spans="1:16383" x14ac:dyDescent="0.25">
      <c r="C136" s="267"/>
      <c r="E136" s="7" t="s">
        <v>481</v>
      </c>
      <c r="F136" s="246"/>
      <c r="G136" s="162" t="s">
        <v>238</v>
      </c>
      <c r="H136" s="246"/>
      <c r="I136" s="246"/>
      <c r="J136" s="245">
        <f t="shared" ref="J136:L136" si="62" xml:space="preserve"> (J134+J135) * J133</f>
        <v>0</v>
      </c>
      <c r="K136" s="245">
        <f t="shared" si="62"/>
        <v>0</v>
      </c>
      <c r="L136" s="245">
        <f t="shared" si="62"/>
        <v>0</v>
      </c>
      <c r="M136" s="245">
        <f xml:space="preserve"> (M134+M135) * M133</f>
        <v>0</v>
      </c>
      <c r="N136" s="245">
        <f t="shared" ref="N136:R136" si="63" xml:space="preserve"> (N134+N135) * N133</f>
        <v>0</v>
      </c>
      <c r="O136" s="245">
        <f t="shared" si="63"/>
        <v>0</v>
      </c>
      <c r="P136" s="245">
        <f t="shared" si="63"/>
        <v>0</v>
      </c>
      <c r="Q136" s="245">
        <f t="shared" si="63"/>
        <v>0</v>
      </c>
      <c r="R136" s="245">
        <f t="shared" si="6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F137" s="138"/>
      <c r="G137" s="138"/>
      <c r="H137" s="138"/>
    </row>
    <row r="138" spans="1:16383" s="200" customFormat="1" x14ac:dyDescent="0.25">
      <c r="A138" s="196"/>
      <c r="B138" s="197"/>
      <c r="C138" s="198"/>
      <c r="D138" s="199"/>
      <c r="E138" s="200" t="str">
        <f>InpR!$E$94</f>
        <v>RCV - CPI(H) + RPI wedge initial balance - nominal - BR</v>
      </c>
      <c r="F138" s="249">
        <f>InpR!$F$94</f>
        <v>0</v>
      </c>
      <c r="G138" s="248" t="str">
        <f>InpR!$G$94</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4" xml:space="preserve"> I144</f>
        <v>0</v>
      </c>
      <c r="K141" s="241">
        <f t="shared" ref="K141" si="65" xml:space="preserve"> J144</f>
        <v>0</v>
      </c>
      <c r="L141" s="241">
        <f t="shared" ref="L141" si="66" xml:space="preserve"> K144</f>
        <v>0</v>
      </c>
      <c r="M141" s="241">
        <f t="shared" ref="M141" si="67" xml:space="preserve"> L144</f>
        <v>0</v>
      </c>
      <c r="N141" s="241">
        <f t="shared" ref="N141" si="68" xml:space="preserve"> M144</f>
        <v>0</v>
      </c>
      <c r="O141" s="241">
        <f t="shared" ref="O141" si="69" xml:space="preserve"> N144</f>
        <v>0</v>
      </c>
      <c r="P141" s="241">
        <f t="shared" ref="P141" si="70" xml:space="preserve"> O144</f>
        <v>0</v>
      </c>
      <c r="Q141" s="241">
        <f t="shared" ref="Q141" si="71" xml:space="preserve"> P144</f>
        <v>0</v>
      </c>
      <c r="R141" s="241">
        <f t="shared" ref="R141" si="72" xml:space="preserve"> Q144</f>
        <v>0</v>
      </c>
    </row>
    <row r="142" spans="1:16383" x14ac:dyDescent="0.25">
      <c r="A142" s="47"/>
      <c r="B142" s="51"/>
      <c r="C142" s="111"/>
      <c r="D142" s="56" t="s">
        <v>445</v>
      </c>
      <c r="E142" s="7" t="str">
        <f t="shared" ref="E142:R142" si="73" xml:space="preserve"> E$131</f>
        <v>True up RCV indexation</v>
      </c>
      <c r="F142" s="241">
        <f t="shared" si="73"/>
        <v>0</v>
      </c>
      <c r="G142" s="241" t="str">
        <f t="shared" si="73"/>
        <v>£m</v>
      </c>
      <c r="H142" s="241">
        <f t="shared" si="73"/>
        <v>0</v>
      </c>
      <c r="I142" s="241">
        <f t="shared" si="73"/>
        <v>0</v>
      </c>
      <c r="J142" s="241">
        <f t="shared" si="73"/>
        <v>0</v>
      </c>
      <c r="K142" s="241">
        <f t="shared" si="73"/>
        <v>0</v>
      </c>
      <c r="L142" s="241">
        <f t="shared" si="73"/>
        <v>0</v>
      </c>
      <c r="M142" s="241">
        <f t="shared" si="73"/>
        <v>0</v>
      </c>
      <c r="N142" s="241">
        <f t="shared" si="73"/>
        <v>0</v>
      </c>
      <c r="O142" s="241">
        <f t="shared" si="73"/>
        <v>0</v>
      </c>
      <c r="P142" s="241">
        <f t="shared" si="73"/>
        <v>0</v>
      </c>
      <c r="Q142" s="241">
        <f t="shared" si="73"/>
        <v>0</v>
      </c>
      <c r="R142" s="241">
        <f t="shared" si="73"/>
        <v>0</v>
      </c>
    </row>
    <row r="143" spans="1:16383" x14ac:dyDescent="0.25">
      <c r="A143" s="47"/>
      <c r="B143" s="51"/>
      <c r="C143" s="111"/>
      <c r="D143" s="56" t="s">
        <v>446</v>
      </c>
      <c r="E143" s="7" t="str">
        <f t="shared" ref="E143:R143" si="74" xml:space="preserve"> E$136</f>
        <v>True up Nominal RCV run-off</v>
      </c>
      <c r="F143" s="241">
        <f t="shared" si="74"/>
        <v>0</v>
      </c>
      <c r="G143" s="241" t="str">
        <f t="shared" si="74"/>
        <v>£m</v>
      </c>
      <c r="H143" s="241">
        <f t="shared" si="74"/>
        <v>0</v>
      </c>
      <c r="I143" s="241">
        <f t="shared" si="74"/>
        <v>0</v>
      </c>
      <c r="J143" s="241">
        <f t="shared" si="74"/>
        <v>0</v>
      </c>
      <c r="K143" s="241">
        <f t="shared" si="74"/>
        <v>0</v>
      </c>
      <c r="L143" s="241">
        <f t="shared" si="74"/>
        <v>0</v>
      </c>
      <c r="M143" s="241">
        <f t="shared" si="74"/>
        <v>0</v>
      </c>
      <c r="N143" s="241">
        <f t="shared" si="74"/>
        <v>0</v>
      </c>
      <c r="O143" s="241">
        <f t="shared" si="74"/>
        <v>0</v>
      </c>
      <c r="P143" s="241">
        <f t="shared" si="74"/>
        <v>0</v>
      </c>
      <c r="Q143" s="241">
        <f t="shared" si="74"/>
        <v>0</v>
      </c>
      <c r="R143" s="241">
        <f t="shared" si="74"/>
        <v>0</v>
      </c>
    </row>
    <row r="144" spans="1:16383" s="138" customFormat="1" x14ac:dyDescent="0.25">
      <c r="A144" s="134"/>
      <c r="B144" s="135"/>
      <c r="C144" s="268"/>
      <c r="D144" s="137"/>
      <c r="E144" s="138" t="s">
        <v>483</v>
      </c>
      <c r="G144" s="163" t="s">
        <v>238</v>
      </c>
      <c r="J144" s="242">
        <f t="shared" ref="J144:K144" si="75" xml:space="preserve"> IF( J139 = 1, $F138, J141 + J142 - J143)</f>
        <v>0</v>
      </c>
      <c r="K144" s="242">
        <f t="shared" si="75"/>
        <v>0</v>
      </c>
      <c r="L144" s="242">
        <f xml:space="preserve"> IF( L139 = 1, $F138, L141 + L142 - L143)</f>
        <v>0</v>
      </c>
      <c r="M144" s="242">
        <f t="shared" ref="M144:R144" si="76" xml:space="preserve"> IF( M139 = 1, $F138, M141 + M142 - M143)</f>
        <v>0</v>
      </c>
      <c r="N144" s="242">
        <f t="shared" si="76"/>
        <v>0</v>
      </c>
      <c r="O144" s="242">
        <f t="shared" si="76"/>
        <v>0</v>
      </c>
      <c r="P144" s="242">
        <f t="shared" si="76"/>
        <v>0</v>
      </c>
      <c r="Q144" s="242">
        <f t="shared" si="76"/>
        <v>0</v>
      </c>
      <c r="R144" s="242">
        <f t="shared" si="76"/>
        <v>0</v>
      </c>
    </row>
    <row r="145" spans="1:18" x14ac:dyDescent="0.25"/>
    <row r="146" spans="1:18" s="92" customFormat="1" x14ac:dyDescent="0.25">
      <c r="A146" s="164"/>
      <c r="B146" s="165"/>
      <c r="C146" s="166"/>
      <c r="D146" s="167"/>
      <c r="E146" s="179" t="str">
        <f t="shared" ref="E146:R146" si="77" xml:space="preserve"> E$141</f>
        <v>True up Nominal RCV balance BEG</v>
      </c>
      <c r="F146" s="185">
        <f t="shared" si="77"/>
        <v>0</v>
      </c>
      <c r="G146" s="185" t="str">
        <f t="shared" si="77"/>
        <v>£m</v>
      </c>
      <c r="H146" s="185">
        <f t="shared" si="77"/>
        <v>0</v>
      </c>
      <c r="I146" s="185">
        <f t="shared" si="77"/>
        <v>0</v>
      </c>
      <c r="J146" s="185">
        <f t="shared" si="77"/>
        <v>0</v>
      </c>
      <c r="K146" s="185">
        <f t="shared" si="77"/>
        <v>0</v>
      </c>
      <c r="L146" s="185">
        <f t="shared" si="77"/>
        <v>0</v>
      </c>
      <c r="M146" s="185">
        <f t="shared" si="77"/>
        <v>0</v>
      </c>
      <c r="N146" s="185">
        <f t="shared" si="77"/>
        <v>0</v>
      </c>
      <c r="O146" s="185">
        <f t="shared" si="77"/>
        <v>0</v>
      </c>
      <c r="P146" s="185">
        <f t="shared" si="77"/>
        <v>0</v>
      </c>
      <c r="Q146" s="185">
        <f t="shared" si="77"/>
        <v>0</v>
      </c>
      <c r="R146" s="185">
        <f t="shared" si="77"/>
        <v>0</v>
      </c>
    </row>
    <row r="147" spans="1:18" s="92" customFormat="1" x14ac:dyDescent="0.25">
      <c r="A147" s="164"/>
      <c r="B147" s="165"/>
      <c r="C147" s="166"/>
      <c r="D147" s="167"/>
      <c r="E147" s="179" t="str">
        <f t="shared" ref="E147:R147" si="78" xml:space="preserve"> E$131</f>
        <v>True up RCV indexation</v>
      </c>
      <c r="F147" s="185">
        <f t="shared" si="78"/>
        <v>0</v>
      </c>
      <c r="G147" s="185" t="str">
        <f t="shared" si="78"/>
        <v>£m</v>
      </c>
      <c r="H147" s="185">
        <f t="shared" si="78"/>
        <v>0</v>
      </c>
      <c r="I147" s="185">
        <f t="shared" si="78"/>
        <v>0</v>
      </c>
      <c r="J147" s="185">
        <f t="shared" si="78"/>
        <v>0</v>
      </c>
      <c r="K147" s="185">
        <f t="shared" si="78"/>
        <v>0</v>
      </c>
      <c r="L147" s="185">
        <f t="shared" si="78"/>
        <v>0</v>
      </c>
      <c r="M147" s="185">
        <f t="shared" si="78"/>
        <v>0</v>
      </c>
      <c r="N147" s="185">
        <f t="shared" si="78"/>
        <v>0</v>
      </c>
      <c r="O147" s="185">
        <f t="shared" si="78"/>
        <v>0</v>
      </c>
      <c r="P147" s="185">
        <f t="shared" si="78"/>
        <v>0</v>
      </c>
      <c r="Q147" s="185">
        <f t="shared" si="78"/>
        <v>0</v>
      </c>
      <c r="R147" s="185">
        <f t="shared" si="78"/>
        <v>0</v>
      </c>
    </row>
    <row r="148" spans="1:18" s="92" customFormat="1" x14ac:dyDescent="0.25">
      <c r="A148" s="164"/>
      <c r="B148" s="165"/>
      <c r="C148" s="166"/>
      <c r="D148" s="167"/>
      <c r="E148" s="179" t="str">
        <f t="shared" ref="E148:R148" si="79" xml:space="preserve"> E$144</f>
        <v>True up Nominal RCV balance END</v>
      </c>
      <c r="F148" s="185">
        <f t="shared" si="79"/>
        <v>0</v>
      </c>
      <c r="G148" s="185" t="str">
        <f t="shared" si="79"/>
        <v>£m</v>
      </c>
      <c r="H148" s="185">
        <f t="shared" si="79"/>
        <v>0</v>
      </c>
      <c r="I148" s="185">
        <f t="shared" si="79"/>
        <v>0</v>
      </c>
      <c r="J148" s="185">
        <f t="shared" si="79"/>
        <v>0</v>
      </c>
      <c r="K148" s="185">
        <f t="shared" si="79"/>
        <v>0</v>
      </c>
      <c r="L148" s="185">
        <f t="shared" si="79"/>
        <v>0</v>
      </c>
      <c r="M148" s="185">
        <f t="shared" si="79"/>
        <v>0</v>
      </c>
      <c r="N148" s="185">
        <f t="shared" si="79"/>
        <v>0</v>
      </c>
      <c r="O148" s="185">
        <f t="shared" si="79"/>
        <v>0</v>
      </c>
      <c r="P148" s="185">
        <f t="shared" si="79"/>
        <v>0</v>
      </c>
      <c r="Q148" s="185">
        <f t="shared" si="79"/>
        <v>0</v>
      </c>
      <c r="R148" s="185">
        <f t="shared" si="79"/>
        <v>0</v>
      </c>
    </row>
    <row r="149" spans="1:18" x14ac:dyDescent="0.25">
      <c r="A149" s="49"/>
      <c r="C149" s="267"/>
      <c r="D149" s="57"/>
      <c r="E149" s="7" t="s">
        <v>484</v>
      </c>
      <c r="F149" s="243"/>
      <c r="G149" s="185" t="s">
        <v>238</v>
      </c>
      <c r="H149" s="243"/>
      <c r="I149" s="243"/>
      <c r="J149" s="185">
        <f t="shared" ref="J149:L149" si="80" xml:space="preserve"> ( (J146+J147) + J148) / 2</f>
        <v>0</v>
      </c>
      <c r="K149" s="185">
        <f t="shared" si="80"/>
        <v>0</v>
      </c>
      <c r="L149" s="185">
        <f t="shared" si="80"/>
        <v>0</v>
      </c>
      <c r="M149" s="185">
        <f xml:space="preserve"> ( (M146+M147) + M148) / 2</f>
        <v>0</v>
      </c>
      <c r="N149" s="185">
        <f t="shared" ref="N149:R149" si="81" xml:space="preserve"> ( (N146+N147) + N148) / 2</f>
        <v>0</v>
      </c>
      <c r="O149" s="185">
        <f t="shared" si="81"/>
        <v>0</v>
      </c>
      <c r="P149" s="185">
        <f t="shared" si="81"/>
        <v>0</v>
      </c>
      <c r="Q149" s="185">
        <f t="shared" si="81"/>
        <v>0</v>
      </c>
      <c r="R149" s="185">
        <f t="shared" si="81"/>
        <v>0</v>
      </c>
    </row>
    <row r="150" spans="1:18" x14ac:dyDescent="0.25"/>
    <row r="151" spans="1:18" s="205" customFormat="1" x14ac:dyDescent="0.25">
      <c r="A151" s="201"/>
      <c r="B151" s="202"/>
      <c r="C151" s="203"/>
      <c r="D151" s="204"/>
      <c r="E151" s="205" t="str">
        <f xml:space="preserve"> InpR!E$108</f>
        <v>WACC on RCV - CPI(H) + RPI wedge bf and additions - BR</v>
      </c>
      <c r="F151" s="205">
        <f xml:space="preserve"> InpR!F$108</f>
        <v>0</v>
      </c>
      <c r="G151" s="223" t="str">
        <f xml:space="preserve"> InpR!G$108</f>
        <v>%</v>
      </c>
      <c r="H151" s="205">
        <f xml:space="preserve"> InpR!H$108</f>
        <v>0</v>
      </c>
      <c r="I151" s="205">
        <f xml:space="preserve"> InpR!I$108</f>
        <v>0</v>
      </c>
      <c r="J151" s="205">
        <f xml:space="preserve"> InpR!J$108</f>
        <v>0</v>
      </c>
      <c r="K151" s="205">
        <f xml:space="preserve"> InpR!K$108</f>
        <v>0</v>
      </c>
      <c r="L151" s="205">
        <f xml:space="preserve"> InpR!L$108</f>
        <v>0</v>
      </c>
      <c r="M151" s="205">
        <f xml:space="preserve"> InpR!M$108</f>
        <v>1.920357193840716E-2</v>
      </c>
      <c r="N151" s="205">
        <f xml:space="preserve"> InpR!N$108</f>
        <v>1.920357193840716E-2</v>
      </c>
      <c r="O151" s="205">
        <f xml:space="preserve"> InpR!O$108</f>
        <v>1.920357193840716E-2</v>
      </c>
      <c r="P151" s="205">
        <f xml:space="preserve"> InpR!P$108</f>
        <v>1.920357193840716E-2</v>
      </c>
      <c r="Q151" s="205">
        <f xml:space="preserve"> InpR!Q$108</f>
        <v>1.920357193840716E-2</v>
      </c>
      <c r="R151" s="205">
        <f xml:space="preserve"> InpR!R$108</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2" xml:space="preserve"> F$149</f>
        <v>0</v>
      </c>
      <c r="G153" s="185" t="str">
        <f t="shared" si="82"/>
        <v>£m</v>
      </c>
      <c r="H153" s="185">
        <f t="shared" si="82"/>
        <v>0</v>
      </c>
      <c r="I153" s="185">
        <f t="shared" si="82"/>
        <v>0</v>
      </c>
      <c r="J153" s="185">
        <f t="shared" si="82"/>
        <v>0</v>
      </c>
      <c r="K153" s="185">
        <f t="shared" si="82"/>
        <v>0</v>
      </c>
      <c r="L153" s="185">
        <f t="shared" si="82"/>
        <v>0</v>
      </c>
      <c r="M153" s="185">
        <f t="shared" si="82"/>
        <v>0</v>
      </c>
      <c r="N153" s="185">
        <f t="shared" si="82"/>
        <v>0</v>
      </c>
      <c r="O153" s="185">
        <f t="shared" si="82"/>
        <v>0</v>
      </c>
      <c r="P153" s="185">
        <f t="shared" si="82"/>
        <v>0</v>
      </c>
      <c r="Q153" s="185">
        <f t="shared" si="82"/>
        <v>0</v>
      </c>
      <c r="R153" s="185">
        <f t="shared" si="82"/>
        <v>0</v>
      </c>
    </row>
    <row r="154" spans="1:18" x14ac:dyDescent="0.25">
      <c r="C154" s="267"/>
      <c r="E154" s="7" t="s">
        <v>485</v>
      </c>
      <c r="F154" s="243"/>
      <c r="G154" s="184" t="s">
        <v>238</v>
      </c>
      <c r="H154" s="243"/>
      <c r="I154" s="243"/>
      <c r="J154" s="245">
        <f t="shared" ref="J154:K154" si="83">J151*J152*J153</f>
        <v>0</v>
      </c>
      <c r="K154" s="245">
        <f t="shared" si="83"/>
        <v>0</v>
      </c>
      <c r="L154" s="245">
        <f>L151*L152*L153</f>
        <v>0</v>
      </c>
      <c r="M154" s="245">
        <f t="shared" ref="M154:R154" si="84">M151*M152*M153</f>
        <v>0</v>
      </c>
      <c r="N154" s="245">
        <f t="shared" si="84"/>
        <v>0</v>
      </c>
      <c r="O154" s="245">
        <f t="shared" si="84"/>
        <v>0</v>
      </c>
      <c r="P154" s="245">
        <f t="shared" si="84"/>
        <v>0</v>
      </c>
      <c r="Q154" s="245">
        <f t="shared" si="84"/>
        <v>0</v>
      </c>
      <c r="R154" s="245">
        <f t="shared" si="8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5" xml:space="preserve"> F$136</f>
        <v>0</v>
      </c>
      <c r="G156" s="185" t="str">
        <f t="shared" si="85"/>
        <v>£m</v>
      </c>
      <c r="H156" s="185">
        <f t="shared" si="85"/>
        <v>0</v>
      </c>
      <c r="I156" s="185">
        <f t="shared" si="85"/>
        <v>0</v>
      </c>
      <c r="J156" s="185">
        <f t="shared" si="85"/>
        <v>0</v>
      </c>
      <c r="K156" s="185">
        <f t="shared" si="85"/>
        <v>0</v>
      </c>
      <c r="L156" s="185">
        <f t="shared" si="85"/>
        <v>0</v>
      </c>
      <c r="M156" s="185">
        <f t="shared" si="85"/>
        <v>0</v>
      </c>
      <c r="N156" s="185">
        <f t="shared" si="85"/>
        <v>0</v>
      </c>
      <c r="O156" s="185">
        <f t="shared" si="85"/>
        <v>0</v>
      </c>
      <c r="P156" s="185">
        <f t="shared" si="85"/>
        <v>0</v>
      </c>
      <c r="Q156" s="185">
        <f t="shared" si="85"/>
        <v>0</v>
      </c>
      <c r="R156" s="185">
        <f t="shared" si="85"/>
        <v>0</v>
      </c>
    </row>
    <row r="157" spans="1:18" s="92" customFormat="1" x14ac:dyDescent="0.25">
      <c r="A157" s="164"/>
      <c r="B157" s="165"/>
      <c r="C157" s="166"/>
      <c r="D157" s="167"/>
      <c r="E157" s="179" t="str">
        <f xml:space="preserve"> E$154</f>
        <v>True up Nominal return</v>
      </c>
      <c r="F157" s="185">
        <f t="shared" ref="F157:R157" si="86" xml:space="preserve"> F$154</f>
        <v>0</v>
      </c>
      <c r="G157" s="185" t="str">
        <f t="shared" si="86"/>
        <v>£m</v>
      </c>
      <c r="H157" s="185">
        <f t="shared" si="86"/>
        <v>0</v>
      </c>
      <c r="I157" s="185">
        <f t="shared" si="86"/>
        <v>0</v>
      </c>
      <c r="J157" s="185">
        <f t="shared" si="86"/>
        <v>0</v>
      </c>
      <c r="K157" s="185">
        <f t="shared" si="86"/>
        <v>0</v>
      </c>
      <c r="L157" s="185">
        <f t="shared" si="86"/>
        <v>0</v>
      </c>
      <c r="M157" s="185">
        <f t="shared" si="86"/>
        <v>0</v>
      </c>
      <c r="N157" s="185">
        <f t="shared" si="86"/>
        <v>0</v>
      </c>
      <c r="O157" s="185">
        <f t="shared" si="86"/>
        <v>0</v>
      </c>
      <c r="P157" s="185">
        <f t="shared" si="86"/>
        <v>0</v>
      </c>
      <c r="Q157" s="185">
        <f t="shared" si="86"/>
        <v>0</v>
      </c>
      <c r="R157" s="185">
        <f t="shared" si="86"/>
        <v>0</v>
      </c>
    </row>
    <row r="158" spans="1:18" x14ac:dyDescent="0.25">
      <c r="C158" s="267"/>
      <c r="E158" s="7" t="s">
        <v>486</v>
      </c>
      <c r="F158" s="243"/>
      <c r="G158" s="184" t="str">
        <f t="shared" ref="G158" si="87">G$273</f>
        <v>£m</v>
      </c>
      <c r="H158" s="243">
        <f>SUM(J158:R158)</f>
        <v>0</v>
      </c>
      <c r="I158" s="243"/>
      <c r="J158" s="243">
        <f t="shared" ref="J158:K158" si="88">SUM(J156:J157)</f>
        <v>0</v>
      </c>
      <c r="K158" s="243">
        <f t="shared" si="88"/>
        <v>0</v>
      </c>
      <c r="L158" s="243">
        <f>SUM(L156:L157)</f>
        <v>0</v>
      </c>
      <c r="M158" s="243">
        <f t="shared" ref="M158:R158" si="89">SUM(M156:M157)</f>
        <v>0</v>
      </c>
      <c r="N158" s="243">
        <f t="shared" si="89"/>
        <v>0</v>
      </c>
      <c r="O158" s="243">
        <f t="shared" si="89"/>
        <v>0</v>
      </c>
      <c r="P158" s="243">
        <f t="shared" si="89"/>
        <v>0</v>
      </c>
      <c r="Q158" s="243">
        <f t="shared" si="89"/>
        <v>0</v>
      </c>
      <c r="R158" s="243">
        <f t="shared" si="89"/>
        <v>0</v>
      </c>
    </row>
    <row r="159" spans="1:18" x14ac:dyDescent="0.25"/>
    <row r="160" spans="1:18" x14ac:dyDescent="0.25">
      <c r="C160" s="267"/>
      <c r="E160" s="7" t="str">
        <f xml:space="preserve"> E$158</f>
        <v>Total True up Nominal revenue to company</v>
      </c>
      <c r="F160" s="243">
        <f t="shared" ref="F160:R160" si="90" xml:space="preserve"> F$158</f>
        <v>0</v>
      </c>
      <c r="G160" s="184" t="str">
        <f t="shared" si="90"/>
        <v>£m</v>
      </c>
      <c r="H160" s="243">
        <f t="shared" si="90"/>
        <v>0</v>
      </c>
      <c r="I160" s="243">
        <f t="shared" si="90"/>
        <v>0</v>
      </c>
      <c r="J160" s="243">
        <f t="shared" si="90"/>
        <v>0</v>
      </c>
      <c r="K160" s="243">
        <f t="shared" si="90"/>
        <v>0</v>
      </c>
      <c r="L160" s="243">
        <f t="shared" si="90"/>
        <v>0</v>
      </c>
      <c r="M160" s="243">
        <f t="shared" si="90"/>
        <v>0</v>
      </c>
      <c r="N160" s="243">
        <f t="shared" si="90"/>
        <v>0</v>
      </c>
      <c r="O160" s="243">
        <f t="shared" si="90"/>
        <v>0</v>
      </c>
      <c r="P160" s="243">
        <f t="shared" si="90"/>
        <v>0</v>
      </c>
      <c r="Q160" s="243">
        <f t="shared" si="90"/>
        <v>0</v>
      </c>
      <c r="R160" s="243">
        <f t="shared" si="90"/>
        <v>0</v>
      </c>
    </row>
    <row r="161" spans="1:16383" x14ac:dyDescent="0.25">
      <c r="E161" s="7" t="str">
        <f t="shared" ref="E161:R161" si="91" xml:space="preserve"> E$109</f>
        <v>Total nominal revenue company should have received</v>
      </c>
      <c r="F161" s="184">
        <f t="shared" si="91"/>
        <v>0</v>
      </c>
      <c r="G161" s="184" t="str">
        <f t="shared" si="91"/>
        <v>£m</v>
      </c>
      <c r="H161" s="184">
        <f t="shared" si="91"/>
        <v>0</v>
      </c>
      <c r="I161" s="184">
        <f t="shared" si="91"/>
        <v>0</v>
      </c>
      <c r="J161" s="184">
        <f t="shared" si="91"/>
        <v>0</v>
      </c>
      <c r="K161" s="184">
        <f t="shared" si="91"/>
        <v>0</v>
      </c>
      <c r="L161" s="184">
        <f t="shared" si="91"/>
        <v>0</v>
      </c>
      <c r="M161" s="184">
        <f t="shared" si="91"/>
        <v>0</v>
      </c>
      <c r="N161" s="184">
        <f t="shared" si="91"/>
        <v>0</v>
      </c>
      <c r="O161" s="184">
        <f t="shared" si="91"/>
        <v>0</v>
      </c>
      <c r="P161" s="184">
        <f t="shared" si="91"/>
        <v>0</v>
      </c>
      <c r="Q161" s="184">
        <f t="shared" si="91"/>
        <v>0</v>
      </c>
      <c r="R161" s="184">
        <f t="shared" si="91"/>
        <v>0</v>
      </c>
    </row>
    <row r="162" spans="1:16383" s="185" customFormat="1" x14ac:dyDescent="0.25">
      <c r="A162" s="251"/>
      <c r="B162" s="181"/>
      <c r="C162" s="182"/>
      <c r="D162" s="252"/>
      <c r="E162" s="7" t="s">
        <v>487</v>
      </c>
      <c r="G162" s="185" t="str">
        <f t="shared" ref="G162" si="92" xml:space="preserve"> G$271</f>
        <v>£m</v>
      </c>
      <c r="H162" s="185">
        <f xml:space="preserve"> SUM(J162:R162)</f>
        <v>0</v>
      </c>
      <c r="J162" s="185">
        <f t="shared" ref="J162:K162" si="93">J161-J160</f>
        <v>0</v>
      </c>
      <c r="K162" s="185">
        <f t="shared" si="93"/>
        <v>0</v>
      </c>
      <c r="L162" s="185">
        <f>L161-L160</f>
        <v>0</v>
      </c>
      <c r="M162" s="185">
        <f>M161-M160</f>
        <v>0</v>
      </c>
      <c r="N162" s="185">
        <f t="shared" ref="N162:R162" si="94">N161-N160</f>
        <v>0</v>
      </c>
      <c r="O162" s="185">
        <f t="shared" si="94"/>
        <v>0</v>
      </c>
      <c r="P162" s="185">
        <f t="shared" si="94"/>
        <v>0</v>
      </c>
      <c r="Q162" s="185">
        <f t="shared" si="94"/>
        <v>0</v>
      </c>
      <c r="R162" s="185">
        <f t="shared" si="94"/>
        <v>0</v>
      </c>
    </row>
    <row r="163" spans="1:16383" x14ac:dyDescent="0.25"/>
    <row r="164" spans="1:16383" s="185" customFormat="1" x14ac:dyDescent="0.25">
      <c r="A164" s="251"/>
      <c r="B164" s="181"/>
      <c r="C164" s="182"/>
      <c r="D164" s="252"/>
      <c r="E164" s="7" t="str">
        <f xml:space="preserve"> E$162</f>
        <v>Value of True up nominal</v>
      </c>
      <c r="F164" s="185">
        <f t="shared" ref="F164:R164" si="95" xml:space="preserve"> F$162</f>
        <v>0</v>
      </c>
      <c r="G164" s="185" t="str">
        <f t="shared" si="95"/>
        <v>£m</v>
      </c>
      <c r="H164" s="185">
        <f t="shared" si="95"/>
        <v>0</v>
      </c>
      <c r="I164" s="185">
        <f t="shared" si="95"/>
        <v>0</v>
      </c>
      <c r="J164" s="185">
        <f t="shared" si="95"/>
        <v>0</v>
      </c>
      <c r="K164" s="185">
        <f t="shared" si="95"/>
        <v>0</v>
      </c>
      <c r="L164" s="185">
        <f t="shared" si="95"/>
        <v>0</v>
      </c>
      <c r="M164" s="185">
        <f t="shared" si="95"/>
        <v>0</v>
      </c>
      <c r="N164" s="185">
        <f t="shared" si="95"/>
        <v>0</v>
      </c>
      <c r="O164" s="185">
        <f t="shared" si="95"/>
        <v>0</v>
      </c>
      <c r="P164" s="185">
        <f t="shared" si="95"/>
        <v>0</v>
      </c>
      <c r="Q164" s="185">
        <f t="shared" si="95"/>
        <v>0</v>
      </c>
      <c r="R164" s="185">
        <f t="shared" si="95"/>
        <v>0</v>
      </c>
    </row>
    <row r="165" spans="1:16383" s="91" customFormat="1" x14ac:dyDescent="0.25">
      <c r="A165" s="170"/>
      <c r="B165" s="165"/>
      <c r="C165" s="166"/>
      <c r="D165" s="171"/>
      <c r="E165" s="7" t="str">
        <f t="shared" ref="E165:R165" si="96" xml:space="preserve"> E$117</f>
        <v>Difference in nominal revenue</v>
      </c>
      <c r="F165" s="247">
        <f t="shared" si="96"/>
        <v>0</v>
      </c>
      <c r="G165" s="247" t="str">
        <f t="shared" si="96"/>
        <v>£m</v>
      </c>
      <c r="H165" s="247">
        <f t="shared" si="96"/>
        <v>0</v>
      </c>
      <c r="I165" s="247">
        <f t="shared" si="96"/>
        <v>0</v>
      </c>
      <c r="J165" s="247">
        <f t="shared" si="96"/>
        <v>0</v>
      </c>
      <c r="K165" s="247">
        <f t="shared" si="96"/>
        <v>0</v>
      </c>
      <c r="L165" s="247">
        <f t="shared" si="96"/>
        <v>0</v>
      </c>
      <c r="M165" s="247">
        <f t="shared" si="96"/>
        <v>0</v>
      </c>
      <c r="N165" s="247">
        <f t="shared" si="96"/>
        <v>0</v>
      </c>
      <c r="O165" s="247">
        <f t="shared" si="96"/>
        <v>0</v>
      </c>
      <c r="P165" s="247">
        <f t="shared" si="96"/>
        <v>0</v>
      </c>
      <c r="Q165" s="247">
        <f t="shared" si="96"/>
        <v>0</v>
      </c>
      <c r="R165" s="247">
        <f t="shared" si="9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97">IF( ABS(J164-J165)&gt;ChK_Tol,1,0)</f>
        <v>0</v>
      </c>
      <c r="K166" s="225">
        <f t="shared" si="97"/>
        <v>0</v>
      </c>
      <c r="L166" s="225">
        <f t="shared" si="97"/>
        <v>0</v>
      </c>
      <c r="M166" s="225">
        <f t="shared" si="97"/>
        <v>0</v>
      </c>
      <c r="N166" s="225">
        <f t="shared" si="97"/>
        <v>0</v>
      </c>
      <c r="O166" s="225">
        <f t="shared" si="97"/>
        <v>0</v>
      </c>
      <c r="P166" s="225">
        <f t="shared" si="97"/>
        <v>0</v>
      </c>
      <c r="Q166" s="225">
        <f t="shared" si="97"/>
        <v>0</v>
      </c>
      <c r="R166" s="225">
        <f t="shared" si="97"/>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98" xml:space="preserve"> N164=N165</f>
        <v>1</v>
      </c>
      <c r="O167" s="186" t="b">
        <f t="shared" si="98"/>
        <v>1</v>
      </c>
      <c r="P167" s="186" t="b">
        <f t="shared" si="98"/>
        <v>1</v>
      </c>
      <c r="Q167" s="186" t="b">
        <f t="shared" si="9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99">F$37</f>
        <v>0</v>
      </c>
      <c r="G170" s="168" t="str">
        <f t="shared" si="99"/>
        <v>£m</v>
      </c>
      <c r="H170" s="246">
        <f t="shared" si="99"/>
        <v>0</v>
      </c>
      <c r="I170" s="246">
        <f t="shared" si="99"/>
        <v>0</v>
      </c>
      <c r="J170" s="185">
        <f t="shared" si="99"/>
        <v>0</v>
      </c>
      <c r="K170" s="185">
        <f t="shared" si="99"/>
        <v>0</v>
      </c>
      <c r="L170" s="185">
        <f t="shared" si="99"/>
        <v>0</v>
      </c>
      <c r="M170" s="185">
        <f t="shared" si="99"/>
        <v>0</v>
      </c>
      <c r="N170" s="185">
        <f t="shared" si="99"/>
        <v>0</v>
      </c>
      <c r="O170" s="185">
        <f t="shared" si="99"/>
        <v>0</v>
      </c>
      <c r="P170" s="185">
        <f t="shared" si="99"/>
        <v>0</v>
      </c>
      <c r="Q170" s="185">
        <f t="shared" si="99"/>
        <v>0</v>
      </c>
      <c r="R170" s="185">
        <f t="shared" si="99"/>
        <v>0</v>
      </c>
    </row>
    <row r="171" spans="1:16383" x14ac:dyDescent="0.25">
      <c r="A171" s="49"/>
      <c r="D171" s="57"/>
      <c r="E171" s="7" t="str">
        <f>E$89 &amp; " - nominal"</f>
        <v>Actual Nominal RCV balance END - nominal</v>
      </c>
      <c r="F171" s="185">
        <f t="shared" ref="F171:R171" si="100">F$89</f>
        <v>0</v>
      </c>
      <c r="G171" s="168" t="str">
        <f t="shared" si="100"/>
        <v>£m</v>
      </c>
      <c r="H171" s="246">
        <f t="shared" si="100"/>
        <v>0</v>
      </c>
      <c r="I171" s="246">
        <f t="shared" si="100"/>
        <v>0</v>
      </c>
      <c r="J171" s="185">
        <f t="shared" si="100"/>
        <v>0</v>
      </c>
      <c r="K171" s="185">
        <f t="shared" si="100"/>
        <v>0</v>
      </c>
      <c r="L171" s="185">
        <f t="shared" si="100"/>
        <v>0</v>
      </c>
      <c r="M171" s="185">
        <f t="shared" si="100"/>
        <v>0</v>
      </c>
      <c r="N171" s="185">
        <f t="shared" si="100"/>
        <v>0</v>
      </c>
      <c r="O171" s="185">
        <f t="shared" si="100"/>
        <v>0</v>
      </c>
      <c r="P171" s="185">
        <f t="shared" si="100"/>
        <v>0</v>
      </c>
      <c r="Q171" s="185">
        <f t="shared" si="100"/>
        <v>0</v>
      </c>
      <c r="R171" s="185">
        <f t="shared" si="10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1" xml:space="preserve"> IF(K$172 = 0, 0, K170 / K$172)</f>
        <v>0</v>
      </c>
      <c r="L174" s="185">
        <f t="shared" si="101"/>
        <v>0</v>
      </c>
      <c r="M174" s="185">
        <f t="shared" si="101"/>
        <v>0</v>
      </c>
      <c r="N174" s="185">
        <f t="shared" si="101"/>
        <v>0</v>
      </c>
      <c r="O174" s="185">
        <f t="shared" si="101"/>
        <v>0</v>
      </c>
      <c r="P174" s="185">
        <f t="shared" si="101"/>
        <v>0</v>
      </c>
      <c r="Q174" s="185">
        <f t="shared" si="101"/>
        <v>0</v>
      </c>
      <c r="R174" s="185">
        <f t="shared" si="101"/>
        <v>0</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02" xml:space="preserve"> IF(J$173 = 0, 0, J171 / J$173)</f>
        <v>0</v>
      </c>
      <c r="K175" s="185">
        <f t="shared" si="102"/>
        <v>0</v>
      </c>
      <c r="L175" s="185">
        <f xml:space="preserve"> IF(L$173 = 0, 0, L171 / L$173)</f>
        <v>0</v>
      </c>
      <c r="M175" s="185">
        <f t="shared" ref="M175:R175" si="103" xml:space="preserve"> IF(M$173 = 0, 0, M171 / M$173)</f>
        <v>0</v>
      </c>
      <c r="N175" s="185">
        <f t="shared" si="103"/>
        <v>0</v>
      </c>
      <c r="O175" s="185">
        <f t="shared" si="103"/>
        <v>0</v>
      </c>
      <c r="P175" s="185">
        <f t="shared" si="103"/>
        <v>0</v>
      </c>
      <c r="Q175" s="185">
        <f t="shared" si="103"/>
        <v>0</v>
      </c>
      <c r="R175" s="185">
        <f t="shared" si="10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04">K175-K174</f>
        <v>0</v>
      </c>
      <c r="L176" s="185">
        <f t="shared" si="104"/>
        <v>0</v>
      </c>
      <c r="M176" s="185">
        <f t="shared" si="104"/>
        <v>0</v>
      </c>
      <c r="N176" s="185">
        <f t="shared" si="104"/>
        <v>0</v>
      </c>
      <c r="O176" s="185">
        <f t="shared" si="104"/>
        <v>0</v>
      </c>
      <c r="P176" s="185">
        <f t="shared" si="104"/>
        <v>0</v>
      </c>
      <c r="Q176" s="185">
        <f t="shared" si="104"/>
        <v>0</v>
      </c>
      <c r="R176" s="185">
        <f t="shared" si="104"/>
        <v>0</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5">F$176</f>
        <v>0</v>
      </c>
      <c r="G178" s="168" t="str">
        <f t="shared" si="105"/>
        <v>£m</v>
      </c>
      <c r="H178" s="246">
        <f t="shared" si="105"/>
        <v>0</v>
      </c>
      <c r="I178" s="246">
        <f t="shared" si="105"/>
        <v>0</v>
      </c>
      <c r="J178" s="185">
        <f t="shared" si="105"/>
        <v>0</v>
      </c>
      <c r="K178" s="185">
        <f t="shared" si="105"/>
        <v>0</v>
      </c>
      <c r="L178" s="185">
        <f t="shared" si="105"/>
        <v>0</v>
      </c>
      <c r="M178" s="185">
        <f t="shared" si="105"/>
        <v>0</v>
      </c>
      <c r="N178" s="185">
        <f t="shared" si="105"/>
        <v>0</v>
      </c>
      <c r="O178" s="185">
        <f t="shared" si="105"/>
        <v>0</v>
      </c>
      <c r="P178" s="185">
        <f t="shared" si="105"/>
        <v>0</v>
      </c>
      <c r="Q178" s="185">
        <f t="shared" si="105"/>
        <v>0</v>
      </c>
      <c r="R178" s="185">
        <f t="shared" si="105"/>
        <v>0</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556</v>
      </c>
      <c r="F180" s="260"/>
      <c r="G180" s="260" t="s">
        <v>238</v>
      </c>
      <c r="H180" s="259"/>
      <c r="I180" s="260"/>
      <c r="J180" s="260">
        <f xml:space="preserve"> J178 * J179</f>
        <v>0</v>
      </c>
      <c r="K180" s="260">
        <f t="shared" ref="K180:P180" si="106" xml:space="preserve"> K178 * K179</f>
        <v>0</v>
      </c>
      <c r="L180" s="260">
        <f t="shared" si="106"/>
        <v>0</v>
      </c>
      <c r="M180" s="260">
        <f t="shared" si="106"/>
        <v>0</v>
      </c>
      <c r="N180" s="260">
        <f t="shared" si="106"/>
        <v>0</v>
      </c>
      <c r="O180" s="260">
        <f t="shared" si="106"/>
        <v>0</v>
      </c>
      <c r="P180" s="260">
        <f t="shared" si="106"/>
        <v>0</v>
      </c>
      <c r="Q180" s="260">
        <f xml:space="preserve"> Q178 * Q179</f>
        <v>0</v>
      </c>
      <c r="R180" s="260">
        <f t="shared" ref="R180" si="10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08">F$136</f>
        <v>0</v>
      </c>
      <c r="G184" s="184" t="str">
        <f t="shared" si="108"/>
        <v>£m</v>
      </c>
      <c r="H184" s="184">
        <f t="shared" si="108"/>
        <v>0</v>
      </c>
      <c r="I184" s="184">
        <f t="shared" si="108"/>
        <v>0</v>
      </c>
      <c r="J184" s="184">
        <f t="shared" si="108"/>
        <v>0</v>
      </c>
      <c r="K184" s="184">
        <f t="shared" si="108"/>
        <v>0</v>
      </c>
      <c r="L184" s="184">
        <f t="shared" si="108"/>
        <v>0</v>
      </c>
      <c r="M184" s="184">
        <f t="shared" si="108"/>
        <v>0</v>
      </c>
      <c r="N184" s="184">
        <f t="shared" si="108"/>
        <v>0</v>
      </c>
      <c r="O184" s="184">
        <f t="shared" si="108"/>
        <v>0</v>
      </c>
      <c r="P184" s="184">
        <f t="shared" si="108"/>
        <v>0</v>
      </c>
      <c r="Q184" s="184">
        <f t="shared" si="108"/>
        <v>0</v>
      </c>
      <c r="R184" s="184">
        <f t="shared" si="10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09">F$154</f>
        <v>0</v>
      </c>
      <c r="G185" s="184" t="str">
        <f t="shared" si="109"/>
        <v>£m</v>
      </c>
      <c r="H185" s="184">
        <f t="shared" si="109"/>
        <v>0</v>
      </c>
      <c r="I185" s="184">
        <f t="shared" si="109"/>
        <v>0</v>
      </c>
      <c r="J185" s="184">
        <f t="shared" si="109"/>
        <v>0</v>
      </c>
      <c r="K185" s="184">
        <f t="shared" si="109"/>
        <v>0</v>
      </c>
      <c r="L185" s="184">
        <f t="shared" si="109"/>
        <v>0</v>
      </c>
      <c r="M185" s="184">
        <f t="shared" si="109"/>
        <v>0</v>
      </c>
      <c r="N185" s="184">
        <f t="shared" si="109"/>
        <v>0</v>
      </c>
      <c r="O185" s="184">
        <f t="shared" si="109"/>
        <v>0</v>
      </c>
      <c r="P185" s="184">
        <f t="shared" si="109"/>
        <v>0</v>
      </c>
      <c r="Q185" s="184">
        <f t="shared" si="109"/>
        <v>0</v>
      </c>
      <c r="R185" s="184">
        <f t="shared" si="10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0">F$158</f>
        <v>0</v>
      </c>
      <c r="G186" s="184" t="str">
        <f t="shared" si="110"/>
        <v>£m</v>
      </c>
      <c r="H186" s="184">
        <f t="shared" si="110"/>
        <v>0</v>
      </c>
      <c r="I186" s="184">
        <f t="shared" si="110"/>
        <v>0</v>
      </c>
      <c r="J186" s="184">
        <f t="shared" si="110"/>
        <v>0</v>
      </c>
      <c r="K186" s="184">
        <f t="shared" si="110"/>
        <v>0</v>
      </c>
      <c r="L186" s="184">
        <f t="shared" si="110"/>
        <v>0</v>
      </c>
      <c r="M186" s="184">
        <f t="shared" si="110"/>
        <v>0</v>
      </c>
      <c r="N186" s="184">
        <f t="shared" si="110"/>
        <v>0</v>
      </c>
      <c r="O186" s="184">
        <f t="shared" si="110"/>
        <v>0</v>
      </c>
      <c r="P186" s="184">
        <f t="shared" si="110"/>
        <v>0</v>
      </c>
      <c r="Q186" s="184">
        <f t="shared" si="110"/>
        <v>0</v>
      </c>
      <c r="R186" s="184">
        <f t="shared" si="11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1">F$107</f>
        <v>0</v>
      </c>
      <c r="G187" s="184" t="str">
        <f t="shared" si="111"/>
        <v>£m</v>
      </c>
      <c r="H187" s="184">
        <f t="shared" si="111"/>
        <v>0</v>
      </c>
      <c r="I187" s="184">
        <f t="shared" si="111"/>
        <v>0</v>
      </c>
      <c r="J187" s="184">
        <f t="shared" si="111"/>
        <v>0</v>
      </c>
      <c r="K187" s="184">
        <f t="shared" si="111"/>
        <v>0</v>
      </c>
      <c r="L187" s="184">
        <f t="shared" si="111"/>
        <v>0</v>
      </c>
      <c r="M187" s="184">
        <f t="shared" si="111"/>
        <v>0</v>
      </c>
      <c r="N187" s="184">
        <f t="shared" si="111"/>
        <v>0</v>
      </c>
      <c r="O187" s="184">
        <f t="shared" si="111"/>
        <v>0</v>
      </c>
      <c r="P187" s="184">
        <f t="shared" si="111"/>
        <v>0</v>
      </c>
      <c r="Q187" s="184">
        <f t="shared" si="111"/>
        <v>0</v>
      </c>
      <c r="R187" s="184">
        <f t="shared" si="11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2">F$108</f>
        <v>0</v>
      </c>
      <c r="G188" s="184" t="str">
        <f t="shared" si="112"/>
        <v>£m</v>
      </c>
      <c r="H188" s="184">
        <f t="shared" si="112"/>
        <v>0</v>
      </c>
      <c r="I188" s="184">
        <f t="shared" si="112"/>
        <v>0</v>
      </c>
      <c r="J188" s="184">
        <f t="shared" si="112"/>
        <v>0</v>
      </c>
      <c r="K188" s="184">
        <f t="shared" si="112"/>
        <v>0</v>
      </c>
      <c r="L188" s="184">
        <f t="shared" si="112"/>
        <v>0</v>
      </c>
      <c r="M188" s="184">
        <f t="shared" si="112"/>
        <v>0</v>
      </c>
      <c r="N188" s="184">
        <f t="shared" si="112"/>
        <v>0</v>
      </c>
      <c r="O188" s="184">
        <f t="shared" si="112"/>
        <v>0</v>
      </c>
      <c r="P188" s="184">
        <f t="shared" si="112"/>
        <v>0</v>
      </c>
      <c r="Q188" s="184">
        <f t="shared" si="112"/>
        <v>0</v>
      </c>
      <c r="R188" s="184">
        <f t="shared" si="11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3">F$109</f>
        <v>0</v>
      </c>
      <c r="G189" s="184" t="str">
        <f t="shared" si="113"/>
        <v>£m</v>
      </c>
      <c r="H189" s="184">
        <f t="shared" si="113"/>
        <v>0</v>
      </c>
      <c r="I189" s="184">
        <f t="shared" si="113"/>
        <v>0</v>
      </c>
      <c r="J189" s="184">
        <f t="shared" si="113"/>
        <v>0</v>
      </c>
      <c r="K189" s="184">
        <f t="shared" si="113"/>
        <v>0</v>
      </c>
      <c r="L189" s="184">
        <f t="shared" si="113"/>
        <v>0</v>
      </c>
      <c r="M189" s="184">
        <f t="shared" si="113"/>
        <v>0</v>
      </c>
      <c r="N189" s="184">
        <f t="shared" si="113"/>
        <v>0</v>
      </c>
      <c r="O189" s="184">
        <f t="shared" si="113"/>
        <v>0</v>
      </c>
      <c r="P189" s="184">
        <f t="shared" si="113"/>
        <v>0</v>
      </c>
      <c r="Q189" s="184">
        <f t="shared" si="113"/>
        <v>0</v>
      </c>
      <c r="R189" s="184">
        <f t="shared" si="11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4" xml:space="preserve"> E184 &amp; "- real"</f>
        <v>True up Nominal RCV run-off- real</v>
      </c>
      <c r="F192" s="185"/>
      <c r="G192" s="185" t="str">
        <f t="shared" ref="G192:G197" si="115">G$273</f>
        <v>£m</v>
      </c>
      <c r="H192" s="243">
        <f t="shared" ref="H192:H197" si="116">SUM(J192:R192)</f>
        <v>0</v>
      </c>
      <c r="I192" s="185"/>
      <c r="J192" s="185">
        <f xml:space="preserve"> IF(J$190 = 0, 0, J184 / J$190)</f>
        <v>0</v>
      </c>
      <c r="K192" s="185">
        <f t="shared" ref="K192:R192" si="117" xml:space="preserve"> IF(K$190 = 0, 0, K184 / K$190)</f>
        <v>0</v>
      </c>
      <c r="L192" s="185">
        <f t="shared" si="117"/>
        <v>0</v>
      </c>
      <c r="M192" s="185">
        <f t="shared" si="117"/>
        <v>0</v>
      </c>
      <c r="N192" s="185">
        <f t="shared" si="117"/>
        <v>0</v>
      </c>
      <c r="O192" s="185">
        <f t="shared" si="117"/>
        <v>0</v>
      </c>
      <c r="P192" s="185">
        <f t="shared" si="117"/>
        <v>0</v>
      </c>
      <c r="Q192" s="185">
        <f t="shared" si="117"/>
        <v>0</v>
      </c>
      <c r="R192" s="185">
        <f t="shared" si="117"/>
        <v>0</v>
      </c>
      <c r="S192" s="92"/>
      <c r="T192" s="92"/>
      <c r="U192" s="92"/>
      <c r="V192" s="92"/>
      <c r="W192" s="92"/>
      <c r="X192" s="92"/>
      <c r="Y192" s="92"/>
      <c r="Z192" s="92"/>
    </row>
    <row r="193" spans="1:26" s="91" customFormat="1" x14ac:dyDescent="0.25">
      <c r="A193" s="340"/>
      <c r="B193" s="341"/>
      <c r="C193" s="342"/>
      <c r="D193" s="343"/>
      <c r="E193" s="7" t="str">
        <f t="shared" si="114"/>
        <v>True up Nominal return- real</v>
      </c>
      <c r="F193" s="185"/>
      <c r="G193" s="185" t="str">
        <f t="shared" si="115"/>
        <v>£m</v>
      </c>
      <c r="H193" s="243">
        <f t="shared" si="116"/>
        <v>0</v>
      </c>
      <c r="I193" s="185"/>
      <c r="J193" s="185">
        <f t="shared" ref="J193:R193" si="118" xml:space="preserve"> IF(J$190 = 0, 0, J185 / J$190)</f>
        <v>0</v>
      </c>
      <c r="K193" s="185">
        <f t="shared" si="118"/>
        <v>0</v>
      </c>
      <c r="L193" s="185">
        <f t="shared" si="118"/>
        <v>0</v>
      </c>
      <c r="M193" s="185">
        <f t="shared" si="118"/>
        <v>0</v>
      </c>
      <c r="N193" s="185">
        <f t="shared" si="118"/>
        <v>0</v>
      </c>
      <c r="O193" s="185">
        <f t="shared" si="118"/>
        <v>0</v>
      </c>
      <c r="P193" s="185">
        <f t="shared" si="118"/>
        <v>0</v>
      </c>
      <c r="Q193" s="185">
        <f t="shared" si="118"/>
        <v>0</v>
      </c>
      <c r="R193" s="185">
        <f t="shared" si="118"/>
        <v>0</v>
      </c>
      <c r="S193" s="92"/>
      <c r="T193" s="92"/>
      <c r="U193" s="92"/>
      <c r="V193" s="92"/>
      <c r="W193" s="92"/>
      <c r="X193" s="92"/>
      <c r="Y193" s="92"/>
      <c r="Z193" s="92"/>
    </row>
    <row r="194" spans="1:26" s="91" customFormat="1" x14ac:dyDescent="0.25">
      <c r="A194" s="340"/>
      <c r="B194" s="341"/>
      <c r="C194" s="342"/>
      <c r="D194" s="343"/>
      <c r="E194" s="7" t="str">
        <f t="shared" si="114"/>
        <v>Total True up Nominal revenue to company- real</v>
      </c>
      <c r="F194" s="185"/>
      <c r="G194" s="185" t="str">
        <f t="shared" si="115"/>
        <v>£m</v>
      </c>
      <c r="H194" s="243">
        <f t="shared" si="116"/>
        <v>0</v>
      </c>
      <c r="I194" s="185"/>
      <c r="J194" s="185">
        <f t="shared" ref="J194:R194" si="119" xml:space="preserve"> IF(J$190 = 0, 0, J186 / J$190)</f>
        <v>0</v>
      </c>
      <c r="K194" s="185">
        <f t="shared" si="119"/>
        <v>0</v>
      </c>
      <c r="L194" s="185">
        <f t="shared" si="119"/>
        <v>0</v>
      </c>
      <c r="M194" s="185">
        <f t="shared" si="119"/>
        <v>0</v>
      </c>
      <c r="N194" s="185">
        <f t="shared" si="119"/>
        <v>0</v>
      </c>
      <c r="O194" s="185">
        <f t="shared" si="119"/>
        <v>0</v>
      </c>
      <c r="P194" s="185">
        <f t="shared" si="119"/>
        <v>0</v>
      </c>
      <c r="Q194" s="185">
        <f xml:space="preserve"> IF(Q$190 = 0, 0, Q186 / Q$190)</f>
        <v>0</v>
      </c>
      <c r="R194" s="185">
        <f t="shared" si="119"/>
        <v>0</v>
      </c>
      <c r="S194" s="92"/>
      <c r="T194" s="92"/>
      <c r="U194" s="92"/>
      <c r="V194" s="92"/>
      <c r="W194" s="92"/>
      <c r="X194" s="92"/>
      <c r="Y194" s="92"/>
      <c r="Z194" s="92"/>
    </row>
    <row r="195" spans="1:26" s="91" customFormat="1" x14ac:dyDescent="0.25">
      <c r="A195" s="340"/>
      <c r="B195" s="341"/>
      <c r="C195" s="342"/>
      <c r="D195" s="343"/>
      <c r="E195" s="7" t="str">
        <f t="shared" si="114"/>
        <v>RCV run-off company should have received - nominal- real</v>
      </c>
      <c r="F195" s="185"/>
      <c r="G195" s="185" t="str">
        <f t="shared" si="115"/>
        <v>£m</v>
      </c>
      <c r="H195" s="243">
        <f t="shared" si="116"/>
        <v>0</v>
      </c>
      <c r="I195" s="185"/>
      <c r="J195" s="185">
        <f t="shared" ref="J195:L195" si="120" xml:space="preserve"> IF(J$191 = 0, 0, J187 / J$191)</f>
        <v>0</v>
      </c>
      <c r="K195" s="185">
        <f t="shared" si="120"/>
        <v>0</v>
      </c>
      <c r="L195" s="185">
        <f t="shared" si="120"/>
        <v>0</v>
      </c>
      <c r="M195" s="185">
        <f xml:space="preserve"> IF(M$191 = 0, 0, M187 / M$191)</f>
        <v>0</v>
      </c>
      <c r="N195" s="185">
        <f t="shared" ref="N195:Q195" si="121" xml:space="preserve"> IF(N$191 = 0, 0, N187 / N$191)</f>
        <v>0</v>
      </c>
      <c r="O195" s="185">
        <f t="shared" si="121"/>
        <v>0</v>
      </c>
      <c r="P195" s="185">
        <f t="shared" si="121"/>
        <v>0</v>
      </c>
      <c r="Q195" s="185">
        <f t="shared" si="121"/>
        <v>0</v>
      </c>
      <c r="R195" s="185">
        <f t="shared" ref="R195" si="12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14"/>
        <v>Nominal return company should have received- real</v>
      </c>
      <c r="F196" s="185"/>
      <c r="G196" s="185" t="str">
        <f t="shared" si="115"/>
        <v>£m</v>
      </c>
      <c r="H196" s="243">
        <f t="shared" si="116"/>
        <v>0</v>
      </c>
      <c r="I196" s="185"/>
      <c r="J196" s="185">
        <f t="shared" ref="J196:L196" si="123" xml:space="preserve"> IF(J$191 = 0, 0, J188 / J$191)</f>
        <v>0</v>
      </c>
      <c r="K196" s="185">
        <f t="shared" si="123"/>
        <v>0</v>
      </c>
      <c r="L196" s="185">
        <f t="shared" si="123"/>
        <v>0</v>
      </c>
      <c r="M196" s="185">
        <f xml:space="preserve"> IF(M$191 = 0, 0, M188 / M$191)</f>
        <v>0</v>
      </c>
      <c r="N196" s="185">
        <f t="shared" ref="N196:Q196" si="124" xml:space="preserve"> IF(N$191 = 0, 0, N188 / N$191)</f>
        <v>0</v>
      </c>
      <c r="O196" s="185">
        <f t="shared" si="124"/>
        <v>0</v>
      </c>
      <c r="P196" s="185">
        <f t="shared" si="124"/>
        <v>0</v>
      </c>
      <c r="Q196" s="185">
        <f t="shared" si="124"/>
        <v>0</v>
      </c>
      <c r="R196" s="185">
        <f t="shared" ref="R196" si="12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14"/>
        <v>Total nominal revenue company should have received- real</v>
      </c>
      <c r="F197" s="185"/>
      <c r="G197" s="185" t="str">
        <f t="shared" si="115"/>
        <v>£m</v>
      </c>
      <c r="H197" s="243">
        <f t="shared" si="116"/>
        <v>0</v>
      </c>
      <c r="I197" s="185"/>
      <c r="J197" s="185">
        <f t="shared" ref="J197:L197" si="126" xml:space="preserve"> IF(J$191 = 0, 0, J189 / J$191)</f>
        <v>0</v>
      </c>
      <c r="K197" s="185">
        <f t="shared" si="126"/>
        <v>0</v>
      </c>
      <c r="L197" s="185">
        <f t="shared" si="126"/>
        <v>0</v>
      </c>
      <c r="M197" s="185">
        <f xml:space="preserve"> IF(M$191 = 0, 0, M189 / M$191)</f>
        <v>0</v>
      </c>
      <c r="N197" s="185">
        <f t="shared" ref="N197:Q197" si="127" xml:space="preserve"> IF(N$191 = 0, 0, N189 / N$191)</f>
        <v>0</v>
      </c>
      <c r="O197" s="185">
        <f t="shared" si="127"/>
        <v>0</v>
      </c>
      <c r="P197" s="185">
        <f t="shared" si="127"/>
        <v>0</v>
      </c>
      <c r="Q197" s="185">
        <f t="shared" si="127"/>
        <v>0</v>
      </c>
      <c r="R197" s="185">
        <f t="shared" ref="R197" si="12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29">F$192</f>
        <v>0</v>
      </c>
      <c r="G199" s="184" t="str">
        <f t="shared" si="129"/>
        <v>£m</v>
      </c>
      <c r="H199" s="243">
        <f t="shared" si="129"/>
        <v>0</v>
      </c>
      <c r="I199" s="184">
        <f t="shared" si="129"/>
        <v>0</v>
      </c>
      <c r="J199" s="184">
        <f t="shared" si="129"/>
        <v>0</v>
      </c>
      <c r="K199" s="184">
        <f t="shared" si="129"/>
        <v>0</v>
      </c>
      <c r="L199" s="184">
        <f t="shared" si="129"/>
        <v>0</v>
      </c>
      <c r="M199" s="185">
        <f t="shared" si="129"/>
        <v>0</v>
      </c>
      <c r="N199" s="184">
        <f t="shared" si="129"/>
        <v>0</v>
      </c>
      <c r="O199" s="184">
        <f t="shared" si="129"/>
        <v>0</v>
      </c>
      <c r="P199" s="184">
        <f t="shared" si="129"/>
        <v>0</v>
      </c>
      <c r="Q199" s="184">
        <f t="shared" si="129"/>
        <v>0</v>
      </c>
      <c r="R199" s="184">
        <f t="shared" si="12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0">F$195</f>
        <v>0</v>
      </c>
      <c r="G200" s="184" t="str">
        <f t="shared" si="130"/>
        <v>£m</v>
      </c>
      <c r="H200" s="243">
        <f t="shared" si="130"/>
        <v>0</v>
      </c>
      <c r="I200" s="184">
        <f t="shared" si="130"/>
        <v>0</v>
      </c>
      <c r="J200" s="184">
        <f t="shared" si="130"/>
        <v>0</v>
      </c>
      <c r="K200" s="184">
        <f t="shared" si="130"/>
        <v>0</v>
      </c>
      <c r="L200" s="184">
        <f t="shared" si="130"/>
        <v>0</v>
      </c>
      <c r="M200" s="185">
        <f t="shared" si="130"/>
        <v>0</v>
      </c>
      <c r="N200" s="184">
        <f t="shared" si="130"/>
        <v>0</v>
      </c>
      <c r="O200" s="184">
        <f t="shared" si="130"/>
        <v>0</v>
      </c>
      <c r="P200" s="184">
        <f t="shared" si="130"/>
        <v>0</v>
      </c>
      <c r="Q200" s="184">
        <f t="shared" si="130"/>
        <v>0</v>
      </c>
      <c r="R200" s="184">
        <f t="shared" si="130"/>
        <v>0</v>
      </c>
      <c r="S200" s="92"/>
      <c r="T200" s="92"/>
      <c r="U200" s="92"/>
      <c r="V200" s="92"/>
      <c r="W200" s="92"/>
      <c r="X200" s="92"/>
      <c r="Y200" s="92"/>
      <c r="Z200" s="92"/>
    </row>
    <row r="201" spans="1:26" x14ac:dyDescent="0.25">
      <c r="C201" s="267"/>
      <c r="E201" s="7" t="s">
        <v>495</v>
      </c>
      <c r="G201" s="7" t="s">
        <v>238</v>
      </c>
      <c r="H201" s="185">
        <f xml:space="preserve"> SUM(J201:R201)</f>
        <v>0</v>
      </c>
      <c r="I201" s="185"/>
      <c r="J201" s="184">
        <f t="shared" ref="J201:K201" si="131">J200-J199</f>
        <v>0</v>
      </c>
      <c r="K201" s="184">
        <f t="shared" si="131"/>
        <v>0</v>
      </c>
      <c r="L201" s="184">
        <f>L200-L199</f>
        <v>0</v>
      </c>
      <c r="M201" s="185">
        <f>M200-M199</f>
        <v>0</v>
      </c>
      <c r="N201" s="184">
        <f t="shared" ref="N201:R201" si="132">N200-N199</f>
        <v>0</v>
      </c>
      <c r="O201" s="184">
        <f t="shared" si="132"/>
        <v>0</v>
      </c>
      <c r="P201" s="184">
        <f t="shared" si="132"/>
        <v>0</v>
      </c>
      <c r="Q201" s="184">
        <f t="shared" si="132"/>
        <v>0</v>
      </c>
      <c r="R201" s="184">
        <f t="shared" si="132"/>
        <v>0</v>
      </c>
    </row>
    <row r="202" spans="1:26" x14ac:dyDescent="0.25"/>
    <row r="203" spans="1:26" x14ac:dyDescent="0.25">
      <c r="C203" s="267"/>
      <c r="E203" s="7" t="str">
        <f>E$193</f>
        <v>True up Nominal return- real</v>
      </c>
      <c r="F203" s="7">
        <f t="shared" ref="F203:R203" si="133">F$193</f>
        <v>0</v>
      </c>
      <c r="G203" s="7" t="str">
        <f t="shared" si="133"/>
        <v>£m</v>
      </c>
      <c r="H203" s="185">
        <f t="shared" si="133"/>
        <v>0</v>
      </c>
      <c r="I203" s="185">
        <f t="shared" si="133"/>
        <v>0</v>
      </c>
      <c r="J203" s="184">
        <f t="shared" si="133"/>
        <v>0</v>
      </c>
      <c r="K203" s="184">
        <f t="shared" si="133"/>
        <v>0</v>
      </c>
      <c r="L203" s="184">
        <f t="shared" si="133"/>
        <v>0</v>
      </c>
      <c r="M203" s="185">
        <f t="shared" si="133"/>
        <v>0</v>
      </c>
      <c r="N203" s="184">
        <f t="shared" si="133"/>
        <v>0</v>
      </c>
      <c r="O203" s="184">
        <f t="shared" si="133"/>
        <v>0</v>
      </c>
      <c r="P203" s="184">
        <f t="shared" si="133"/>
        <v>0</v>
      </c>
      <c r="Q203" s="184">
        <f t="shared" si="133"/>
        <v>0</v>
      </c>
      <c r="R203" s="184">
        <f t="shared" si="133"/>
        <v>0</v>
      </c>
    </row>
    <row r="204" spans="1:26" x14ac:dyDescent="0.25">
      <c r="C204" s="267"/>
      <c r="E204" s="7" t="str">
        <f>E$196</f>
        <v>Nominal return company should have received- real</v>
      </c>
      <c r="F204" s="7">
        <f t="shared" ref="F204:R204" si="134">F$196</f>
        <v>0</v>
      </c>
      <c r="G204" s="7" t="str">
        <f t="shared" si="134"/>
        <v>£m</v>
      </c>
      <c r="H204" s="185">
        <f t="shared" si="134"/>
        <v>0</v>
      </c>
      <c r="I204" s="185">
        <f t="shared" si="134"/>
        <v>0</v>
      </c>
      <c r="J204" s="184">
        <f t="shared" si="134"/>
        <v>0</v>
      </c>
      <c r="K204" s="184">
        <f t="shared" si="134"/>
        <v>0</v>
      </c>
      <c r="L204" s="184">
        <f t="shared" si="134"/>
        <v>0</v>
      </c>
      <c r="M204" s="185">
        <f t="shared" si="134"/>
        <v>0</v>
      </c>
      <c r="N204" s="184">
        <f t="shared" si="134"/>
        <v>0</v>
      </c>
      <c r="O204" s="184">
        <f t="shared" si="134"/>
        <v>0</v>
      </c>
      <c r="P204" s="184">
        <f t="shared" si="134"/>
        <v>0</v>
      </c>
      <c r="Q204" s="184">
        <f t="shared" si="134"/>
        <v>0</v>
      </c>
      <c r="R204" s="184">
        <f t="shared" si="134"/>
        <v>0</v>
      </c>
    </row>
    <row r="205" spans="1:26" x14ac:dyDescent="0.25">
      <c r="C205" s="267"/>
      <c r="E205" s="7" t="s">
        <v>496</v>
      </c>
      <c r="G205" s="7" t="s">
        <v>238</v>
      </c>
      <c r="H205" s="185">
        <f xml:space="preserve"> SUM(J205:R205)</f>
        <v>0</v>
      </c>
      <c r="I205" s="185"/>
      <c r="J205" s="184">
        <f t="shared" ref="J205:K205" si="135">J204-J203</f>
        <v>0</v>
      </c>
      <c r="K205" s="184">
        <f t="shared" si="135"/>
        <v>0</v>
      </c>
      <c r="L205" s="184">
        <f>L204-L203</f>
        <v>0</v>
      </c>
      <c r="M205" s="185">
        <f>M204-M203</f>
        <v>0</v>
      </c>
      <c r="N205" s="184">
        <f t="shared" ref="N205" si="136">N204-N203</f>
        <v>0</v>
      </c>
      <c r="O205" s="184">
        <f>O204-O203</f>
        <v>0</v>
      </c>
      <c r="P205" s="184">
        <f t="shared" ref="P205:R205" si="137">P204-P203</f>
        <v>0</v>
      </c>
      <c r="Q205" s="184">
        <f t="shared" si="137"/>
        <v>0</v>
      </c>
      <c r="R205" s="184">
        <f t="shared" si="137"/>
        <v>0</v>
      </c>
    </row>
    <row r="206" spans="1:26" x14ac:dyDescent="0.25"/>
    <row r="207" spans="1:26" x14ac:dyDescent="0.25">
      <c r="C207" s="267"/>
      <c r="E207" s="7" t="str">
        <f>E$194</f>
        <v>Total True up Nominal revenue to company- real</v>
      </c>
      <c r="F207" s="7">
        <f t="shared" ref="F207:R207" si="138">F$194</f>
        <v>0</v>
      </c>
      <c r="G207" s="7" t="str">
        <f t="shared" si="138"/>
        <v>£m</v>
      </c>
      <c r="H207" s="185">
        <f t="shared" si="138"/>
        <v>0</v>
      </c>
      <c r="I207" s="185">
        <f t="shared" si="138"/>
        <v>0</v>
      </c>
      <c r="J207" s="184">
        <f t="shared" si="138"/>
        <v>0</v>
      </c>
      <c r="K207" s="184">
        <f t="shared" si="138"/>
        <v>0</v>
      </c>
      <c r="L207" s="184">
        <f t="shared" si="138"/>
        <v>0</v>
      </c>
      <c r="M207" s="185">
        <f t="shared" si="138"/>
        <v>0</v>
      </c>
      <c r="N207" s="184">
        <f t="shared" si="138"/>
        <v>0</v>
      </c>
      <c r="O207" s="184">
        <f t="shared" si="138"/>
        <v>0</v>
      </c>
      <c r="P207" s="184">
        <f t="shared" si="138"/>
        <v>0</v>
      </c>
      <c r="Q207" s="184">
        <f t="shared" si="138"/>
        <v>0</v>
      </c>
      <c r="R207" s="184">
        <f t="shared" si="138"/>
        <v>0</v>
      </c>
    </row>
    <row r="208" spans="1:26" x14ac:dyDescent="0.25">
      <c r="C208" s="267"/>
      <c r="E208" s="7" t="str">
        <f>E$197</f>
        <v>Total nominal revenue company should have received- real</v>
      </c>
      <c r="F208" s="7">
        <f t="shared" ref="F208:R208" si="139">F$197</f>
        <v>0</v>
      </c>
      <c r="G208" s="7" t="str">
        <f t="shared" si="139"/>
        <v>£m</v>
      </c>
      <c r="H208" s="185">
        <f t="shared" si="139"/>
        <v>0</v>
      </c>
      <c r="I208" s="185">
        <f t="shared" si="139"/>
        <v>0</v>
      </c>
      <c r="J208" s="184">
        <f t="shared" si="139"/>
        <v>0</v>
      </c>
      <c r="K208" s="184">
        <f t="shared" si="139"/>
        <v>0</v>
      </c>
      <c r="L208" s="184">
        <f t="shared" si="139"/>
        <v>0</v>
      </c>
      <c r="M208" s="185">
        <f t="shared" si="139"/>
        <v>0</v>
      </c>
      <c r="N208" s="184">
        <f t="shared" si="139"/>
        <v>0</v>
      </c>
      <c r="O208" s="184">
        <f t="shared" si="139"/>
        <v>0</v>
      </c>
      <c r="P208" s="184">
        <f t="shared" si="139"/>
        <v>0</v>
      </c>
      <c r="Q208" s="184">
        <f t="shared" si="139"/>
        <v>0</v>
      </c>
      <c r="R208" s="184">
        <f t="shared" si="139"/>
        <v>0</v>
      </c>
    </row>
    <row r="209" spans="1:18" x14ac:dyDescent="0.25">
      <c r="C209" s="267"/>
      <c r="E209" s="7" t="s">
        <v>497</v>
      </c>
      <c r="G209" s="7" t="s">
        <v>238</v>
      </c>
      <c r="H209" s="185">
        <f xml:space="preserve"> SUM(J209:R209)</f>
        <v>0</v>
      </c>
      <c r="I209" s="185"/>
      <c r="J209" s="184">
        <f t="shared" ref="J209:K209" si="140">J208-J207</f>
        <v>0</v>
      </c>
      <c r="K209" s="184">
        <f t="shared" si="140"/>
        <v>0</v>
      </c>
      <c r="L209" s="184">
        <f>L208-L207</f>
        <v>0</v>
      </c>
      <c r="M209" s="185">
        <f>M208-M207</f>
        <v>0</v>
      </c>
      <c r="N209" s="184">
        <f t="shared" ref="N209:R209" si="141">N208-N207</f>
        <v>0</v>
      </c>
      <c r="O209" s="184">
        <f t="shared" si="141"/>
        <v>0</v>
      </c>
      <c r="P209" s="184">
        <f t="shared" si="141"/>
        <v>0</v>
      </c>
      <c r="Q209" s="184">
        <f t="shared" si="141"/>
        <v>0</v>
      </c>
      <c r="R209" s="184">
        <f t="shared" si="14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InpR!E$115</f>
        <v>WACC real on RCV - CPI(H) bf and additions - BR</v>
      </c>
      <c r="F213" s="205">
        <f>InpR!F$115</f>
        <v>0</v>
      </c>
      <c r="G213" s="223" t="str">
        <f>InpR!G$115</f>
        <v>%</v>
      </c>
      <c r="H213" s="205">
        <f>InpR!H$115</f>
        <v>0</v>
      </c>
      <c r="I213" s="205">
        <f>InpR!I$115</f>
        <v>0</v>
      </c>
      <c r="J213" s="205">
        <f>InpR!J$115</f>
        <v>0</v>
      </c>
      <c r="K213" s="205">
        <f>InpR!K$115</f>
        <v>0</v>
      </c>
      <c r="L213" s="205">
        <f>InpR!L$115</f>
        <v>0</v>
      </c>
      <c r="M213" s="205">
        <f>InpR!M$115</f>
        <v>2.9195763820156317E-2</v>
      </c>
      <c r="N213" s="205">
        <f>InpR!N$115</f>
        <v>2.9195763820156317E-2</v>
      </c>
      <c r="O213" s="205">
        <f>InpR!O$115</f>
        <v>2.9195763820156317E-2</v>
      </c>
      <c r="P213" s="205">
        <f>InpR!P$115</f>
        <v>2.9195763820156317E-2</v>
      </c>
      <c r="Q213" s="205">
        <f>InpR!Q$115</f>
        <v>2.9195763820156317E-2</v>
      </c>
      <c r="R213" s="205">
        <f>InpR!R$115</f>
        <v>0</v>
      </c>
    </row>
    <row r="214" spans="1:18" x14ac:dyDescent="0.25">
      <c r="E214" s="7" t="s">
        <v>499</v>
      </c>
      <c r="G214" s="7" t="s">
        <v>500</v>
      </c>
      <c r="J214" s="254">
        <f xml:space="preserve"> (1 + J$289) ^ J$288</f>
        <v>1</v>
      </c>
      <c r="K214" s="254">
        <f t="shared" ref="K214:R214" si="142" xml:space="preserve"> (1 + K$289) ^ K$288</f>
        <v>1</v>
      </c>
      <c r="L214" s="254">
        <f t="shared" si="142"/>
        <v>1</v>
      </c>
      <c r="M214" s="254">
        <f t="shared" si="142"/>
        <v>1.1219976826191176</v>
      </c>
      <c r="N214" s="254">
        <f t="shared" si="142"/>
        <v>1.0901693555893588</v>
      </c>
      <c r="O214" s="254">
        <f t="shared" si="142"/>
        <v>1.059243920265355</v>
      </c>
      <c r="P214" s="254">
        <f t="shared" si="142"/>
        <v>1.0291957638201563</v>
      </c>
      <c r="Q214" s="254">
        <f t="shared" si="142"/>
        <v>1</v>
      </c>
      <c r="R214" s="254">
        <f t="shared" si="142"/>
        <v>1</v>
      </c>
    </row>
    <row r="215" spans="1:18" x14ac:dyDescent="0.25"/>
    <row r="216" spans="1:18" x14ac:dyDescent="0.25">
      <c r="B216" s="61" t="s">
        <v>501</v>
      </c>
    </row>
    <row r="217" spans="1:18" x14ac:dyDescent="0.25">
      <c r="C217" s="267"/>
      <c r="E217" s="7" t="str">
        <f>E$201</f>
        <v>Value of True up run-off - real</v>
      </c>
      <c r="F217" s="7">
        <f t="shared" ref="F217:R217" si="143">F$201</f>
        <v>0</v>
      </c>
      <c r="G217" s="7" t="str">
        <f t="shared" si="143"/>
        <v>£m</v>
      </c>
      <c r="H217" s="185">
        <f t="shared" si="143"/>
        <v>0</v>
      </c>
      <c r="I217" s="185">
        <f t="shared" si="143"/>
        <v>0</v>
      </c>
      <c r="J217" s="184">
        <f t="shared" si="143"/>
        <v>0</v>
      </c>
      <c r="K217" s="184">
        <f t="shared" si="143"/>
        <v>0</v>
      </c>
      <c r="L217" s="184">
        <f t="shared" si="143"/>
        <v>0</v>
      </c>
      <c r="M217" s="185">
        <f t="shared" si="143"/>
        <v>0</v>
      </c>
      <c r="N217" s="184">
        <f t="shared" si="143"/>
        <v>0</v>
      </c>
      <c r="O217" s="184">
        <f t="shared" si="143"/>
        <v>0</v>
      </c>
      <c r="P217" s="184">
        <f t="shared" si="143"/>
        <v>0</v>
      </c>
      <c r="Q217" s="184">
        <f t="shared" si="143"/>
        <v>0</v>
      </c>
      <c r="R217" s="184">
        <f t="shared" si="143"/>
        <v>0</v>
      </c>
    </row>
    <row r="218" spans="1:18" x14ac:dyDescent="0.25">
      <c r="E218" s="7" t="str">
        <f>E$290</f>
        <v xml:space="preserve">Time value of money factor </v>
      </c>
      <c r="F218" s="184">
        <f t="shared" ref="F218:R218" si="144">F$290</f>
        <v>0</v>
      </c>
      <c r="G218" s="7" t="str">
        <f t="shared" si="144"/>
        <v>Factor</v>
      </c>
      <c r="H218" s="246">
        <f t="shared" si="144"/>
        <v>0</v>
      </c>
      <c r="I218" s="246">
        <f t="shared" si="144"/>
        <v>0</v>
      </c>
      <c r="J218" s="184">
        <f t="shared" si="144"/>
        <v>1</v>
      </c>
      <c r="K218" s="184">
        <f t="shared" si="144"/>
        <v>1</v>
      </c>
      <c r="L218" s="184">
        <f t="shared" si="144"/>
        <v>1</v>
      </c>
      <c r="M218" s="185">
        <f t="shared" si="144"/>
        <v>1.1219976826191176</v>
      </c>
      <c r="N218" s="184">
        <f t="shared" si="144"/>
        <v>1.0901693555893588</v>
      </c>
      <c r="O218" s="184">
        <f t="shared" si="144"/>
        <v>1.059243920265355</v>
      </c>
      <c r="P218" s="184">
        <f t="shared" si="144"/>
        <v>1.0291957638201563</v>
      </c>
      <c r="Q218" s="184">
        <f t="shared" si="144"/>
        <v>1</v>
      </c>
      <c r="R218" s="184">
        <f t="shared" si="144"/>
        <v>1</v>
      </c>
    </row>
    <row r="219" spans="1:18" x14ac:dyDescent="0.25">
      <c r="A219" s="49"/>
      <c r="C219" s="267"/>
      <c r="D219" s="57"/>
      <c r="E219" s="7" t="s">
        <v>557</v>
      </c>
      <c r="G219" s="7" t="s">
        <v>238</v>
      </c>
      <c r="H219" s="185">
        <f xml:space="preserve"> SUM(J219:R219)</f>
        <v>0</v>
      </c>
      <c r="J219" s="185">
        <f xml:space="preserve"> J217 * J218</f>
        <v>0</v>
      </c>
      <c r="K219" s="185">
        <f t="shared" ref="K219:R219" si="145" xml:space="preserve"> K217 * K218</f>
        <v>0</v>
      </c>
      <c r="L219" s="185">
        <f t="shared" si="145"/>
        <v>0</v>
      </c>
      <c r="M219" s="185">
        <f t="shared" si="145"/>
        <v>0</v>
      </c>
      <c r="N219" s="185">
        <f t="shared" si="145"/>
        <v>0</v>
      </c>
      <c r="O219" s="185">
        <f t="shared" si="145"/>
        <v>0</v>
      </c>
      <c r="P219" s="185">
        <f t="shared" si="145"/>
        <v>0</v>
      </c>
      <c r="Q219" s="185">
        <f t="shared" si="145"/>
        <v>0</v>
      </c>
      <c r="R219" s="185">
        <f t="shared" si="145"/>
        <v>0</v>
      </c>
    </row>
    <row r="220" spans="1:18" x14ac:dyDescent="0.25"/>
    <row r="221" spans="1:18" x14ac:dyDescent="0.25">
      <c r="B221" s="61" t="s">
        <v>503</v>
      </c>
    </row>
    <row r="222" spans="1:18" x14ac:dyDescent="0.25">
      <c r="E222" s="7" t="str">
        <f>E205</f>
        <v>Value of True up return - real</v>
      </c>
      <c r="F222" s="184">
        <f t="shared" ref="F222:R222" si="146">F205</f>
        <v>0</v>
      </c>
      <c r="G222" s="7" t="str">
        <f t="shared" si="146"/>
        <v>£m</v>
      </c>
      <c r="H222" s="246">
        <f t="shared" si="146"/>
        <v>0</v>
      </c>
      <c r="I222" s="246">
        <f t="shared" si="146"/>
        <v>0</v>
      </c>
      <c r="J222" s="184">
        <f t="shared" si="146"/>
        <v>0</v>
      </c>
      <c r="K222" s="184">
        <f t="shared" si="146"/>
        <v>0</v>
      </c>
      <c r="L222" s="184">
        <f t="shared" si="146"/>
        <v>0</v>
      </c>
      <c r="M222" s="185">
        <f t="shared" si="146"/>
        <v>0</v>
      </c>
      <c r="N222" s="184">
        <f t="shared" si="146"/>
        <v>0</v>
      </c>
      <c r="O222" s="184">
        <f t="shared" si="146"/>
        <v>0</v>
      </c>
      <c r="P222" s="184">
        <f t="shared" si="146"/>
        <v>0</v>
      </c>
      <c r="Q222" s="184">
        <f t="shared" si="146"/>
        <v>0</v>
      </c>
      <c r="R222" s="184">
        <f t="shared" si="146"/>
        <v>0</v>
      </c>
    </row>
    <row r="223" spans="1:18" x14ac:dyDescent="0.25">
      <c r="E223" s="7" t="str">
        <f>E$290</f>
        <v xml:space="preserve">Time value of money factor </v>
      </c>
      <c r="F223" s="184">
        <f t="shared" ref="F223:R223" si="147">F$290</f>
        <v>0</v>
      </c>
      <c r="G223" s="7" t="str">
        <f t="shared" si="147"/>
        <v>Factor</v>
      </c>
      <c r="H223" s="246">
        <f t="shared" si="147"/>
        <v>0</v>
      </c>
      <c r="I223" s="246">
        <f t="shared" si="147"/>
        <v>0</v>
      </c>
      <c r="J223" s="184">
        <f t="shared" si="147"/>
        <v>1</v>
      </c>
      <c r="K223" s="184">
        <f t="shared" si="147"/>
        <v>1</v>
      </c>
      <c r="L223" s="184">
        <f t="shared" si="147"/>
        <v>1</v>
      </c>
      <c r="M223" s="185">
        <f t="shared" si="147"/>
        <v>1.1219976826191176</v>
      </c>
      <c r="N223" s="184">
        <f t="shared" si="147"/>
        <v>1.0901693555893588</v>
      </c>
      <c r="O223" s="184">
        <f t="shared" si="147"/>
        <v>1.059243920265355</v>
      </c>
      <c r="P223" s="184">
        <f t="shared" si="147"/>
        <v>1.0291957638201563</v>
      </c>
      <c r="Q223" s="184">
        <f t="shared" si="147"/>
        <v>1</v>
      </c>
      <c r="R223" s="184">
        <f t="shared" si="147"/>
        <v>1</v>
      </c>
    </row>
    <row r="224" spans="1:18" x14ac:dyDescent="0.25">
      <c r="A224" s="49"/>
      <c r="C224" s="267"/>
      <c r="D224" s="57"/>
      <c r="E224" s="7" t="s">
        <v>558</v>
      </c>
      <c r="G224" s="7" t="s">
        <v>238</v>
      </c>
      <c r="H224" s="185">
        <f xml:space="preserve"> SUM(J224:R224)</f>
        <v>0</v>
      </c>
      <c r="J224" s="185">
        <f xml:space="preserve"> J222 * J223</f>
        <v>0</v>
      </c>
      <c r="K224" s="185">
        <f t="shared" ref="K224:M224" si="148" xml:space="preserve"> K222 * K223</f>
        <v>0</v>
      </c>
      <c r="L224" s="185">
        <f t="shared" si="148"/>
        <v>0</v>
      </c>
      <c r="M224" s="185">
        <f t="shared" si="148"/>
        <v>0</v>
      </c>
      <c r="N224" s="185">
        <f xml:space="preserve"> N222 * N223</f>
        <v>0</v>
      </c>
      <c r="O224" s="185">
        <f t="shared" ref="O224:R224" si="149" xml:space="preserve"> O222 * O223</f>
        <v>0</v>
      </c>
      <c r="P224" s="185">
        <f t="shared" si="149"/>
        <v>0</v>
      </c>
      <c r="Q224" s="185">
        <f t="shared" si="149"/>
        <v>0</v>
      </c>
      <c r="R224" s="185">
        <f t="shared" si="149"/>
        <v>0</v>
      </c>
    </row>
    <row r="225" spans="1:26" x14ac:dyDescent="0.25"/>
    <row r="226" spans="1:26" x14ac:dyDescent="0.25">
      <c r="B226" s="61" t="s">
        <v>505</v>
      </c>
    </row>
    <row r="227" spans="1:26" x14ac:dyDescent="0.25">
      <c r="E227" s="7" t="str">
        <f xml:space="preserve"> E$219</f>
        <v>Revenue adjustment for RCV run-off - real - BR</v>
      </c>
      <c r="F227" s="184">
        <f t="shared" ref="F227:R227" si="150" xml:space="preserve"> F$219</f>
        <v>0</v>
      </c>
      <c r="G227" s="7" t="str">
        <f t="shared" si="150"/>
        <v>£m</v>
      </c>
      <c r="H227" s="246">
        <f t="shared" si="150"/>
        <v>0</v>
      </c>
      <c r="I227" s="246">
        <f t="shared" si="150"/>
        <v>0</v>
      </c>
      <c r="J227" s="184">
        <f t="shared" si="150"/>
        <v>0</v>
      </c>
      <c r="K227" s="184">
        <f t="shared" si="150"/>
        <v>0</v>
      </c>
      <c r="L227" s="184">
        <f t="shared" si="150"/>
        <v>0</v>
      </c>
      <c r="M227" s="185">
        <f t="shared" si="150"/>
        <v>0</v>
      </c>
      <c r="N227" s="184">
        <f t="shared" si="150"/>
        <v>0</v>
      </c>
      <c r="O227" s="184">
        <f t="shared" si="150"/>
        <v>0</v>
      </c>
      <c r="P227" s="184">
        <f t="shared" si="150"/>
        <v>0</v>
      </c>
      <c r="Q227" s="184">
        <f t="shared" si="150"/>
        <v>0</v>
      </c>
      <c r="R227" s="184">
        <f t="shared" si="150"/>
        <v>0</v>
      </c>
    </row>
    <row r="228" spans="1:26" x14ac:dyDescent="0.25">
      <c r="E228" s="7" t="str">
        <f xml:space="preserve"> E$224</f>
        <v>Revenue adjustment for return - real - BR</v>
      </c>
      <c r="F228" s="184">
        <f t="shared" ref="F228:R228" si="151" xml:space="preserve"> F$224</f>
        <v>0</v>
      </c>
      <c r="G228" s="7" t="str">
        <f t="shared" si="151"/>
        <v>£m</v>
      </c>
      <c r="H228" s="246">
        <f t="shared" si="151"/>
        <v>0</v>
      </c>
      <c r="I228" s="246">
        <f t="shared" si="151"/>
        <v>0</v>
      </c>
      <c r="J228" s="184">
        <f t="shared" si="151"/>
        <v>0</v>
      </c>
      <c r="K228" s="184">
        <f t="shared" si="151"/>
        <v>0</v>
      </c>
      <c r="L228" s="184">
        <f t="shared" si="151"/>
        <v>0</v>
      </c>
      <c r="M228" s="185">
        <f t="shared" si="151"/>
        <v>0</v>
      </c>
      <c r="N228" s="184">
        <f t="shared" si="151"/>
        <v>0</v>
      </c>
      <c r="O228" s="184">
        <f t="shared" si="151"/>
        <v>0</v>
      </c>
      <c r="P228" s="184">
        <f t="shared" si="151"/>
        <v>0</v>
      </c>
      <c r="Q228" s="184">
        <f t="shared" si="151"/>
        <v>0</v>
      </c>
      <c r="R228" s="184">
        <f t="shared" si="151"/>
        <v>0</v>
      </c>
    </row>
    <row r="229" spans="1:26" x14ac:dyDescent="0.25">
      <c r="A229" s="49"/>
      <c r="C229" s="267"/>
      <c r="D229" s="57"/>
      <c r="E229" s="7" t="s">
        <v>559</v>
      </c>
      <c r="G229" s="7" t="s">
        <v>238</v>
      </c>
      <c r="H229" s="185">
        <f xml:space="preserve"> SUM(J229:R229)</f>
        <v>0</v>
      </c>
      <c r="J229" s="185">
        <f xml:space="preserve"> J$227 + J$228</f>
        <v>0</v>
      </c>
      <c r="K229" s="185">
        <f t="shared" ref="K229:R229" si="152" xml:space="preserve"> K$227 + K$228</f>
        <v>0</v>
      </c>
      <c r="L229" s="185">
        <f t="shared" si="152"/>
        <v>0</v>
      </c>
      <c r="M229" s="185">
        <f t="shared" si="152"/>
        <v>0</v>
      </c>
      <c r="N229" s="185">
        <f t="shared" si="152"/>
        <v>0</v>
      </c>
      <c r="O229" s="185">
        <f t="shared" si="152"/>
        <v>0</v>
      </c>
      <c r="P229" s="185">
        <f t="shared" si="152"/>
        <v>0</v>
      </c>
      <c r="Q229" s="185">
        <f t="shared" si="152"/>
        <v>0</v>
      </c>
      <c r="R229" s="185">
        <f t="shared" si="15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53">SUM(J238:J239)</f>
        <v>0</v>
      </c>
      <c r="K240" s="172">
        <f t="shared" si="153"/>
        <v>0</v>
      </c>
      <c r="L240" s="172">
        <f t="shared" si="153"/>
        <v>3.1522140708501789E-2</v>
      </c>
      <c r="M240" s="172">
        <f>SUM(M238:M239)</f>
        <v>2.4258091513662761E-2</v>
      </c>
      <c r="N240" s="172">
        <f t="shared" ref="N240:R240" si="154">SUM(N238:N239)</f>
        <v>2.9587648685595269E-2</v>
      </c>
      <c r="O240" s="172">
        <f t="shared" si="154"/>
        <v>3.150368327076003E-2</v>
      </c>
      <c r="P240" s="172">
        <f t="shared" si="154"/>
        <v>3.2000000000000695E-2</v>
      </c>
      <c r="Q240" s="172">
        <f t="shared" si="154"/>
        <v>3.1999999999999806E-2</v>
      </c>
      <c r="R240" s="172">
        <f t="shared" si="15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5" xml:space="preserve"> E$258</f>
        <v>2019-20 wedge Nominal RCV balance BEG</v>
      </c>
      <c r="F242" s="244">
        <f xml:space="preserve"> F$258</f>
        <v>0</v>
      </c>
      <c r="G242" s="244" t="str">
        <f t="shared" si="155"/>
        <v>£m</v>
      </c>
      <c r="H242" s="244">
        <f t="shared" si="155"/>
        <v>0</v>
      </c>
      <c r="I242" s="244">
        <f t="shared" si="155"/>
        <v>0</v>
      </c>
      <c r="J242" s="244">
        <f t="shared" si="155"/>
        <v>0</v>
      </c>
      <c r="K242" s="244">
        <f t="shared" si="155"/>
        <v>0</v>
      </c>
      <c r="L242" s="244">
        <f t="shared" si="155"/>
        <v>0</v>
      </c>
      <c r="M242" s="244">
        <f t="shared" si="155"/>
        <v>0</v>
      </c>
      <c r="N242" s="244">
        <f t="shared" si="155"/>
        <v>0</v>
      </c>
      <c r="O242" s="244">
        <f t="shared" si="155"/>
        <v>0</v>
      </c>
      <c r="P242" s="244">
        <f t="shared" si="155"/>
        <v>0</v>
      </c>
      <c r="Q242" s="244">
        <f t="shared" si="155"/>
        <v>0</v>
      </c>
      <c r="R242" s="244">
        <f t="shared" si="155"/>
        <v>0</v>
      </c>
    </row>
    <row r="243" spans="1:16383" x14ac:dyDescent="0.25">
      <c r="E243" s="178" t="str">
        <f t="shared" ref="E243:R243" si="156" xml:space="preserve"> E$240</f>
        <v>2019-20 wedge Indexation percentage</v>
      </c>
      <c r="F243" s="178">
        <f t="shared" si="156"/>
        <v>0</v>
      </c>
      <c r="G243" s="178">
        <f t="shared" si="156"/>
        <v>0</v>
      </c>
      <c r="H243" s="178">
        <f t="shared" si="156"/>
        <v>0</v>
      </c>
      <c r="I243" s="178">
        <f t="shared" si="156"/>
        <v>0</v>
      </c>
      <c r="J243" s="178">
        <f t="shared" si="156"/>
        <v>0</v>
      </c>
      <c r="K243" s="178">
        <f t="shared" si="156"/>
        <v>0</v>
      </c>
      <c r="L243" s="178">
        <f t="shared" si="156"/>
        <v>3.1522140708501789E-2</v>
      </c>
      <c r="M243" s="178">
        <f t="shared" si="156"/>
        <v>2.4258091513662761E-2</v>
      </c>
      <c r="N243" s="178">
        <f t="shared" si="156"/>
        <v>2.9587648685595269E-2</v>
      </c>
      <c r="O243" s="178">
        <f t="shared" si="156"/>
        <v>3.150368327076003E-2</v>
      </c>
      <c r="P243" s="178">
        <f t="shared" si="156"/>
        <v>3.2000000000000695E-2</v>
      </c>
      <c r="Q243" s="178">
        <f t="shared" si="156"/>
        <v>3.1999999999999806E-2</v>
      </c>
      <c r="R243" s="178">
        <f t="shared" si="156"/>
        <v>2.9999999999999805E-2</v>
      </c>
    </row>
    <row r="244" spans="1:16383" x14ac:dyDescent="0.25">
      <c r="A244" s="49"/>
      <c r="C244" s="267"/>
      <c r="D244" s="57"/>
      <c r="E244" s="7" t="s">
        <v>510</v>
      </c>
      <c r="G244" s="92" t="s">
        <v>238</v>
      </c>
      <c r="J244" s="321">
        <f>J242*J243</f>
        <v>0</v>
      </c>
      <c r="K244" s="321">
        <f t="shared" ref="K244:L244" si="157">K242*K243</f>
        <v>0</v>
      </c>
      <c r="L244" s="321">
        <f t="shared" si="157"/>
        <v>0</v>
      </c>
      <c r="M244" s="321">
        <f>M242*M243</f>
        <v>0</v>
      </c>
      <c r="N244" s="321">
        <f t="shared" ref="N244:R244" si="158">N242*N243</f>
        <v>0</v>
      </c>
      <c r="O244" s="321">
        <f t="shared" si="158"/>
        <v>0</v>
      </c>
      <c r="P244" s="321">
        <f t="shared" si="158"/>
        <v>0</v>
      </c>
      <c r="Q244" s="321">
        <f t="shared" si="158"/>
        <v>0</v>
      </c>
      <c r="R244" s="321">
        <f t="shared" si="158"/>
        <v>0</v>
      </c>
    </row>
    <row r="245" spans="1:16383" x14ac:dyDescent="0.25"/>
    <row r="246" spans="1:16383" s="205" customFormat="1" x14ac:dyDescent="0.25">
      <c r="A246" s="201"/>
      <c r="B246" s="202"/>
      <c r="C246" s="203"/>
      <c r="D246" s="204"/>
      <c r="E246" s="37" t="str">
        <f xml:space="preserve"> InpR!E$101</f>
        <v>Run-off rate - CPI(H) + RPI wedge - active - BR</v>
      </c>
      <c r="F246" s="205">
        <f xml:space="preserve"> InpR!F$101</f>
        <v>0</v>
      </c>
      <c r="G246" s="223" t="str">
        <f xml:space="preserve"> InpR!G$101</f>
        <v>%</v>
      </c>
      <c r="H246" s="205">
        <f xml:space="preserve"> InpR!H$101</f>
        <v>0</v>
      </c>
      <c r="I246" s="205">
        <f xml:space="preserve"> InpR!I$101</f>
        <v>0</v>
      </c>
      <c r="J246" s="205">
        <f xml:space="preserve"> InpR!J$101</f>
        <v>0</v>
      </c>
      <c r="K246" s="205">
        <f xml:space="preserve"> InpR!K$101</f>
        <v>0</v>
      </c>
      <c r="L246" s="205">
        <f xml:space="preserve"> InpR!L$101</f>
        <v>0</v>
      </c>
      <c r="M246" s="205">
        <f xml:space="preserve"> InpR!M$101</f>
        <v>0</v>
      </c>
      <c r="N246" s="205">
        <f xml:space="preserve"> InpR!N$101</f>
        <v>0</v>
      </c>
      <c r="O246" s="205">
        <f xml:space="preserve"> InpR!O$101</f>
        <v>0</v>
      </c>
      <c r="P246" s="205">
        <f xml:space="preserve"> InpR!P$101</f>
        <v>0</v>
      </c>
      <c r="Q246" s="205">
        <f xml:space="preserve"> InpR!Q$101</f>
        <v>0</v>
      </c>
      <c r="R246" s="205">
        <f xml:space="preserve"> InpR!R$101</f>
        <v>0</v>
      </c>
    </row>
    <row r="247" spans="1:16383" s="161" customFormat="1" x14ac:dyDescent="0.25">
      <c r="A247" s="157"/>
      <c r="B247" s="158"/>
      <c r="C247" s="159"/>
      <c r="D247" s="160"/>
      <c r="E247" s="161" t="str">
        <f t="shared" ref="E247:R247" si="159" xml:space="preserve"> E$258</f>
        <v>2019-20 wedge Nominal RCV balance BEG</v>
      </c>
      <c r="F247" s="244">
        <f t="shared" si="159"/>
        <v>0</v>
      </c>
      <c r="G247" s="244" t="str">
        <f t="shared" si="159"/>
        <v>£m</v>
      </c>
      <c r="H247" s="244">
        <f t="shared" si="159"/>
        <v>0</v>
      </c>
      <c r="I247" s="244">
        <f t="shared" si="159"/>
        <v>0</v>
      </c>
      <c r="J247" s="244">
        <f t="shared" si="159"/>
        <v>0</v>
      </c>
      <c r="K247" s="244">
        <f t="shared" si="159"/>
        <v>0</v>
      </c>
      <c r="L247" s="244">
        <f t="shared" si="159"/>
        <v>0</v>
      </c>
      <c r="M247" s="244">
        <f t="shared" si="159"/>
        <v>0</v>
      </c>
      <c r="N247" s="244">
        <f t="shared" si="159"/>
        <v>0</v>
      </c>
      <c r="O247" s="244">
        <f t="shared" si="159"/>
        <v>0</v>
      </c>
      <c r="P247" s="244">
        <f t="shared" si="159"/>
        <v>0</v>
      </c>
      <c r="Q247" s="244">
        <f t="shared" si="159"/>
        <v>0</v>
      </c>
      <c r="R247" s="244">
        <f t="shared" si="159"/>
        <v>0</v>
      </c>
    </row>
    <row r="248" spans="1:16383" s="91" customFormat="1" x14ac:dyDescent="0.25">
      <c r="A248" s="170"/>
      <c r="B248" s="165"/>
      <c r="C248" s="265"/>
      <c r="D248" s="171"/>
      <c r="E248" s="7" t="str">
        <f t="shared" ref="E248:R248" si="160" xml:space="preserve"> E$244</f>
        <v>2019-20 wedge RCV indexation</v>
      </c>
      <c r="F248" s="245">
        <f t="shared" si="160"/>
        <v>0</v>
      </c>
      <c r="G248" s="162" t="str">
        <f t="shared" si="160"/>
        <v>£m</v>
      </c>
      <c r="H248" s="245">
        <f t="shared" si="160"/>
        <v>0</v>
      </c>
      <c r="I248" s="245">
        <f t="shared" si="160"/>
        <v>0</v>
      </c>
      <c r="J248" s="245">
        <f t="shared" si="160"/>
        <v>0</v>
      </c>
      <c r="K248" s="245">
        <f t="shared" si="160"/>
        <v>0</v>
      </c>
      <c r="L248" s="245">
        <f t="shared" si="160"/>
        <v>0</v>
      </c>
      <c r="M248" s="245">
        <f t="shared" si="160"/>
        <v>0</v>
      </c>
      <c r="N248" s="245">
        <f t="shared" si="160"/>
        <v>0</v>
      </c>
      <c r="O248" s="245">
        <f t="shared" si="160"/>
        <v>0</v>
      </c>
      <c r="P248" s="245">
        <f t="shared" si="160"/>
        <v>0</v>
      </c>
      <c r="Q248" s="245">
        <f t="shared" si="160"/>
        <v>0</v>
      </c>
      <c r="R248" s="245">
        <f t="shared" si="160"/>
        <v>0</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1" xml:space="preserve"> (J247+J248) * J246</f>
        <v>0</v>
      </c>
      <c r="K249" s="321">
        <f t="shared" si="161"/>
        <v>0</v>
      </c>
      <c r="L249" s="321">
        <f t="shared" si="161"/>
        <v>0</v>
      </c>
      <c r="M249" s="321">
        <f xml:space="preserve"> (M247+M248) * M246</f>
        <v>0</v>
      </c>
      <c r="N249" s="321">
        <f t="shared" si="161"/>
        <v>0</v>
      </c>
      <c r="O249" s="321">
        <f t="shared" si="161"/>
        <v>0</v>
      </c>
      <c r="P249" s="321">
        <f t="shared" si="161"/>
        <v>0</v>
      </c>
      <c r="Q249" s="321">
        <f t="shared" si="161"/>
        <v>0</v>
      </c>
      <c r="R249" s="321">
        <f t="shared" si="161"/>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F250" s="138"/>
      <c r="G250" s="138"/>
      <c r="H250" s="138"/>
    </row>
    <row r="251" spans="1:16383" s="200" customFormat="1" x14ac:dyDescent="0.25">
      <c r="A251" s="196"/>
      <c r="B251" s="197"/>
      <c r="C251" s="198"/>
      <c r="D251" s="199"/>
      <c r="E251" s="200" t="str">
        <f>InpR!$E$122</f>
        <v>2019-20 RPI-CPIH wedge adjustment at 2017-18 FYA CPIH prices - BR</v>
      </c>
      <c r="F251" s="249">
        <f>InpR!$F$122</f>
        <v>0</v>
      </c>
      <c r="G251" s="248" t="str">
        <f>InpR!$G$122</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7" t="s">
        <v>560</v>
      </c>
      <c r="F255" s="246">
        <f xml:space="preserve"> $F$251 * $F$254</f>
        <v>0</v>
      </c>
      <c r="G255" s="320"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2" xml:space="preserve"> I261</f>
        <v>0</v>
      </c>
      <c r="K258" s="241">
        <f t="shared" si="162"/>
        <v>0</v>
      </c>
      <c r="L258" s="241">
        <f t="shared" si="162"/>
        <v>0</v>
      </c>
      <c r="M258" s="241">
        <f t="shared" si="162"/>
        <v>0</v>
      </c>
      <c r="N258" s="241">
        <f t="shared" si="162"/>
        <v>0</v>
      </c>
      <c r="O258" s="241">
        <f t="shared" si="162"/>
        <v>0</v>
      </c>
      <c r="P258" s="241">
        <f t="shared" si="162"/>
        <v>0</v>
      </c>
      <c r="Q258" s="241">
        <f t="shared" si="162"/>
        <v>0</v>
      </c>
      <c r="R258" s="241">
        <f t="shared" si="162"/>
        <v>0</v>
      </c>
    </row>
    <row r="259" spans="1:26" x14ac:dyDescent="0.25">
      <c r="A259" s="47"/>
      <c r="B259" s="51"/>
      <c r="C259" s="111"/>
      <c r="D259" s="56" t="s">
        <v>445</v>
      </c>
      <c r="E259" s="7" t="str">
        <f t="shared" ref="E259:R259" si="163" xml:space="preserve"> E$244</f>
        <v>2019-20 wedge RCV indexation</v>
      </c>
      <c r="F259" s="241">
        <f t="shared" si="163"/>
        <v>0</v>
      </c>
      <c r="G259" s="241" t="str">
        <f t="shared" si="163"/>
        <v>£m</v>
      </c>
      <c r="H259" s="241">
        <f t="shared" si="163"/>
        <v>0</v>
      </c>
      <c r="I259" s="241">
        <f t="shared" si="163"/>
        <v>0</v>
      </c>
      <c r="J259" s="241">
        <f t="shared" si="163"/>
        <v>0</v>
      </c>
      <c r="K259" s="241">
        <f t="shared" si="163"/>
        <v>0</v>
      </c>
      <c r="L259" s="241">
        <f t="shared" si="163"/>
        <v>0</v>
      </c>
      <c r="M259" s="241">
        <f t="shared" si="163"/>
        <v>0</v>
      </c>
      <c r="N259" s="241">
        <f t="shared" si="163"/>
        <v>0</v>
      </c>
      <c r="O259" s="241">
        <f t="shared" si="163"/>
        <v>0</v>
      </c>
      <c r="P259" s="241">
        <f t="shared" si="163"/>
        <v>0</v>
      </c>
      <c r="Q259" s="241">
        <f t="shared" si="163"/>
        <v>0</v>
      </c>
      <c r="R259" s="241">
        <f t="shared" si="163"/>
        <v>0</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64" xml:space="preserve"> IF( J256 = 1, $F255, J258 + J259 - J260)</f>
        <v>0</v>
      </c>
      <c r="K261" s="242">
        <f t="shared" si="164"/>
        <v>0</v>
      </c>
      <c r="L261" s="242">
        <f t="shared" si="164"/>
        <v>0</v>
      </c>
      <c r="M261" s="242">
        <f t="shared" si="164"/>
        <v>0</v>
      </c>
      <c r="N261" s="242">
        <f t="shared" si="164"/>
        <v>0</v>
      </c>
      <c r="O261" s="242">
        <f t="shared" si="164"/>
        <v>0</v>
      </c>
      <c r="P261" s="242">
        <f t="shared" si="164"/>
        <v>0</v>
      </c>
      <c r="Q261" s="242">
        <f t="shared" si="164"/>
        <v>0</v>
      </c>
      <c r="R261" s="242">
        <f t="shared" si="164"/>
        <v>0</v>
      </c>
    </row>
    <row r="262" spans="1:26" x14ac:dyDescent="0.25"/>
    <row r="263" spans="1:26" s="92" customFormat="1" x14ac:dyDescent="0.25">
      <c r="A263" s="164"/>
      <c r="B263" s="165"/>
      <c r="C263" s="166"/>
      <c r="D263" s="167"/>
      <c r="E263" s="179" t="str">
        <f t="shared" ref="E263:R263" si="165" xml:space="preserve"> E$258</f>
        <v>2019-20 wedge Nominal RCV balance BEG</v>
      </c>
      <c r="F263" s="185">
        <f t="shared" si="165"/>
        <v>0</v>
      </c>
      <c r="G263" s="185" t="str">
        <f t="shared" si="165"/>
        <v>£m</v>
      </c>
      <c r="H263" s="185">
        <f t="shared" si="165"/>
        <v>0</v>
      </c>
      <c r="I263" s="185">
        <f t="shared" si="165"/>
        <v>0</v>
      </c>
      <c r="J263" s="185">
        <f t="shared" si="165"/>
        <v>0</v>
      </c>
      <c r="K263" s="185">
        <f t="shared" si="165"/>
        <v>0</v>
      </c>
      <c r="L263" s="185">
        <f t="shared" si="165"/>
        <v>0</v>
      </c>
      <c r="M263" s="185">
        <f t="shared" si="165"/>
        <v>0</v>
      </c>
      <c r="N263" s="185">
        <f t="shared" si="165"/>
        <v>0</v>
      </c>
      <c r="O263" s="185">
        <f t="shared" si="165"/>
        <v>0</v>
      </c>
      <c r="P263" s="185">
        <f t="shared" si="165"/>
        <v>0</v>
      </c>
      <c r="Q263" s="185">
        <f t="shared" si="165"/>
        <v>0</v>
      </c>
      <c r="R263" s="185">
        <f t="shared" si="165"/>
        <v>0</v>
      </c>
    </row>
    <row r="264" spans="1:26" s="91" customFormat="1" x14ac:dyDescent="0.25">
      <c r="A264" s="170"/>
      <c r="B264" s="165"/>
      <c r="C264" s="166"/>
      <c r="D264" s="171"/>
      <c r="E264" s="179" t="str">
        <f t="shared" ref="E264:R264" si="166" xml:space="preserve"> E$244</f>
        <v>2019-20 wedge RCV indexation</v>
      </c>
      <c r="F264" s="184">
        <f t="shared" si="166"/>
        <v>0</v>
      </c>
      <c r="G264" s="185" t="str">
        <f t="shared" si="166"/>
        <v>£m</v>
      </c>
      <c r="H264" s="184">
        <f t="shared" si="166"/>
        <v>0</v>
      </c>
      <c r="I264" s="184">
        <f t="shared" si="166"/>
        <v>0</v>
      </c>
      <c r="J264" s="184">
        <f t="shared" si="166"/>
        <v>0</v>
      </c>
      <c r="K264" s="184">
        <f t="shared" si="166"/>
        <v>0</v>
      </c>
      <c r="L264" s="184">
        <f t="shared" si="166"/>
        <v>0</v>
      </c>
      <c r="M264" s="184">
        <f t="shared" si="166"/>
        <v>0</v>
      </c>
      <c r="N264" s="184">
        <f t="shared" si="166"/>
        <v>0</v>
      </c>
      <c r="O264" s="184">
        <f t="shared" si="166"/>
        <v>0</v>
      </c>
      <c r="P264" s="184">
        <f t="shared" si="166"/>
        <v>0</v>
      </c>
      <c r="Q264" s="184">
        <f t="shared" si="166"/>
        <v>0</v>
      </c>
      <c r="R264" s="184">
        <f t="shared" si="166"/>
        <v>0</v>
      </c>
      <c r="S264" s="92"/>
      <c r="T264" s="92"/>
      <c r="U264" s="92"/>
      <c r="V264" s="92"/>
      <c r="W264" s="92"/>
      <c r="X264" s="92"/>
      <c r="Y264" s="92"/>
      <c r="Z264" s="92"/>
    </row>
    <row r="265" spans="1:26" s="92" customFormat="1" x14ac:dyDescent="0.25">
      <c r="A265" s="164"/>
      <c r="B265" s="165"/>
      <c r="C265" s="166"/>
      <c r="D265" s="167"/>
      <c r="E265" s="179" t="str">
        <f t="shared" ref="E265:R265" si="167" xml:space="preserve"> E$261</f>
        <v>2019-20 wedge Nominal RCV balance END</v>
      </c>
      <c r="F265" s="185">
        <f t="shared" si="167"/>
        <v>0</v>
      </c>
      <c r="G265" s="185" t="str">
        <f t="shared" si="167"/>
        <v>£m</v>
      </c>
      <c r="H265" s="185">
        <f t="shared" si="167"/>
        <v>0</v>
      </c>
      <c r="I265" s="185">
        <f t="shared" si="167"/>
        <v>0</v>
      </c>
      <c r="J265" s="185">
        <f t="shared" si="167"/>
        <v>0</v>
      </c>
      <c r="K265" s="185">
        <f t="shared" si="167"/>
        <v>0</v>
      </c>
      <c r="L265" s="185">
        <f t="shared" si="167"/>
        <v>0</v>
      </c>
      <c r="M265" s="185">
        <f t="shared" si="167"/>
        <v>0</v>
      </c>
      <c r="N265" s="185">
        <f t="shared" si="167"/>
        <v>0</v>
      </c>
      <c r="O265" s="185">
        <f t="shared" si="167"/>
        <v>0</v>
      </c>
      <c r="P265" s="185">
        <f t="shared" si="167"/>
        <v>0</v>
      </c>
      <c r="Q265" s="185">
        <f t="shared" si="167"/>
        <v>0</v>
      </c>
      <c r="R265" s="185">
        <f t="shared" si="167"/>
        <v>0</v>
      </c>
    </row>
    <row r="266" spans="1:26" x14ac:dyDescent="0.25">
      <c r="A266" s="49"/>
      <c r="C266" s="267"/>
      <c r="D266" s="57"/>
      <c r="E266" s="7" t="s">
        <v>517</v>
      </c>
      <c r="F266" s="243"/>
      <c r="G266" s="185" t="s">
        <v>238</v>
      </c>
      <c r="H266" s="243"/>
      <c r="I266" s="243"/>
      <c r="J266" s="185">
        <f t="shared" ref="J266:L266" si="168" xml:space="preserve"> ( (J263+J264) + J265) / 2</f>
        <v>0</v>
      </c>
      <c r="K266" s="185">
        <f t="shared" si="168"/>
        <v>0</v>
      </c>
      <c r="L266" s="185">
        <f t="shared" si="168"/>
        <v>0</v>
      </c>
      <c r="M266" s="185">
        <f xml:space="preserve"> ( (M263+M264) + M265) / 2</f>
        <v>0</v>
      </c>
      <c r="N266" s="185">
        <f t="shared" ref="N266:R266" si="169" xml:space="preserve"> ( (N263+N264) + N265) / 2</f>
        <v>0</v>
      </c>
      <c r="O266" s="185">
        <f t="shared" si="169"/>
        <v>0</v>
      </c>
      <c r="P266" s="185">
        <f t="shared" si="169"/>
        <v>0</v>
      </c>
      <c r="Q266" s="185">
        <f t="shared" si="169"/>
        <v>0</v>
      </c>
      <c r="R266" s="185">
        <f t="shared" si="169"/>
        <v>0</v>
      </c>
    </row>
    <row r="267" spans="1:26" x14ac:dyDescent="0.25"/>
    <row r="268" spans="1:26" s="205" customFormat="1" x14ac:dyDescent="0.25">
      <c r="A268" s="201"/>
      <c r="B268" s="202"/>
      <c r="C268" s="203"/>
      <c r="D268" s="204"/>
      <c r="E268" s="205" t="str">
        <f xml:space="preserve"> InpR!E$108</f>
        <v>WACC on RCV - CPI(H) + RPI wedge bf and additions - BR</v>
      </c>
      <c r="F268" s="205">
        <f xml:space="preserve"> InpR!F$108</f>
        <v>0</v>
      </c>
      <c r="G268" s="223" t="str">
        <f xml:space="preserve"> InpR!G$108</f>
        <v>%</v>
      </c>
      <c r="H268" s="205">
        <f xml:space="preserve"> InpR!H$108</f>
        <v>0</v>
      </c>
      <c r="I268" s="205">
        <f xml:space="preserve"> InpR!I$108</f>
        <v>0</v>
      </c>
      <c r="J268" s="205">
        <f xml:space="preserve"> InpR!J$108</f>
        <v>0</v>
      </c>
      <c r="K268" s="205">
        <f xml:space="preserve"> InpR!K$108</f>
        <v>0</v>
      </c>
      <c r="L268" s="205">
        <f xml:space="preserve"> InpR!L$108</f>
        <v>0</v>
      </c>
      <c r="M268" s="205">
        <f xml:space="preserve"> InpR!M$108</f>
        <v>1.920357193840716E-2</v>
      </c>
      <c r="N268" s="205">
        <f xml:space="preserve"> InpR!N$108</f>
        <v>1.920357193840716E-2</v>
      </c>
      <c r="O268" s="205">
        <f xml:space="preserve"> InpR!O$108</f>
        <v>1.920357193840716E-2</v>
      </c>
      <c r="P268" s="205">
        <f xml:space="preserve"> InpR!P$108</f>
        <v>1.920357193840716E-2</v>
      </c>
      <c r="Q268" s="205">
        <f xml:space="preserve"> InpR!Q$108</f>
        <v>1.920357193840716E-2</v>
      </c>
      <c r="R268" s="205">
        <f xml:space="preserve"> InpR!R$108</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0" xml:space="preserve"> E$266</f>
        <v>2019-20 wedge Nominal RCV average balance</v>
      </c>
      <c r="F270" s="184">
        <f t="shared" si="170"/>
        <v>0</v>
      </c>
      <c r="G270" s="184" t="str">
        <f t="shared" si="170"/>
        <v>£m</v>
      </c>
      <c r="H270" s="245">
        <f t="shared" si="170"/>
        <v>0</v>
      </c>
      <c r="I270" s="184">
        <f t="shared" si="170"/>
        <v>0</v>
      </c>
      <c r="J270" s="245">
        <f t="shared" si="170"/>
        <v>0</v>
      </c>
      <c r="K270" s="245">
        <f t="shared" si="170"/>
        <v>0</v>
      </c>
      <c r="L270" s="245">
        <f t="shared" si="170"/>
        <v>0</v>
      </c>
      <c r="M270" s="245">
        <f xml:space="preserve"> M$266</f>
        <v>0</v>
      </c>
      <c r="N270" s="245">
        <f t="shared" si="170"/>
        <v>0</v>
      </c>
      <c r="O270" s="245">
        <f t="shared" si="170"/>
        <v>0</v>
      </c>
      <c r="P270" s="245">
        <f t="shared" si="170"/>
        <v>0</v>
      </c>
      <c r="Q270" s="245">
        <f t="shared" si="170"/>
        <v>0</v>
      </c>
      <c r="R270" s="245">
        <f t="shared" si="170"/>
        <v>0</v>
      </c>
    </row>
    <row r="271" spans="1:26" x14ac:dyDescent="0.25">
      <c r="C271" s="267"/>
      <c r="E271" s="7" t="s">
        <v>518</v>
      </c>
      <c r="F271" s="243"/>
      <c r="G271" s="184" t="s">
        <v>238</v>
      </c>
      <c r="H271" s="243"/>
      <c r="I271" s="243"/>
      <c r="J271" s="245">
        <f t="shared" ref="J271:K271" si="171">J268*J269*J270</f>
        <v>0</v>
      </c>
      <c r="K271" s="245">
        <f t="shared" si="171"/>
        <v>0</v>
      </c>
      <c r="L271" s="245">
        <f>L268*L269*L270</f>
        <v>0</v>
      </c>
      <c r="M271" s="245">
        <f>M268*M269*M270</f>
        <v>0</v>
      </c>
      <c r="N271" s="245">
        <f t="shared" ref="N271:R271" si="172">N268*N269*N270</f>
        <v>0</v>
      </c>
      <c r="O271" s="245">
        <f t="shared" si="172"/>
        <v>0</v>
      </c>
      <c r="P271" s="245">
        <f t="shared" si="172"/>
        <v>0</v>
      </c>
      <c r="Q271" s="245">
        <f t="shared" si="172"/>
        <v>0</v>
      </c>
      <c r="R271" s="245">
        <f t="shared" si="172"/>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3" xml:space="preserve"> F$249</f>
        <v>0</v>
      </c>
      <c r="G273" s="184" t="str">
        <f t="shared" si="173"/>
        <v>£m</v>
      </c>
      <c r="H273" s="184">
        <f t="shared" si="173"/>
        <v>0</v>
      </c>
      <c r="I273" s="184">
        <f t="shared" si="173"/>
        <v>0</v>
      </c>
      <c r="J273" s="184">
        <f t="shared" si="173"/>
        <v>0</v>
      </c>
      <c r="K273" s="184">
        <f t="shared" si="173"/>
        <v>0</v>
      </c>
      <c r="L273" s="184">
        <f t="shared" si="173"/>
        <v>0</v>
      </c>
      <c r="M273" s="184">
        <f t="shared" si="173"/>
        <v>0</v>
      </c>
      <c r="N273" s="184">
        <f t="shared" si="173"/>
        <v>0</v>
      </c>
      <c r="O273" s="184">
        <f t="shared" si="173"/>
        <v>0</v>
      </c>
      <c r="P273" s="184">
        <f t="shared" si="173"/>
        <v>0</v>
      </c>
      <c r="Q273" s="184">
        <f t="shared" si="173"/>
        <v>0</v>
      </c>
      <c r="R273" s="184">
        <f t="shared" si="173"/>
        <v>0</v>
      </c>
      <c r="S273" s="92"/>
      <c r="T273" s="92"/>
      <c r="U273" s="92"/>
      <c r="V273" s="92"/>
      <c r="W273" s="92"/>
      <c r="X273" s="92"/>
      <c r="Y273" s="92"/>
      <c r="Z273" s="92"/>
    </row>
    <row r="274" spans="1:26" x14ac:dyDescent="0.25">
      <c r="E274" s="7" t="str">
        <f xml:space="preserve"> E$271</f>
        <v>2019-20 wedge Nominal return</v>
      </c>
      <c r="F274" s="184">
        <f t="shared" ref="F274:R274" si="174" xml:space="preserve"> F$271</f>
        <v>0</v>
      </c>
      <c r="G274" s="184" t="str">
        <f t="shared" si="174"/>
        <v>£m</v>
      </c>
      <c r="H274" s="184">
        <f t="shared" si="174"/>
        <v>0</v>
      </c>
      <c r="I274" s="184">
        <f t="shared" si="174"/>
        <v>0</v>
      </c>
      <c r="J274" s="184">
        <f t="shared" si="174"/>
        <v>0</v>
      </c>
      <c r="K274" s="184">
        <f t="shared" si="174"/>
        <v>0</v>
      </c>
      <c r="L274" s="184">
        <f t="shared" si="174"/>
        <v>0</v>
      </c>
      <c r="M274" s="184">
        <f t="shared" si="174"/>
        <v>0</v>
      </c>
      <c r="N274" s="184">
        <f t="shared" si="174"/>
        <v>0</v>
      </c>
      <c r="O274" s="184">
        <f t="shared" si="174"/>
        <v>0</v>
      </c>
      <c r="P274" s="184">
        <f t="shared" si="174"/>
        <v>0</v>
      </c>
      <c r="Q274" s="184">
        <f t="shared" si="174"/>
        <v>0</v>
      </c>
      <c r="R274" s="184">
        <f t="shared" si="174"/>
        <v>0</v>
      </c>
    </row>
    <row r="275" spans="1:26" x14ac:dyDescent="0.25">
      <c r="C275" s="267"/>
      <c r="E275" s="7" t="s">
        <v>519</v>
      </c>
      <c r="F275" s="243"/>
      <c r="G275" s="184" t="str">
        <f t="shared" ref="G275" si="175">G$273</f>
        <v>£m</v>
      </c>
      <c r="H275" s="243">
        <f>SUM(J275:R275)</f>
        <v>0</v>
      </c>
      <c r="I275" s="243"/>
      <c r="J275" s="243">
        <f t="shared" ref="J275:R275" si="176">SUM(J273:J274)</f>
        <v>0</v>
      </c>
      <c r="K275" s="243">
        <f t="shared" si="176"/>
        <v>0</v>
      </c>
      <c r="L275" s="243">
        <f>SUM(L273:L274)</f>
        <v>0</v>
      </c>
      <c r="M275" s="243">
        <f>SUM(M273:M274)</f>
        <v>0</v>
      </c>
      <c r="N275" s="243">
        <f t="shared" si="176"/>
        <v>0</v>
      </c>
      <c r="O275" s="243">
        <f t="shared" si="176"/>
        <v>0</v>
      </c>
      <c r="P275" s="243">
        <f t="shared" si="176"/>
        <v>0</v>
      </c>
      <c r="Q275" s="243">
        <f t="shared" si="176"/>
        <v>0</v>
      </c>
      <c r="R275" s="243">
        <f t="shared" si="176"/>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77">F$249</f>
        <v>0</v>
      </c>
      <c r="G279" s="185" t="str">
        <f t="shared" si="177"/>
        <v>£m</v>
      </c>
      <c r="H279" s="185">
        <f t="shared" si="177"/>
        <v>0</v>
      </c>
      <c r="I279" s="185">
        <f t="shared" si="177"/>
        <v>0</v>
      </c>
      <c r="J279" s="185">
        <f t="shared" si="177"/>
        <v>0</v>
      </c>
      <c r="K279" s="185">
        <f t="shared" si="177"/>
        <v>0</v>
      </c>
      <c r="L279" s="185">
        <f t="shared" si="177"/>
        <v>0</v>
      </c>
      <c r="M279" s="185">
        <f t="shared" si="177"/>
        <v>0</v>
      </c>
      <c r="N279" s="185">
        <f t="shared" si="177"/>
        <v>0</v>
      </c>
      <c r="O279" s="185">
        <f t="shared" si="177"/>
        <v>0</v>
      </c>
      <c r="P279" s="185">
        <f t="shared" si="177"/>
        <v>0</v>
      </c>
      <c r="Q279" s="185">
        <f t="shared" si="177"/>
        <v>0</v>
      </c>
      <c r="R279" s="185">
        <f t="shared" si="177"/>
        <v>0</v>
      </c>
    </row>
    <row r="280" spans="1:26" s="92" customFormat="1" x14ac:dyDescent="0.25">
      <c r="A280" s="164"/>
      <c r="B280" s="165"/>
      <c r="C280" s="166"/>
      <c r="D280" s="167"/>
      <c r="E280" s="7" t="str">
        <f>E$271</f>
        <v>2019-20 wedge Nominal return</v>
      </c>
      <c r="F280" s="185">
        <f t="shared" ref="F280:R280" si="178">F$271</f>
        <v>0</v>
      </c>
      <c r="G280" s="185" t="str">
        <f t="shared" si="178"/>
        <v>£m</v>
      </c>
      <c r="H280" s="185">
        <f t="shared" si="178"/>
        <v>0</v>
      </c>
      <c r="I280" s="185">
        <f t="shared" si="178"/>
        <v>0</v>
      </c>
      <c r="J280" s="185">
        <f t="shared" si="178"/>
        <v>0</v>
      </c>
      <c r="K280" s="185">
        <f t="shared" si="178"/>
        <v>0</v>
      </c>
      <c r="L280" s="185">
        <f t="shared" si="178"/>
        <v>0</v>
      </c>
      <c r="M280" s="185">
        <f t="shared" si="178"/>
        <v>0</v>
      </c>
      <c r="N280" s="185">
        <f t="shared" si="178"/>
        <v>0</v>
      </c>
      <c r="O280" s="185">
        <f t="shared" si="178"/>
        <v>0</v>
      </c>
      <c r="P280" s="185">
        <f t="shared" si="178"/>
        <v>0</v>
      </c>
      <c r="Q280" s="185">
        <f t="shared" si="178"/>
        <v>0</v>
      </c>
      <c r="R280" s="185">
        <f t="shared" si="178"/>
        <v>0</v>
      </c>
    </row>
    <row r="281" spans="1:26" s="92" customFormat="1" x14ac:dyDescent="0.25">
      <c r="A281" s="164"/>
      <c r="B281" s="165"/>
      <c r="C281" s="166"/>
      <c r="D281" s="167"/>
      <c r="E281" s="7" t="str">
        <f>E$275</f>
        <v>Total 2019-20 wedge Nominal revenue to company</v>
      </c>
      <c r="F281" s="185">
        <f t="shared" ref="F281:R281" si="179">F$275</f>
        <v>0</v>
      </c>
      <c r="G281" s="185" t="str">
        <f t="shared" si="179"/>
        <v>£m</v>
      </c>
      <c r="H281" s="185">
        <f t="shared" si="179"/>
        <v>0</v>
      </c>
      <c r="I281" s="185">
        <f t="shared" si="179"/>
        <v>0</v>
      </c>
      <c r="J281" s="185">
        <f t="shared" si="179"/>
        <v>0</v>
      </c>
      <c r="K281" s="185">
        <f t="shared" si="179"/>
        <v>0</v>
      </c>
      <c r="L281" s="185">
        <f t="shared" si="179"/>
        <v>0</v>
      </c>
      <c r="M281" s="185">
        <f t="shared" si="179"/>
        <v>0</v>
      </c>
      <c r="N281" s="185">
        <f t="shared" si="179"/>
        <v>0</v>
      </c>
      <c r="O281" s="185">
        <f t="shared" si="179"/>
        <v>0</v>
      </c>
      <c r="P281" s="185">
        <f t="shared" si="179"/>
        <v>0</v>
      </c>
      <c r="Q281" s="185">
        <f t="shared" si="179"/>
        <v>0</v>
      </c>
      <c r="R281" s="185">
        <f t="shared" si="179"/>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0">G$273</f>
        <v>£m</v>
      </c>
      <c r="H283" s="243">
        <f>SUM(J283:R283)</f>
        <v>0</v>
      </c>
      <c r="I283" s="185"/>
      <c r="J283" s="185">
        <f t="shared" ref="J283:R283" si="181" xml:space="preserve"> IF(J$282 = 0, 0, J279 / J$282)</f>
        <v>0</v>
      </c>
      <c r="K283" s="185">
        <f t="shared" si="181"/>
        <v>0</v>
      </c>
      <c r="L283" s="185">
        <f t="shared" si="181"/>
        <v>0</v>
      </c>
      <c r="M283" s="185">
        <f t="shared" si="181"/>
        <v>0</v>
      </c>
      <c r="N283" s="185">
        <f t="shared" si="181"/>
        <v>0</v>
      </c>
      <c r="O283" s="185">
        <f t="shared" si="181"/>
        <v>0</v>
      </c>
      <c r="P283" s="185">
        <f t="shared" si="181"/>
        <v>0</v>
      </c>
      <c r="Q283" s="185">
        <f t="shared" si="181"/>
        <v>0</v>
      </c>
      <c r="R283" s="185">
        <f t="shared" si="181"/>
        <v>0</v>
      </c>
    </row>
    <row r="284" spans="1:26" s="92" customFormat="1" x14ac:dyDescent="0.25">
      <c r="A284" s="164"/>
      <c r="B284" s="165"/>
      <c r="C284" s="166"/>
      <c r="D284" s="167"/>
      <c r="E284" s="7" t="s">
        <v>521</v>
      </c>
      <c r="F284" s="185"/>
      <c r="G284" s="185" t="str">
        <f t="shared" si="180"/>
        <v>£m</v>
      </c>
      <c r="H284" s="243">
        <f t="shared" ref="H284:H285" si="182">SUM(J284:R284)</f>
        <v>0</v>
      </c>
      <c r="I284" s="185"/>
      <c r="J284" s="185">
        <f t="shared" ref="J284:R284" si="183" xml:space="preserve"> IF(J$282 = 0, 0, J280 / J$282)</f>
        <v>0</v>
      </c>
      <c r="K284" s="185">
        <f t="shared" si="183"/>
        <v>0</v>
      </c>
      <c r="L284" s="185">
        <f t="shared" si="183"/>
        <v>0</v>
      </c>
      <c r="M284" s="185">
        <f t="shared" si="183"/>
        <v>0</v>
      </c>
      <c r="N284" s="185">
        <f t="shared" si="183"/>
        <v>0</v>
      </c>
      <c r="O284" s="185">
        <f t="shared" si="183"/>
        <v>0</v>
      </c>
      <c r="P284" s="185">
        <f t="shared" si="183"/>
        <v>0</v>
      </c>
      <c r="Q284" s="185">
        <f t="shared" si="183"/>
        <v>0</v>
      </c>
      <c r="R284" s="185">
        <f t="shared" si="183"/>
        <v>0</v>
      </c>
    </row>
    <row r="285" spans="1:26" s="92" customFormat="1" x14ac:dyDescent="0.25">
      <c r="A285" s="164"/>
      <c r="B285" s="165"/>
      <c r="C285" s="166"/>
      <c r="D285" s="167"/>
      <c r="E285" s="7" t="s">
        <v>522</v>
      </c>
      <c r="F285" s="185"/>
      <c r="G285" s="185" t="str">
        <f t="shared" si="180"/>
        <v>£m</v>
      </c>
      <c r="H285" s="243">
        <f t="shared" si="182"/>
        <v>0</v>
      </c>
      <c r="I285" s="185"/>
      <c r="J285" s="185">
        <f t="shared" ref="J285:R285" si="184" xml:space="preserve"> IF(J$282 = 0, 0, J281 / J$282)</f>
        <v>0</v>
      </c>
      <c r="K285" s="185">
        <f t="shared" si="184"/>
        <v>0</v>
      </c>
      <c r="L285" s="185">
        <f t="shared" si="184"/>
        <v>0</v>
      </c>
      <c r="M285" s="185">
        <f t="shared" si="184"/>
        <v>0</v>
      </c>
      <c r="N285" s="185">
        <f t="shared" si="184"/>
        <v>0</v>
      </c>
      <c r="O285" s="185">
        <f t="shared" si="184"/>
        <v>0</v>
      </c>
      <c r="P285" s="185">
        <f t="shared" si="184"/>
        <v>0</v>
      </c>
      <c r="Q285" s="185">
        <f t="shared" si="184"/>
        <v>0</v>
      </c>
      <c r="R285" s="185">
        <f t="shared" si="184"/>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InpR!E$115</f>
        <v>WACC real on RCV - CPI(H) bf and additions - BR</v>
      </c>
      <c r="F289" s="205">
        <f>InpR!F$115</f>
        <v>0</v>
      </c>
      <c r="G289" s="223" t="str">
        <f>InpR!G$115</f>
        <v>%</v>
      </c>
      <c r="H289" s="205">
        <f>InpR!H$115</f>
        <v>0</v>
      </c>
      <c r="I289" s="205">
        <f>InpR!I$115</f>
        <v>0</v>
      </c>
      <c r="J289" s="205">
        <f>InpR!J$115</f>
        <v>0</v>
      </c>
      <c r="K289" s="205">
        <f>InpR!K$115</f>
        <v>0</v>
      </c>
      <c r="L289" s="205">
        <f>InpR!L$115</f>
        <v>0</v>
      </c>
      <c r="M289" s="205">
        <f>InpR!M$115</f>
        <v>2.9195763820156317E-2</v>
      </c>
      <c r="N289" s="205">
        <f>InpR!N$115</f>
        <v>2.9195763820156317E-2</v>
      </c>
      <c r="O289" s="205">
        <f>InpR!O$115</f>
        <v>2.9195763820156317E-2</v>
      </c>
      <c r="P289" s="205">
        <f>InpR!P$115</f>
        <v>2.9195763820156317E-2</v>
      </c>
      <c r="Q289" s="205">
        <f>InpR!Q$115</f>
        <v>2.9195763820156317E-2</v>
      </c>
      <c r="R289" s="205">
        <f>InpR!R$115</f>
        <v>0</v>
      </c>
    </row>
    <row r="290" spans="1:18" x14ac:dyDescent="0.25">
      <c r="E290" s="7" t="s">
        <v>499</v>
      </c>
      <c r="G290" s="7" t="s">
        <v>500</v>
      </c>
      <c r="J290" s="254">
        <f xml:space="preserve"> (1 + J$289) ^ J$288</f>
        <v>1</v>
      </c>
      <c r="K290" s="254">
        <f t="shared" ref="K290:R290" si="185" xml:space="preserve"> (1 + K$289) ^ K$288</f>
        <v>1</v>
      </c>
      <c r="L290" s="254">
        <f t="shared" si="185"/>
        <v>1</v>
      </c>
      <c r="M290" s="254">
        <f t="shared" si="185"/>
        <v>1.1219976826191176</v>
      </c>
      <c r="N290" s="254">
        <f t="shared" si="185"/>
        <v>1.0901693555893588</v>
      </c>
      <c r="O290" s="254">
        <f t="shared" si="185"/>
        <v>1.059243920265355</v>
      </c>
      <c r="P290" s="254">
        <f t="shared" si="185"/>
        <v>1.0291957638201563</v>
      </c>
      <c r="Q290" s="254">
        <f t="shared" si="185"/>
        <v>1</v>
      </c>
      <c r="R290" s="254">
        <f t="shared" si="185"/>
        <v>1</v>
      </c>
    </row>
    <row r="291" spans="1:18" x14ac:dyDescent="0.25"/>
    <row r="292" spans="1:18" x14ac:dyDescent="0.25">
      <c r="B292" s="61" t="s">
        <v>501</v>
      </c>
    </row>
    <row r="293" spans="1:18" x14ac:dyDescent="0.25">
      <c r="A293" s="49"/>
      <c r="D293" s="57"/>
      <c r="E293" s="7" t="str">
        <f>E$283</f>
        <v>2019-20 wedge RCV run-off - real</v>
      </c>
      <c r="F293" s="185">
        <f t="shared" ref="F293:R293" si="186">F$283</f>
        <v>0</v>
      </c>
      <c r="G293" s="7" t="str">
        <f t="shared" si="186"/>
        <v>£m</v>
      </c>
      <c r="H293" s="246">
        <f t="shared" si="186"/>
        <v>0</v>
      </c>
      <c r="I293" s="246">
        <f t="shared" si="186"/>
        <v>0</v>
      </c>
      <c r="J293" s="185">
        <f t="shared" si="186"/>
        <v>0</v>
      </c>
      <c r="K293" s="185">
        <f t="shared" si="186"/>
        <v>0</v>
      </c>
      <c r="L293" s="185">
        <f t="shared" si="186"/>
        <v>0</v>
      </c>
      <c r="M293" s="185">
        <f t="shared" si="186"/>
        <v>0</v>
      </c>
      <c r="N293" s="185">
        <f t="shared" si="186"/>
        <v>0</v>
      </c>
      <c r="O293" s="185">
        <f t="shared" si="186"/>
        <v>0</v>
      </c>
      <c r="P293" s="185">
        <f t="shared" si="186"/>
        <v>0</v>
      </c>
      <c r="Q293" s="185">
        <f t="shared" si="186"/>
        <v>0</v>
      </c>
      <c r="R293" s="185">
        <f t="shared" si="186"/>
        <v>0</v>
      </c>
    </row>
    <row r="294" spans="1:18" x14ac:dyDescent="0.25">
      <c r="A294" s="49"/>
      <c r="D294" s="57"/>
      <c r="E294" s="7" t="str">
        <f>E$290</f>
        <v xml:space="preserve">Time value of money factor </v>
      </c>
      <c r="F294" s="185">
        <f t="shared" ref="F294:R294" si="187">F$290</f>
        <v>0</v>
      </c>
      <c r="G294" s="7" t="str">
        <f t="shared" si="187"/>
        <v>Factor</v>
      </c>
      <c r="H294" s="246">
        <f t="shared" si="187"/>
        <v>0</v>
      </c>
      <c r="I294" s="246">
        <f t="shared" si="187"/>
        <v>0</v>
      </c>
      <c r="J294" s="185">
        <f t="shared" si="187"/>
        <v>1</v>
      </c>
      <c r="K294" s="185">
        <f t="shared" si="187"/>
        <v>1</v>
      </c>
      <c r="L294" s="185">
        <f t="shared" si="187"/>
        <v>1</v>
      </c>
      <c r="M294" s="185">
        <f t="shared" si="187"/>
        <v>1.1219976826191176</v>
      </c>
      <c r="N294" s="185">
        <f t="shared" si="187"/>
        <v>1.0901693555893588</v>
      </c>
      <c r="O294" s="185">
        <f t="shared" si="187"/>
        <v>1.059243920265355</v>
      </c>
      <c r="P294" s="185">
        <f t="shared" si="187"/>
        <v>1.0291957638201563</v>
      </c>
      <c r="Q294" s="185">
        <f t="shared" si="187"/>
        <v>1</v>
      </c>
      <c r="R294" s="185">
        <f t="shared" si="187"/>
        <v>1</v>
      </c>
    </row>
    <row r="295" spans="1:18" x14ac:dyDescent="0.25">
      <c r="A295" s="49"/>
      <c r="C295" s="267"/>
      <c r="D295" s="57"/>
      <c r="E295" s="7" t="s">
        <v>561</v>
      </c>
      <c r="G295" s="7" t="s">
        <v>238</v>
      </c>
      <c r="H295" s="185">
        <f xml:space="preserve"> SUM(J295:R295)</f>
        <v>0</v>
      </c>
      <c r="J295" s="185">
        <f xml:space="preserve"> J293 * J294</f>
        <v>0</v>
      </c>
      <c r="K295" s="185">
        <f t="shared" ref="K295:R295" si="188" xml:space="preserve"> K293 * K294</f>
        <v>0</v>
      </c>
      <c r="L295" s="185">
        <f t="shared" si="188"/>
        <v>0</v>
      </c>
      <c r="M295" s="185">
        <f t="shared" si="188"/>
        <v>0</v>
      </c>
      <c r="N295" s="185">
        <f t="shared" si="188"/>
        <v>0</v>
      </c>
      <c r="O295" s="185">
        <f t="shared" si="188"/>
        <v>0</v>
      </c>
      <c r="P295" s="185">
        <f t="shared" si="188"/>
        <v>0</v>
      </c>
      <c r="Q295" s="185">
        <f t="shared" si="188"/>
        <v>0</v>
      </c>
      <c r="R295" s="185">
        <f t="shared" si="188"/>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89">F$284</f>
        <v>0</v>
      </c>
      <c r="G299" s="7" t="str">
        <f t="shared" si="189"/>
        <v>£m</v>
      </c>
      <c r="H299" s="246">
        <f t="shared" si="189"/>
        <v>0</v>
      </c>
      <c r="I299" s="246">
        <f t="shared" si="189"/>
        <v>0</v>
      </c>
      <c r="J299" s="185">
        <f t="shared" si="189"/>
        <v>0</v>
      </c>
      <c r="K299" s="185">
        <f t="shared" si="189"/>
        <v>0</v>
      </c>
      <c r="L299" s="185">
        <f t="shared" si="189"/>
        <v>0</v>
      </c>
      <c r="M299" s="185">
        <f t="shared" si="189"/>
        <v>0</v>
      </c>
      <c r="N299" s="185">
        <f t="shared" si="189"/>
        <v>0</v>
      </c>
      <c r="O299" s="185">
        <f t="shared" si="189"/>
        <v>0</v>
      </c>
      <c r="P299" s="185">
        <f t="shared" si="189"/>
        <v>0</v>
      </c>
      <c r="Q299" s="185">
        <f t="shared" si="189"/>
        <v>0</v>
      </c>
      <c r="R299" s="185">
        <f t="shared" si="189"/>
        <v>0</v>
      </c>
    </row>
    <row r="300" spans="1:18" x14ac:dyDescent="0.25">
      <c r="A300" s="49"/>
      <c r="D300" s="57"/>
      <c r="E300" s="7" t="str">
        <f>E$290</f>
        <v xml:space="preserve">Time value of money factor </v>
      </c>
      <c r="F300" s="185">
        <f t="shared" ref="F300:R300" si="190">F$290</f>
        <v>0</v>
      </c>
      <c r="G300" s="7" t="str">
        <f t="shared" si="190"/>
        <v>Factor</v>
      </c>
      <c r="H300" s="246">
        <f t="shared" si="190"/>
        <v>0</v>
      </c>
      <c r="I300" s="246">
        <f t="shared" si="190"/>
        <v>0</v>
      </c>
      <c r="J300" s="185">
        <f t="shared" si="190"/>
        <v>1</v>
      </c>
      <c r="K300" s="185">
        <f t="shared" si="190"/>
        <v>1</v>
      </c>
      <c r="L300" s="185">
        <f t="shared" si="190"/>
        <v>1</v>
      </c>
      <c r="M300" s="185">
        <f t="shared" si="190"/>
        <v>1.1219976826191176</v>
      </c>
      <c r="N300" s="185">
        <f t="shared" si="190"/>
        <v>1.0901693555893588</v>
      </c>
      <c r="O300" s="185">
        <f t="shared" si="190"/>
        <v>1.059243920265355</v>
      </c>
      <c r="P300" s="185">
        <f t="shared" si="190"/>
        <v>1.0291957638201563</v>
      </c>
      <c r="Q300" s="185">
        <f t="shared" si="190"/>
        <v>1</v>
      </c>
      <c r="R300" s="185">
        <f t="shared" si="190"/>
        <v>1</v>
      </c>
    </row>
    <row r="301" spans="1:18" x14ac:dyDescent="0.25">
      <c r="A301" s="49"/>
      <c r="C301" s="267"/>
      <c r="D301" s="57"/>
      <c r="E301" s="7" t="s">
        <v>562</v>
      </c>
      <c r="G301" s="7" t="s">
        <v>238</v>
      </c>
      <c r="H301" s="185">
        <f xml:space="preserve"> SUM(J301:R301)</f>
        <v>0</v>
      </c>
      <c r="J301" s="185">
        <f xml:space="preserve"> J299 * J300</f>
        <v>0</v>
      </c>
      <c r="K301" s="185">
        <f t="shared" ref="K301:R301" si="191" xml:space="preserve"> K299 * K300</f>
        <v>0</v>
      </c>
      <c r="L301" s="185">
        <f t="shared" si="191"/>
        <v>0</v>
      </c>
      <c r="M301" s="185">
        <f t="shared" si="191"/>
        <v>0</v>
      </c>
      <c r="N301" s="185">
        <f t="shared" si="191"/>
        <v>0</v>
      </c>
      <c r="O301" s="185">
        <f t="shared" si="191"/>
        <v>0</v>
      </c>
      <c r="P301" s="185">
        <f t="shared" si="191"/>
        <v>0</v>
      </c>
      <c r="Q301" s="185">
        <f t="shared" si="191"/>
        <v>0</v>
      </c>
      <c r="R301" s="185">
        <f t="shared" si="191"/>
        <v>0</v>
      </c>
    </row>
    <row r="302" spans="1:18" x14ac:dyDescent="0.25"/>
    <row r="303" spans="1:18" x14ac:dyDescent="0.25"/>
    <row r="304" spans="1:18" x14ac:dyDescent="0.25">
      <c r="B304" s="61" t="s">
        <v>505</v>
      </c>
    </row>
    <row r="305" spans="1:18" x14ac:dyDescent="0.25">
      <c r="A305" s="49"/>
      <c r="D305" s="57"/>
      <c r="E305" s="7" t="str">
        <f t="shared" ref="E305:R305" si="192" xml:space="preserve"> E$295</f>
        <v>Revenue adjustment for 2019-20 wedge run-off - real - BR</v>
      </c>
      <c r="F305" s="185">
        <f t="shared" si="192"/>
        <v>0</v>
      </c>
      <c r="G305" s="7" t="str">
        <f t="shared" si="192"/>
        <v>£m</v>
      </c>
      <c r="H305" s="246">
        <f t="shared" si="192"/>
        <v>0</v>
      </c>
      <c r="I305" s="246">
        <f t="shared" si="192"/>
        <v>0</v>
      </c>
      <c r="J305" s="185">
        <f t="shared" si="192"/>
        <v>0</v>
      </c>
      <c r="K305" s="185">
        <f t="shared" si="192"/>
        <v>0</v>
      </c>
      <c r="L305" s="185">
        <f t="shared" si="192"/>
        <v>0</v>
      </c>
      <c r="M305" s="185">
        <f t="shared" si="192"/>
        <v>0</v>
      </c>
      <c r="N305" s="185">
        <f t="shared" si="192"/>
        <v>0</v>
      </c>
      <c r="O305" s="185">
        <f t="shared" si="192"/>
        <v>0</v>
      </c>
      <c r="P305" s="185">
        <f t="shared" si="192"/>
        <v>0</v>
      </c>
      <c r="Q305" s="185">
        <f t="shared" si="192"/>
        <v>0</v>
      </c>
      <c r="R305" s="185">
        <f t="shared" si="192"/>
        <v>0</v>
      </c>
    </row>
    <row r="306" spans="1:18" x14ac:dyDescent="0.25">
      <c r="A306" s="49"/>
      <c r="D306" s="57"/>
      <c r="E306" s="7" t="str">
        <f t="shared" ref="E306:R306" si="193" xml:space="preserve"> E$301</f>
        <v>Revenue adjustment for 2019-20 wedge return - real - BR</v>
      </c>
      <c r="F306" s="185">
        <f t="shared" si="193"/>
        <v>0</v>
      </c>
      <c r="G306" s="7" t="str">
        <f t="shared" si="193"/>
        <v>£m</v>
      </c>
      <c r="H306" s="246">
        <f t="shared" si="193"/>
        <v>0</v>
      </c>
      <c r="I306" s="246">
        <f t="shared" si="193"/>
        <v>0</v>
      </c>
      <c r="J306" s="185">
        <f t="shared" si="193"/>
        <v>0</v>
      </c>
      <c r="K306" s="185">
        <f t="shared" si="193"/>
        <v>0</v>
      </c>
      <c r="L306" s="185">
        <f t="shared" si="193"/>
        <v>0</v>
      </c>
      <c r="M306" s="185">
        <f t="shared" si="193"/>
        <v>0</v>
      </c>
      <c r="N306" s="185">
        <f t="shared" si="193"/>
        <v>0</v>
      </c>
      <c r="O306" s="185">
        <f t="shared" si="193"/>
        <v>0</v>
      </c>
      <c r="P306" s="185">
        <f t="shared" si="193"/>
        <v>0</v>
      </c>
      <c r="Q306" s="185">
        <f t="shared" si="193"/>
        <v>0</v>
      </c>
      <c r="R306" s="185">
        <f t="shared" si="193"/>
        <v>0</v>
      </c>
    </row>
    <row r="307" spans="1:18" x14ac:dyDescent="0.25">
      <c r="A307" s="49"/>
      <c r="C307" s="267"/>
      <c r="D307" s="57"/>
      <c r="E307" s="7" t="s">
        <v>563</v>
      </c>
      <c r="G307" s="7" t="s">
        <v>238</v>
      </c>
      <c r="H307" s="185">
        <f xml:space="preserve"> SUM(J307:R307)</f>
        <v>0</v>
      </c>
      <c r="J307" s="185">
        <f xml:space="preserve"> J$305 + J$306</f>
        <v>0</v>
      </c>
      <c r="K307" s="185">
        <f t="shared" ref="K307:R307" si="194" xml:space="preserve"> K$305 + K$306</f>
        <v>0</v>
      </c>
      <c r="L307" s="185">
        <f t="shared" si="194"/>
        <v>0</v>
      </c>
      <c r="M307" s="185">
        <f t="shared" si="194"/>
        <v>0</v>
      </c>
      <c r="N307" s="185">
        <f t="shared" si="194"/>
        <v>0</v>
      </c>
      <c r="O307" s="185">
        <f t="shared" si="194"/>
        <v>0</v>
      </c>
      <c r="P307" s="185">
        <f t="shared" si="194"/>
        <v>0</v>
      </c>
      <c r="Q307" s="185">
        <f t="shared" si="194"/>
        <v>0</v>
      </c>
      <c r="R307" s="185">
        <f t="shared" si="194"/>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BR</v>
      </c>
      <c r="F313" s="185">
        <f t="shared" ref="F313:R313" si="195" xml:space="preserve"> F$219</f>
        <v>0</v>
      </c>
      <c r="G313" s="7" t="str">
        <f t="shared" si="195"/>
        <v>£m</v>
      </c>
      <c r="H313" s="246">
        <f t="shared" si="195"/>
        <v>0</v>
      </c>
      <c r="I313" s="246">
        <f t="shared" si="195"/>
        <v>0</v>
      </c>
      <c r="J313" s="185">
        <f t="shared" si="195"/>
        <v>0</v>
      </c>
      <c r="K313" s="185">
        <f t="shared" si="195"/>
        <v>0</v>
      </c>
      <c r="L313" s="185">
        <f t="shared" si="195"/>
        <v>0</v>
      </c>
      <c r="M313" s="185">
        <f t="shared" si="195"/>
        <v>0</v>
      </c>
      <c r="N313" s="185">
        <f t="shared" si="195"/>
        <v>0</v>
      </c>
      <c r="O313" s="185">
        <f t="shared" si="195"/>
        <v>0</v>
      </c>
      <c r="P313" s="185">
        <f t="shared" si="195"/>
        <v>0</v>
      </c>
      <c r="Q313" s="185">
        <f t="shared" si="195"/>
        <v>0</v>
      </c>
      <c r="R313" s="185">
        <f t="shared" si="195"/>
        <v>0</v>
      </c>
    </row>
    <row r="314" spans="1:18" x14ac:dyDescent="0.25">
      <c r="A314" s="49"/>
      <c r="D314" s="57"/>
      <c r="E314" s="7" t="str">
        <f xml:space="preserve"> E$224</f>
        <v>Revenue adjustment for return - real - BR</v>
      </c>
      <c r="F314" s="185">
        <f t="shared" ref="F314:R314" si="196" xml:space="preserve"> F$224</f>
        <v>0</v>
      </c>
      <c r="G314" s="7" t="str">
        <f t="shared" si="196"/>
        <v>£m</v>
      </c>
      <c r="H314" s="246">
        <f t="shared" si="196"/>
        <v>0</v>
      </c>
      <c r="I314" s="246">
        <f t="shared" si="196"/>
        <v>0</v>
      </c>
      <c r="J314" s="185">
        <f t="shared" si="196"/>
        <v>0</v>
      </c>
      <c r="K314" s="185">
        <f t="shared" si="196"/>
        <v>0</v>
      </c>
      <c r="L314" s="185">
        <f t="shared" si="196"/>
        <v>0</v>
      </c>
      <c r="M314" s="185">
        <f t="shared" si="196"/>
        <v>0</v>
      </c>
      <c r="N314" s="185">
        <f t="shared" si="196"/>
        <v>0</v>
      </c>
      <c r="O314" s="185">
        <f t="shared" si="196"/>
        <v>0</v>
      </c>
      <c r="P314" s="185">
        <f t="shared" si="196"/>
        <v>0</v>
      </c>
      <c r="Q314" s="185">
        <f t="shared" si="196"/>
        <v>0</v>
      </c>
      <c r="R314" s="185">
        <f t="shared" si="196"/>
        <v>0</v>
      </c>
    </row>
    <row r="315" spans="1:18" x14ac:dyDescent="0.25">
      <c r="A315" s="49"/>
      <c r="D315" s="57"/>
      <c r="E315" s="7" t="str">
        <f xml:space="preserve"> E$229</f>
        <v>Revenue adjustment - real - BR</v>
      </c>
      <c r="F315" s="185">
        <f t="shared" ref="F315:R315" si="197" xml:space="preserve"> F$229</f>
        <v>0</v>
      </c>
      <c r="G315" s="7" t="str">
        <f t="shared" si="197"/>
        <v>£m</v>
      </c>
      <c r="H315" s="246">
        <f t="shared" si="197"/>
        <v>0</v>
      </c>
      <c r="I315" s="246">
        <f t="shared" si="197"/>
        <v>0</v>
      </c>
      <c r="J315" s="185">
        <f t="shared" si="197"/>
        <v>0</v>
      </c>
      <c r="K315" s="185">
        <f t="shared" si="197"/>
        <v>0</v>
      </c>
      <c r="L315" s="185">
        <f t="shared" si="197"/>
        <v>0</v>
      </c>
      <c r="M315" s="185">
        <f t="shared" si="197"/>
        <v>0</v>
      </c>
      <c r="N315" s="185">
        <f t="shared" si="197"/>
        <v>0</v>
      </c>
      <c r="O315" s="185">
        <f t="shared" si="197"/>
        <v>0</v>
      </c>
      <c r="P315" s="185">
        <f t="shared" si="197"/>
        <v>0</v>
      </c>
      <c r="Q315" s="185">
        <f t="shared" si="197"/>
        <v>0</v>
      </c>
      <c r="R315" s="185">
        <f t="shared" si="197"/>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BR</v>
      </c>
      <c r="F319" s="185">
        <f t="shared" ref="F319:R319" si="198" xml:space="preserve"> F$301</f>
        <v>0</v>
      </c>
      <c r="G319" s="7" t="str">
        <f t="shared" si="198"/>
        <v>£m</v>
      </c>
      <c r="H319" s="246">
        <f t="shared" si="198"/>
        <v>0</v>
      </c>
      <c r="I319" s="246">
        <f t="shared" si="198"/>
        <v>0</v>
      </c>
      <c r="J319" s="185">
        <f t="shared" si="198"/>
        <v>0</v>
      </c>
      <c r="K319" s="185">
        <f t="shared" si="198"/>
        <v>0</v>
      </c>
      <c r="L319" s="185">
        <f t="shared" si="198"/>
        <v>0</v>
      </c>
      <c r="M319" s="185">
        <f t="shared" si="198"/>
        <v>0</v>
      </c>
      <c r="N319" s="185">
        <f t="shared" si="198"/>
        <v>0</v>
      </c>
      <c r="O319" s="185">
        <f t="shared" si="198"/>
        <v>0</v>
      </c>
      <c r="P319" s="185">
        <f t="shared" si="198"/>
        <v>0</v>
      </c>
      <c r="Q319" s="185">
        <f t="shared" si="198"/>
        <v>0</v>
      </c>
      <c r="R319" s="185">
        <f t="shared" si="198"/>
        <v>0</v>
      </c>
    </row>
    <row r="320" spans="1:18" x14ac:dyDescent="0.25"/>
    <row r="321" spans="1:18" x14ac:dyDescent="0.25">
      <c r="B321" s="61" t="s">
        <v>289</v>
      </c>
    </row>
    <row r="322" spans="1:18" s="34" customFormat="1" x14ac:dyDescent="0.25">
      <c r="A322" s="322"/>
      <c r="B322" s="256"/>
      <c r="C322" s="257"/>
      <c r="D322" s="323"/>
      <c r="E322" s="34" t="s">
        <v>564</v>
      </c>
      <c r="G322" s="34" t="s">
        <v>238</v>
      </c>
      <c r="H322" s="266">
        <f xml:space="preserve"> SUM(J322:R322)</f>
        <v>0</v>
      </c>
      <c r="J322" s="266">
        <f t="shared" ref="J322:R322" si="199" xml:space="preserve"> J313 + J318</f>
        <v>0</v>
      </c>
      <c r="K322" s="266">
        <f t="shared" si="199"/>
        <v>0</v>
      </c>
      <c r="L322" s="266">
        <f t="shared" si="199"/>
        <v>0</v>
      </c>
      <c r="M322" s="266">
        <f t="shared" si="199"/>
        <v>0</v>
      </c>
      <c r="N322" s="266">
        <f t="shared" si="199"/>
        <v>0</v>
      </c>
      <c r="O322" s="266">
        <f t="shared" si="199"/>
        <v>0</v>
      </c>
      <c r="P322" s="266">
        <f t="shared" si="199"/>
        <v>0</v>
      </c>
      <c r="Q322" s="266">
        <f t="shared" si="199"/>
        <v>0</v>
      </c>
      <c r="R322" s="266">
        <f t="shared" si="199"/>
        <v>0</v>
      </c>
    </row>
    <row r="323" spans="1:18" s="34" customFormat="1" x14ac:dyDescent="0.25">
      <c r="A323" s="322"/>
      <c r="B323" s="256"/>
      <c r="C323" s="257"/>
      <c r="D323" s="323"/>
      <c r="E323" s="34" t="s">
        <v>565</v>
      </c>
      <c r="G323" s="34" t="s">
        <v>238</v>
      </c>
      <c r="H323" s="266">
        <f xml:space="preserve"> SUM(J323:R323)</f>
        <v>0</v>
      </c>
      <c r="J323" s="266">
        <f t="shared" ref="J323:R323" si="200" xml:space="preserve"> J314 + J319</f>
        <v>0</v>
      </c>
      <c r="K323" s="266">
        <f t="shared" si="200"/>
        <v>0</v>
      </c>
      <c r="L323" s="266">
        <f t="shared" si="200"/>
        <v>0</v>
      </c>
      <c r="M323" s="266">
        <f t="shared" si="200"/>
        <v>0</v>
      </c>
      <c r="N323" s="266">
        <f t="shared" si="200"/>
        <v>0</v>
      </c>
      <c r="O323" s="266">
        <f t="shared" si="200"/>
        <v>0</v>
      </c>
      <c r="P323" s="266">
        <f t="shared" si="200"/>
        <v>0</v>
      </c>
      <c r="Q323" s="266">
        <f t="shared" si="200"/>
        <v>0</v>
      </c>
      <c r="R323" s="266">
        <f t="shared" si="200"/>
        <v>0</v>
      </c>
    </row>
    <row r="324" spans="1:18" s="34" customFormat="1" x14ac:dyDescent="0.25">
      <c r="A324" s="361"/>
      <c r="B324" s="362"/>
      <c r="C324" s="363"/>
      <c r="D324" s="364"/>
      <c r="E324" s="34" t="s">
        <v>566</v>
      </c>
      <c r="G324" s="34" t="s">
        <v>238</v>
      </c>
      <c r="H324" s="266">
        <f xml:space="preserve"> SUM(J324:R324)</f>
        <v>0</v>
      </c>
      <c r="J324" s="266">
        <f t="shared" ref="J324:R324" si="201" xml:space="preserve"> J315 + J319</f>
        <v>0</v>
      </c>
      <c r="K324" s="266">
        <f t="shared" si="201"/>
        <v>0</v>
      </c>
      <c r="L324" s="266">
        <f t="shared" si="201"/>
        <v>0</v>
      </c>
      <c r="M324" s="266">
        <f t="shared" ref="M324" si="202" xml:space="preserve"> M315 + M319</f>
        <v>0</v>
      </c>
      <c r="N324" s="266">
        <f t="shared" si="201"/>
        <v>0</v>
      </c>
      <c r="O324" s="266">
        <f t="shared" si="201"/>
        <v>0</v>
      </c>
      <c r="P324" s="266">
        <f t="shared" si="201"/>
        <v>0</v>
      </c>
      <c r="Q324" s="266">
        <f t="shared" si="201"/>
        <v>0</v>
      </c>
      <c r="R324" s="266">
        <f t="shared" si="201"/>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31" priority="8" stopIfTrue="1" operator="notEqual">
      <formula>0</formula>
    </cfRule>
    <cfRule type="cellIs" dxfId="30" priority="9" stopIfTrue="1" operator="equal">
      <formula>""</formula>
    </cfRule>
  </conditionalFormatting>
  <conditionalFormatting sqref="F166">
    <cfRule type="cellIs" dxfId="29" priority="1" stopIfTrue="1" operator="notEqual">
      <formula>0</formula>
    </cfRule>
    <cfRule type="cellIs" dxfId="28" priority="2" stopIfTrue="1" operator="equal">
      <formula>""</formula>
    </cfRule>
  </conditionalFormatting>
  <conditionalFormatting sqref="J3:Z3">
    <cfRule type="cellIs" dxfId="27" priority="12" operator="equal">
      <formula>"Post-Fcst"</formula>
    </cfRule>
    <cfRule type="cellIs" dxfId="26" priority="13" operator="equal">
      <formula>"Forecast"</formula>
    </cfRule>
    <cfRule type="cellIs" dxfId="25" priority="14" operator="equal">
      <formula>"Pre Fcst"</formula>
    </cfRule>
  </conditionalFormatting>
  <conditionalFormatting sqref="J166:XFD166">
    <cfRule type="cellIs" dxfId="24" priority="3" stopIfTrue="1" operator="notEqual">
      <formula>0</formula>
    </cfRule>
    <cfRule type="cellIs" dxfId="23"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0AED-75D7-4469-BA32-FAF62AA7DB60}">
  <sheetPr codeName="Sheet15">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Calcs-DMMY</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0</v>
      </c>
      <c r="N22" s="240">
        <f t="shared" si="3"/>
        <v>0</v>
      </c>
      <c r="O22" s="240">
        <f t="shared" si="3"/>
        <v>0</v>
      </c>
      <c r="P22" s="240">
        <f t="shared" si="3"/>
        <v>0</v>
      </c>
      <c r="Q22" s="240">
        <f t="shared" si="3"/>
        <v>0</v>
      </c>
      <c r="R22" s="240">
        <f t="shared" si="3"/>
        <v>0</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5" spans="1:16383" x14ac:dyDescent="0.25"/>
    <row r="26" spans="1:16383" s="205" customFormat="1" x14ac:dyDescent="0.25">
      <c r="A26" s="201"/>
      <c r="B26" s="202"/>
      <c r="C26" s="203"/>
      <c r="D26" s="204"/>
      <c r="E26" s="37" t="str">
        <f xml:space="preserve"> InpR!E$102</f>
        <v>Run-off rate - CPI(H) + RPI wedge - active - DMMY</v>
      </c>
      <c r="F26" s="205">
        <f xml:space="preserve"> InpR!F$102</f>
        <v>0</v>
      </c>
      <c r="G26" s="223" t="str">
        <f xml:space="preserve"> InpR!G$102</f>
        <v>%</v>
      </c>
      <c r="H26" s="205">
        <f xml:space="preserve"> InpR!H$102</f>
        <v>0</v>
      </c>
      <c r="I26" s="205">
        <f xml:space="preserve"> InpR!I$102</f>
        <v>0</v>
      </c>
      <c r="J26" s="205">
        <f xml:space="preserve"> InpR!J$102</f>
        <v>0</v>
      </c>
      <c r="K26" s="205">
        <f xml:space="preserve"> InpR!K$102</f>
        <v>0</v>
      </c>
      <c r="L26" s="205">
        <f xml:space="preserve"> InpR!L$102</f>
        <v>0</v>
      </c>
      <c r="M26" s="205">
        <f xml:space="preserve"> InpR!M$102</f>
        <v>0</v>
      </c>
      <c r="N26" s="205">
        <f xml:space="preserve"> InpR!N$102</f>
        <v>0</v>
      </c>
      <c r="O26" s="205">
        <f xml:space="preserve"> InpR!O$102</f>
        <v>0</v>
      </c>
      <c r="P26" s="205">
        <f xml:space="preserve"> InpR!P$102</f>
        <v>0</v>
      </c>
      <c r="Q26" s="205">
        <f xml:space="preserve"> InpR!Q$102</f>
        <v>0</v>
      </c>
      <c r="R26" s="205">
        <f xml:space="preserve"> InpR!R$102</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0</v>
      </c>
      <c r="N27" s="240">
        <f t="shared" si="6"/>
        <v>0</v>
      </c>
      <c r="O27" s="240">
        <f t="shared" si="6"/>
        <v>0</v>
      </c>
      <c r="P27" s="240">
        <f t="shared" si="6"/>
        <v>0</v>
      </c>
      <c r="Q27" s="240">
        <f t="shared" si="6"/>
        <v>0</v>
      </c>
      <c r="R27" s="240">
        <f t="shared" si="6"/>
        <v>0</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InpR!$E$95</f>
        <v>RCV - CPI(H) + RPI wedge initial balance - nominal - DMMY</v>
      </c>
      <c r="F31" s="249">
        <f>InpR!$F$95</f>
        <v>0</v>
      </c>
      <c r="G31" s="248" t="str">
        <f>InpR!$G$95</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0</v>
      </c>
      <c r="N34" s="241">
        <f t="shared" si="9"/>
        <v>0</v>
      </c>
      <c r="O34" s="241">
        <f t="shared" si="9"/>
        <v>0</v>
      </c>
      <c r="P34" s="241">
        <f t="shared" si="9"/>
        <v>0</v>
      </c>
      <c r="Q34" s="241">
        <f t="shared" si="9"/>
        <v>0</v>
      </c>
      <c r="R34" s="241">
        <f t="shared" si="9"/>
        <v>0</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0</v>
      </c>
      <c r="N35" s="241">
        <f t="shared" si="10"/>
        <v>0</v>
      </c>
      <c r="O35" s="241">
        <f t="shared" si="10"/>
        <v>0</v>
      </c>
      <c r="P35" s="241">
        <f t="shared" si="10"/>
        <v>0</v>
      </c>
      <c r="Q35" s="241">
        <f t="shared" si="10"/>
        <v>0</v>
      </c>
      <c r="R35" s="241">
        <f t="shared" si="10"/>
        <v>0</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0</v>
      </c>
      <c r="N36" s="241">
        <f t="shared" si="11"/>
        <v>0</v>
      </c>
      <c r="O36" s="241">
        <f t="shared" si="11"/>
        <v>0</v>
      </c>
      <c r="P36" s="241">
        <f t="shared" si="11"/>
        <v>0</v>
      </c>
      <c r="Q36" s="241">
        <f t="shared" si="11"/>
        <v>0</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0</v>
      </c>
      <c r="M37" s="242">
        <f t="shared" si="12"/>
        <v>0</v>
      </c>
      <c r="N37" s="242">
        <f t="shared" si="12"/>
        <v>0</v>
      </c>
      <c r="O37" s="242">
        <f t="shared" si="12"/>
        <v>0</v>
      </c>
      <c r="P37" s="242">
        <f t="shared" si="12"/>
        <v>0</v>
      </c>
      <c r="Q37" s="242">
        <f t="shared" si="12"/>
        <v>0</v>
      </c>
      <c r="R37" s="242">
        <f t="shared" si="12"/>
        <v>0</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0</v>
      </c>
      <c r="N40" s="241">
        <f t="shared" si="14"/>
        <v>0</v>
      </c>
      <c r="O40" s="241">
        <f t="shared" si="14"/>
        <v>0</v>
      </c>
      <c r="P40" s="241">
        <f t="shared" si="14"/>
        <v>0</v>
      </c>
      <c r="Q40" s="241">
        <f t="shared" si="14"/>
        <v>0</v>
      </c>
      <c r="R40" s="241">
        <f t="shared" si="14"/>
        <v>0</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InpR!E$109</f>
        <v>WACC on RCV - CPI(H) + RPI wedge bf and additions - DMMY</v>
      </c>
      <c r="F45" s="205">
        <f xml:space="preserve"> InpR!F$109</f>
        <v>0</v>
      </c>
      <c r="G45" s="223" t="str">
        <f xml:space="preserve"> InpR!G$109</f>
        <v>%</v>
      </c>
      <c r="H45" s="205">
        <f xml:space="preserve"> InpR!H$109</f>
        <v>0</v>
      </c>
      <c r="I45" s="205">
        <f xml:space="preserve"> InpR!I$109</f>
        <v>0</v>
      </c>
      <c r="J45" s="205">
        <f xml:space="preserve"> InpR!J$109</f>
        <v>0</v>
      </c>
      <c r="K45" s="205">
        <f xml:space="preserve"> InpR!K$109</f>
        <v>0</v>
      </c>
      <c r="L45" s="205">
        <f xml:space="preserve"> InpR!L$109</f>
        <v>0</v>
      </c>
      <c r="M45" s="205">
        <f xml:space="preserve"> InpR!M$109</f>
        <v>1.920357193840716E-2</v>
      </c>
      <c r="N45" s="205">
        <f xml:space="preserve"> InpR!N$109</f>
        <v>1.920357193840716E-2</v>
      </c>
      <c r="O45" s="205">
        <f xml:space="preserve"> InpR!O$109</f>
        <v>1.920357193840716E-2</v>
      </c>
      <c r="P45" s="205">
        <f xml:space="preserve"> InpR!P$109</f>
        <v>1.920357193840716E-2</v>
      </c>
      <c r="Q45" s="205">
        <f xml:space="preserve"> InpR!Q$109</f>
        <v>1.920357193840716E-2</v>
      </c>
      <c r="R45" s="205">
        <f xml:space="preserve"> InpR!R$109</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0</v>
      </c>
      <c r="N68" s="240">
        <f t="shared" si="25"/>
        <v>0</v>
      </c>
      <c r="O68" s="240">
        <f t="shared" si="25"/>
        <v>0</v>
      </c>
      <c r="P68" s="240">
        <f t="shared" si="25"/>
        <v>0</v>
      </c>
      <c r="Q68" s="240">
        <f t="shared" si="25"/>
        <v>0</v>
      </c>
      <c r="R68" s="240">
        <f t="shared" si="25"/>
        <v>0</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0</v>
      </c>
      <c r="N70" s="184">
        <f t="shared" ref="N70:R70" si="27">N68*N69</f>
        <v>0</v>
      </c>
      <c r="O70" s="184">
        <f t="shared" si="27"/>
        <v>0</v>
      </c>
      <c r="P70" s="184">
        <f t="shared" si="27"/>
        <v>0</v>
      </c>
      <c r="Q70" s="184">
        <f t="shared" si="27"/>
        <v>0</v>
      </c>
      <c r="R70" s="184">
        <f t="shared" si="27"/>
        <v>0</v>
      </c>
    </row>
    <row r="71" spans="1:16383" x14ac:dyDescent="0.25"/>
    <row r="72" spans="1:16383" s="205" customFormat="1" x14ac:dyDescent="0.25">
      <c r="A72" s="201"/>
      <c r="B72" s="202"/>
      <c r="C72" s="203"/>
      <c r="D72" s="204"/>
      <c r="E72" s="37" t="str">
        <f xml:space="preserve"> InpR!E$102</f>
        <v>Run-off rate - CPI(H) + RPI wedge - active - DMMY</v>
      </c>
      <c r="F72" s="205">
        <f xml:space="preserve"> InpR!F$102</f>
        <v>0</v>
      </c>
      <c r="G72" s="223" t="str">
        <f xml:space="preserve"> InpR!G$102</f>
        <v>%</v>
      </c>
      <c r="H72" s="205">
        <f xml:space="preserve"> InpR!H$102</f>
        <v>0</v>
      </c>
      <c r="I72" s="205">
        <f xml:space="preserve"> InpR!I$102</f>
        <v>0</v>
      </c>
      <c r="J72" s="205">
        <f xml:space="preserve"> InpR!J$102</f>
        <v>0</v>
      </c>
      <c r="K72" s="205">
        <f xml:space="preserve"> InpR!K$102</f>
        <v>0</v>
      </c>
      <c r="L72" s="205">
        <f xml:space="preserve"> InpR!L$102</f>
        <v>0</v>
      </c>
      <c r="M72" s="205">
        <f xml:space="preserve"> InpR!M$102</f>
        <v>0</v>
      </c>
      <c r="N72" s="205">
        <f xml:space="preserve"> InpR!N$102</f>
        <v>0</v>
      </c>
      <c r="O72" s="205">
        <f xml:space="preserve"> InpR!O$102</f>
        <v>0</v>
      </c>
      <c r="P72" s="205">
        <f xml:space="preserve"> InpR!P$102</f>
        <v>0</v>
      </c>
      <c r="Q72" s="205">
        <f xml:space="preserve"> InpR!Q$102</f>
        <v>0</v>
      </c>
      <c r="R72" s="205">
        <f xml:space="preserve"> InpR!R$102</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0</v>
      </c>
      <c r="N73" s="240">
        <f t="shared" si="28"/>
        <v>0</v>
      </c>
      <c r="O73" s="240">
        <f t="shared" si="28"/>
        <v>0</v>
      </c>
      <c r="P73" s="240">
        <f t="shared" si="28"/>
        <v>0</v>
      </c>
      <c r="Q73" s="240">
        <f t="shared" si="28"/>
        <v>0</v>
      </c>
      <c r="R73" s="240">
        <f t="shared" si="28"/>
        <v>0</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0</v>
      </c>
      <c r="N74" s="184">
        <f t="shared" si="29"/>
        <v>0</v>
      </c>
      <c r="O74" s="184">
        <f t="shared" si="29"/>
        <v>0</v>
      </c>
      <c r="P74" s="184">
        <f t="shared" si="29"/>
        <v>0</v>
      </c>
      <c r="Q74" s="184">
        <f t="shared" si="29"/>
        <v>0</v>
      </c>
      <c r="R74" s="184">
        <f t="shared" si="29"/>
        <v>0</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0</v>
      </c>
      <c r="N75" s="184">
        <f xml:space="preserve"> (N73+N74) * N72</f>
        <v>0</v>
      </c>
      <c r="O75" s="184">
        <f t="shared" si="30"/>
        <v>0</v>
      </c>
      <c r="P75" s="184">
        <f t="shared" si="30"/>
        <v>0</v>
      </c>
      <c r="Q75" s="184">
        <f t="shared" si="30"/>
        <v>0</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F77" s="243"/>
      <c r="G77" s="243"/>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F78" s="243"/>
      <c r="G78" s="243"/>
      <c r="H78" s="243"/>
      <c r="I78" s="243"/>
      <c r="J78" s="184"/>
      <c r="K78" s="184"/>
      <c r="L78" s="184"/>
      <c r="M78" s="184"/>
      <c r="N78" s="184"/>
      <c r="O78" s="184"/>
      <c r="P78" s="184"/>
      <c r="Q78" s="184"/>
      <c r="R78" s="184"/>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F79" s="243"/>
      <c r="G79" s="243"/>
      <c r="H79" s="243"/>
      <c r="I79" s="243"/>
      <c r="J79" s="184"/>
      <c r="K79" s="184"/>
      <c r="L79" s="184"/>
      <c r="M79" s="184"/>
      <c r="N79" s="184"/>
      <c r="O79" s="184"/>
      <c r="P79" s="184"/>
      <c r="Q79" s="184"/>
      <c r="R79" s="184"/>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F81" s="243" t="e">
        <f>(F77/SUMPRODUCT(J78:R78,J80:R80)) * SUMPRODUCT(J79:R79,J80:R80)</f>
        <v>#DIV/0!</v>
      </c>
      <c r="G81" s="243"/>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F82" s="138"/>
      <c r="G82" s="138"/>
      <c r="H82" s="138"/>
    </row>
    <row r="83" spans="1:16383" s="200" customFormat="1" x14ac:dyDescent="0.25">
      <c r="A83" s="196"/>
      <c r="B83" s="197"/>
      <c r="C83" s="198"/>
      <c r="D83" s="199"/>
      <c r="E83" s="200" t="str">
        <f>InpR!$E$95</f>
        <v>RCV - CPI(H) + RPI wedge initial balance - nominal - DMMY</v>
      </c>
      <c r="F83" s="249">
        <f>InpR!$F$95</f>
        <v>0</v>
      </c>
      <c r="G83" s="248" t="str">
        <f>InpR!$G$95</f>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1" xml:space="preserve"> I89</f>
        <v>0</v>
      </c>
      <c r="K86" s="241">
        <f t="shared" si="31"/>
        <v>0</v>
      </c>
      <c r="L86" s="241">
        <f t="shared" si="31"/>
        <v>0</v>
      </c>
      <c r="M86" s="241">
        <f t="shared" si="31"/>
        <v>0</v>
      </c>
      <c r="N86" s="241">
        <f t="shared" si="31"/>
        <v>0</v>
      </c>
      <c r="O86" s="241">
        <f t="shared" si="31"/>
        <v>0</v>
      </c>
      <c r="P86" s="241">
        <f t="shared" si="31"/>
        <v>0</v>
      </c>
      <c r="Q86" s="241">
        <f t="shared" si="31"/>
        <v>0</v>
      </c>
      <c r="R86" s="241">
        <f t="shared" si="31"/>
        <v>0</v>
      </c>
    </row>
    <row r="87" spans="1:16383" x14ac:dyDescent="0.25">
      <c r="A87" s="47"/>
      <c r="B87" s="51"/>
      <c r="C87" s="111"/>
      <c r="D87" s="56" t="s">
        <v>445</v>
      </c>
      <c r="E87" s="7" t="str">
        <f t="shared" ref="E87:R87" si="32" xml:space="preserve"> E$70</f>
        <v>Actual RCV indexation - nominal</v>
      </c>
      <c r="F87" s="241">
        <f t="shared" si="32"/>
        <v>0</v>
      </c>
      <c r="G87" s="162" t="str">
        <f t="shared" si="32"/>
        <v>£m</v>
      </c>
      <c r="H87" s="241">
        <f t="shared" si="32"/>
        <v>0</v>
      </c>
      <c r="I87" s="162">
        <f t="shared" si="32"/>
        <v>0</v>
      </c>
      <c r="J87" s="241">
        <f t="shared" si="32"/>
        <v>0</v>
      </c>
      <c r="K87" s="241">
        <f t="shared" si="32"/>
        <v>0</v>
      </c>
      <c r="L87" s="241">
        <f t="shared" si="32"/>
        <v>0</v>
      </c>
      <c r="M87" s="241">
        <f t="shared" si="32"/>
        <v>0</v>
      </c>
      <c r="N87" s="241">
        <f t="shared" si="32"/>
        <v>0</v>
      </c>
      <c r="O87" s="241">
        <f t="shared" si="32"/>
        <v>0</v>
      </c>
      <c r="P87" s="241">
        <f t="shared" si="32"/>
        <v>0</v>
      </c>
      <c r="Q87" s="241">
        <f t="shared" si="32"/>
        <v>0</v>
      </c>
      <c r="R87" s="241">
        <f t="shared" si="32"/>
        <v>0</v>
      </c>
    </row>
    <row r="88" spans="1:16383" x14ac:dyDescent="0.25">
      <c r="A88" s="47"/>
      <c r="B88" s="51"/>
      <c r="C88" s="111"/>
      <c r="D88" s="56" t="s">
        <v>446</v>
      </c>
      <c r="E88" s="7" t="str">
        <f>E$86</f>
        <v>Actual Nominal RCV balance BEG</v>
      </c>
      <c r="F88" s="7">
        <f t="shared" ref="F88:G88" si="33">F$86</f>
        <v>0</v>
      </c>
      <c r="G88" s="7" t="str">
        <f t="shared" si="33"/>
        <v>£m</v>
      </c>
      <c r="H88" s="241">
        <f t="shared" ref="H88:R88" si="34" xml:space="preserve"> H$75</f>
        <v>0</v>
      </c>
      <c r="I88" s="162">
        <f t="shared" si="34"/>
        <v>0</v>
      </c>
      <c r="J88" s="241">
        <f t="shared" si="34"/>
        <v>0</v>
      </c>
      <c r="K88" s="241">
        <f t="shared" si="34"/>
        <v>0</v>
      </c>
      <c r="L88" s="241">
        <f t="shared" si="34"/>
        <v>0</v>
      </c>
      <c r="M88" s="241">
        <f t="shared" si="34"/>
        <v>0</v>
      </c>
      <c r="N88" s="241">
        <f t="shared" si="34"/>
        <v>0</v>
      </c>
      <c r="O88" s="241">
        <f t="shared" si="34"/>
        <v>0</v>
      </c>
      <c r="P88" s="241">
        <f t="shared" si="34"/>
        <v>0</v>
      </c>
      <c r="Q88" s="241">
        <f t="shared" si="34"/>
        <v>0</v>
      </c>
      <c r="R88" s="241">
        <f t="shared" si="34"/>
        <v>0</v>
      </c>
    </row>
    <row r="89" spans="1:16383" s="138" customFormat="1" x14ac:dyDescent="0.25">
      <c r="A89" s="134"/>
      <c r="B89" s="135"/>
      <c r="C89" s="136"/>
      <c r="D89" s="137"/>
      <c r="E89" s="138" t="s">
        <v>465</v>
      </c>
      <c r="G89" s="163" t="s">
        <v>238</v>
      </c>
      <c r="J89" s="242">
        <f t="shared" ref="J89:R89" si="35" xml:space="preserve"> IF( J84 = 1, $F83, J86 + J87 - J88)</f>
        <v>0</v>
      </c>
      <c r="K89" s="242">
        <f t="shared" si="35"/>
        <v>0</v>
      </c>
      <c r="L89" s="242">
        <f t="shared" si="35"/>
        <v>0</v>
      </c>
      <c r="M89" s="242">
        <f t="shared" si="35"/>
        <v>0</v>
      </c>
      <c r="N89" s="242">
        <f t="shared" si="35"/>
        <v>0</v>
      </c>
      <c r="O89" s="242">
        <f t="shared" si="35"/>
        <v>0</v>
      </c>
      <c r="P89" s="242">
        <f t="shared" si="35"/>
        <v>0</v>
      </c>
      <c r="Q89" s="242">
        <f t="shared" si="35"/>
        <v>0</v>
      </c>
      <c r="R89" s="242">
        <f t="shared" si="35"/>
        <v>0</v>
      </c>
    </row>
    <row r="90" spans="1:16383" x14ac:dyDescent="0.25"/>
    <row r="91" spans="1:16383" s="92" customFormat="1" x14ac:dyDescent="0.25">
      <c r="A91" s="164"/>
      <c r="B91" s="165"/>
      <c r="C91" s="166"/>
      <c r="D91" s="167"/>
      <c r="E91" s="7" t="str">
        <f t="shared" ref="E91:R91" si="36" xml:space="preserve"> E$86</f>
        <v>Actual Nominal RCV balance BEG</v>
      </c>
      <c r="F91" s="185">
        <f t="shared" si="36"/>
        <v>0</v>
      </c>
      <c r="G91" s="92" t="str">
        <f t="shared" si="36"/>
        <v>£m</v>
      </c>
      <c r="H91" s="185">
        <f t="shared" si="36"/>
        <v>0</v>
      </c>
      <c r="I91" s="185">
        <f t="shared" si="36"/>
        <v>0</v>
      </c>
      <c r="J91" s="185">
        <f t="shared" si="36"/>
        <v>0</v>
      </c>
      <c r="K91" s="185">
        <f t="shared" si="36"/>
        <v>0</v>
      </c>
      <c r="L91" s="185">
        <f t="shared" si="36"/>
        <v>0</v>
      </c>
      <c r="M91" s="185">
        <f t="shared" si="36"/>
        <v>0</v>
      </c>
      <c r="N91" s="185">
        <f t="shared" si="36"/>
        <v>0</v>
      </c>
      <c r="O91" s="185">
        <f t="shared" si="36"/>
        <v>0</v>
      </c>
      <c r="P91" s="185">
        <f t="shared" si="36"/>
        <v>0</v>
      </c>
      <c r="Q91" s="185">
        <f t="shared" si="36"/>
        <v>0</v>
      </c>
      <c r="R91" s="185">
        <f t="shared" si="36"/>
        <v>0</v>
      </c>
    </row>
    <row r="92" spans="1:16383" s="92" customFormat="1" x14ac:dyDescent="0.25">
      <c r="A92" s="164"/>
      <c r="B92" s="165"/>
      <c r="C92" s="166"/>
      <c r="D92" s="167"/>
      <c r="E92" s="7" t="str">
        <f t="shared" ref="E92:R92" si="37" xml:space="preserve"> E$87</f>
        <v>Actual RCV indexation - nominal</v>
      </c>
      <c r="F92" s="241">
        <f t="shared" si="37"/>
        <v>0</v>
      </c>
      <c r="G92" s="162" t="str">
        <f t="shared" si="37"/>
        <v>£m</v>
      </c>
      <c r="H92" s="241">
        <f t="shared" si="37"/>
        <v>0</v>
      </c>
      <c r="I92" s="241">
        <f t="shared" si="37"/>
        <v>0</v>
      </c>
      <c r="J92" s="241">
        <f t="shared" si="37"/>
        <v>0</v>
      </c>
      <c r="K92" s="241">
        <f t="shared" si="37"/>
        <v>0</v>
      </c>
      <c r="L92" s="241">
        <f t="shared" si="37"/>
        <v>0</v>
      </c>
      <c r="M92" s="241">
        <f t="shared" si="37"/>
        <v>0</v>
      </c>
      <c r="N92" s="241">
        <f t="shared" si="37"/>
        <v>0</v>
      </c>
      <c r="O92" s="241">
        <f t="shared" si="37"/>
        <v>0</v>
      </c>
      <c r="P92" s="241">
        <f t="shared" si="37"/>
        <v>0</v>
      </c>
      <c r="Q92" s="241">
        <f t="shared" si="37"/>
        <v>0</v>
      </c>
      <c r="R92" s="241">
        <f t="shared" si="37"/>
        <v>0</v>
      </c>
    </row>
    <row r="93" spans="1:16383" s="92" customFormat="1" x14ac:dyDescent="0.25">
      <c r="A93" s="164"/>
      <c r="B93" s="165"/>
      <c r="C93" s="166"/>
      <c r="D93" s="167"/>
      <c r="E93" s="7" t="str">
        <f t="shared" ref="E93:R93" si="38" xml:space="preserve"> E$89</f>
        <v>Actual Nominal RCV balance END</v>
      </c>
      <c r="F93" s="185">
        <f t="shared" si="38"/>
        <v>0</v>
      </c>
      <c r="G93" s="92" t="str">
        <f t="shared" si="38"/>
        <v>£m</v>
      </c>
      <c r="H93" s="185">
        <f t="shared" si="38"/>
        <v>0</v>
      </c>
      <c r="I93" s="185">
        <f t="shared" si="38"/>
        <v>0</v>
      </c>
      <c r="J93" s="185">
        <f t="shared" si="38"/>
        <v>0</v>
      </c>
      <c r="K93" s="185">
        <f t="shared" si="38"/>
        <v>0</v>
      </c>
      <c r="L93" s="185">
        <f t="shared" si="38"/>
        <v>0</v>
      </c>
      <c r="M93" s="185">
        <f t="shared" si="38"/>
        <v>0</v>
      </c>
      <c r="N93" s="185">
        <f t="shared" si="38"/>
        <v>0</v>
      </c>
      <c r="O93" s="185">
        <f t="shared" si="38"/>
        <v>0</v>
      </c>
      <c r="P93" s="185">
        <f t="shared" si="38"/>
        <v>0</v>
      </c>
      <c r="Q93" s="185">
        <f t="shared" si="38"/>
        <v>0</v>
      </c>
      <c r="R93" s="185">
        <f t="shared" si="38"/>
        <v>0</v>
      </c>
    </row>
    <row r="94" spans="1:16383" x14ac:dyDescent="0.25">
      <c r="A94" s="49"/>
      <c r="D94" s="57"/>
      <c r="E94" s="7" t="s">
        <v>466</v>
      </c>
      <c r="G94" s="92" t="s">
        <v>238</v>
      </c>
      <c r="H94" s="243"/>
      <c r="I94" s="243"/>
      <c r="J94" s="185">
        <f t="shared" ref="J94:K94" si="39" xml:space="preserve"> ( (J91+J92) + J93) / 2</f>
        <v>0</v>
      </c>
      <c r="K94" s="185">
        <f t="shared" si="39"/>
        <v>0</v>
      </c>
      <c r="L94" s="185">
        <f xml:space="preserve"> ( (L91+L92) + L93) / 2</f>
        <v>0</v>
      </c>
      <c r="M94" s="185">
        <f xml:space="preserve"> ( (M91+M92) + M93) / 2</f>
        <v>0</v>
      </c>
      <c r="N94" s="185">
        <f t="shared" ref="N94:P94" si="40" xml:space="preserve"> ( (N91+N92) + N93) / 2</f>
        <v>0</v>
      </c>
      <c r="O94" s="185">
        <f t="shared" si="40"/>
        <v>0</v>
      </c>
      <c r="P94" s="185">
        <f t="shared" si="40"/>
        <v>0</v>
      </c>
      <c r="Q94" s="185">
        <f xml:space="preserve"> ( (Q91+Q92) + Q93) / 2</f>
        <v>0</v>
      </c>
      <c r="R94" s="185">
        <f t="shared" ref="R94" si="41"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InpR!E$109</f>
        <v>WACC on RCV - CPI(H) + RPI wedge bf and additions - DMMY</v>
      </c>
      <c r="F97" s="205">
        <f xml:space="preserve"> InpR!F$109</f>
        <v>0</v>
      </c>
      <c r="G97" s="223" t="str">
        <f xml:space="preserve"> InpR!G$109</f>
        <v>%</v>
      </c>
      <c r="H97" s="205">
        <f xml:space="preserve"> InpR!H$109</f>
        <v>0</v>
      </c>
      <c r="I97" s="205">
        <f xml:space="preserve"> InpR!I$109</f>
        <v>0</v>
      </c>
      <c r="J97" s="205">
        <f xml:space="preserve"> InpR!J$109</f>
        <v>0</v>
      </c>
      <c r="K97" s="205">
        <f xml:space="preserve"> InpR!K$109</f>
        <v>0</v>
      </c>
      <c r="L97" s="205">
        <f xml:space="preserve"> InpR!L$109</f>
        <v>0</v>
      </c>
      <c r="M97" s="205">
        <f xml:space="preserve"> InpR!M$109</f>
        <v>1.920357193840716E-2</v>
      </c>
      <c r="N97" s="205">
        <f xml:space="preserve"> InpR!N$109</f>
        <v>1.920357193840716E-2</v>
      </c>
      <c r="O97" s="205">
        <f xml:space="preserve"> InpR!O$109</f>
        <v>1.920357193840716E-2</v>
      </c>
      <c r="P97" s="205">
        <f xml:space="preserve"> InpR!P$109</f>
        <v>1.920357193840716E-2</v>
      </c>
      <c r="Q97" s="205">
        <f xml:space="preserve"> InpR!Q$109</f>
        <v>1.920357193840716E-2</v>
      </c>
      <c r="R97" s="205">
        <f xml:space="preserve"> InpR!R$109</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2" xml:space="preserve"> E$94</f>
        <v>Actual average RCV balance</v>
      </c>
      <c r="F99" s="184">
        <f t="shared" si="42"/>
        <v>0</v>
      </c>
      <c r="G99" s="184" t="str">
        <f t="shared" si="42"/>
        <v>£m</v>
      </c>
      <c r="H99" s="184">
        <f t="shared" si="42"/>
        <v>0</v>
      </c>
      <c r="I99" s="184">
        <f t="shared" si="42"/>
        <v>0</v>
      </c>
      <c r="J99" s="184">
        <f t="shared" si="42"/>
        <v>0</v>
      </c>
      <c r="K99" s="184">
        <f t="shared" si="42"/>
        <v>0</v>
      </c>
      <c r="L99" s="184">
        <f t="shared" si="42"/>
        <v>0</v>
      </c>
      <c r="M99" s="184">
        <f t="shared" si="42"/>
        <v>0</v>
      </c>
      <c r="N99" s="184">
        <f t="shared" si="42"/>
        <v>0</v>
      </c>
      <c r="O99" s="184">
        <f t="shared" si="42"/>
        <v>0</v>
      </c>
      <c r="P99" s="184">
        <f t="shared" si="42"/>
        <v>0</v>
      </c>
      <c r="Q99" s="184">
        <f t="shared" si="42"/>
        <v>0</v>
      </c>
      <c r="R99" s="184">
        <f t="shared" si="42"/>
        <v>0</v>
      </c>
    </row>
    <row r="100" spans="1:26" x14ac:dyDescent="0.25">
      <c r="E100" s="7" t="s">
        <v>468</v>
      </c>
      <c r="F100" s="243"/>
      <c r="G100" s="184" t="s">
        <v>238</v>
      </c>
      <c r="H100" s="243"/>
      <c r="I100" s="243"/>
      <c r="J100" s="243">
        <f t="shared" ref="J100:K100" si="43">J97*J98*J99</f>
        <v>0</v>
      </c>
      <c r="K100" s="243">
        <f t="shared" si="43"/>
        <v>0</v>
      </c>
      <c r="L100" s="243">
        <f>L97*L98*L99</f>
        <v>0</v>
      </c>
      <c r="M100" s="243">
        <f>M97*M98*M99</f>
        <v>0</v>
      </c>
      <c r="N100" s="243">
        <f t="shared" ref="N100:R100" si="44">N97*N98*N99</f>
        <v>0</v>
      </c>
      <c r="O100" s="243">
        <f t="shared" si="44"/>
        <v>0</v>
      </c>
      <c r="P100" s="243">
        <f t="shared" si="44"/>
        <v>0</v>
      </c>
      <c r="Q100" s="243">
        <f t="shared" si="44"/>
        <v>0</v>
      </c>
      <c r="R100" s="243">
        <f t="shared" si="44"/>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5" xml:space="preserve"> E$89</f>
        <v>Actual Nominal RCV balance END</v>
      </c>
      <c r="F103" s="185">
        <f t="shared" si="45"/>
        <v>0</v>
      </c>
      <c r="G103" s="185" t="str">
        <f t="shared" si="45"/>
        <v>£m</v>
      </c>
      <c r="H103" s="185">
        <f t="shared" si="45"/>
        <v>0</v>
      </c>
      <c r="I103" s="185">
        <f t="shared" si="45"/>
        <v>0</v>
      </c>
      <c r="J103" s="185">
        <f t="shared" si="45"/>
        <v>0</v>
      </c>
      <c r="K103" s="185">
        <f t="shared" si="45"/>
        <v>0</v>
      </c>
      <c r="L103" s="185">
        <f t="shared" si="45"/>
        <v>0</v>
      </c>
      <c r="M103" s="185">
        <f t="shared" si="45"/>
        <v>0</v>
      </c>
      <c r="N103" s="185">
        <f t="shared" si="45"/>
        <v>0</v>
      </c>
      <c r="O103" s="185">
        <f t="shared" si="45"/>
        <v>0</v>
      </c>
      <c r="P103" s="185">
        <f t="shared" si="45"/>
        <v>0</v>
      </c>
      <c r="Q103" s="185">
        <f t="shared" si="45"/>
        <v>0</v>
      </c>
      <c r="R103" s="185">
        <f t="shared" si="45"/>
        <v>0</v>
      </c>
    </row>
    <row r="104" spans="1:26" x14ac:dyDescent="0.25">
      <c r="C104" s="267"/>
      <c r="E104" s="7" t="s">
        <v>469</v>
      </c>
      <c r="F104" s="243"/>
      <c r="G104" s="243"/>
      <c r="H104" s="243"/>
      <c r="I104" s="243"/>
      <c r="J104" s="184">
        <f>J103 * J102</f>
        <v>0</v>
      </c>
      <c r="K104" s="184">
        <f t="shared" ref="K104:R104" si="46">K103 * K102</f>
        <v>0</v>
      </c>
      <c r="L104" s="184">
        <f t="shared" si="46"/>
        <v>0</v>
      </c>
      <c r="M104" s="184">
        <f t="shared" si="46"/>
        <v>0</v>
      </c>
      <c r="N104" s="184">
        <f t="shared" si="46"/>
        <v>0</v>
      </c>
      <c r="O104" s="184">
        <f t="shared" si="46"/>
        <v>0</v>
      </c>
      <c r="P104" s="184">
        <f t="shared" si="46"/>
        <v>0</v>
      </c>
      <c r="Q104" s="184">
        <f t="shared" si="46"/>
        <v>0</v>
      </c>
      <c r="R104" s="184">
        <f t="shared" si="46"/>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7" xml:space="preserve"> E$75</f>
        <v>RCV run-off company should have received - nominal</v>
      </c>
      <c r="F107" s="184">
        <f t="shared" si="47"/>
        <v>0</v>
      </c>
      <c r="G107" s="184" t="str">
        <f t="shared" si="47"/>
        <v>£m</v>
      </c>
      <c r="H107" s="184">
        <f t="shared" si="47"/>
        <v>0</v>
      </c>
      <c r="I107" s="184">
        <f t="shared" si="47"/>
        <v>0</v>
      </c>
      <c r="J107" s="184">
        <f t="shared" si="47"/>
        <v>0</v>
      </c>
      <c r="K107" s="184">
        <f t="shared" si="47"/>
        <v>0</v>
      </c>
      <c r="L107" s="184">
        <f t="shared" si="47"/>
        <v>0</v>
      </c>
      <c r="M107" s="184">
        <f t="shared" si="47"/>
        <v>0</v>
      </c>
      <c r="N107" s="184">
        <f t="shared" si="47"/>
        <v>0</v>
      </c>
      <c r="O107" s="184">
        <f t="shared" si="47"/>
        <v>0</v>
      </c>
      <c r="P107" s="184">
        <f t="shared" si="47"/>
        <v>0</v>
      </c>
      <c r="Q107" s="184">
        <f t="shared" si="47"/>
        <v>0</v>
      </c>
      <c r="R107" s="184">
        <f t="shared" si="47"/>
        <v>0</v>
      </c>
    </row>
    <row r="108" spans="1:26" s="91" customFormat="1" x14ac:dyDescent="0.25">
      <c r="A108" s="170"/>
      <c r="B108" s="165"/>
      <c r="C108" s="166"/>
      <c r="D108" s="171"/>
      <c r="E108" s="7" t="str">
        <f t="shared" ref="E108:R109" si="48" xml:space="preserve"> E$100</f>
        <v>Nominal return company should have received</v>
      </c>
      <c r="F108" s="184">
        <f t="shared" si="48"/>
        <v>0</v>
      </c>
      <c r="G108" s="184" t="str">
        <f t="shared" si="48"/>
        <v>£m</v>
      </c>
      <c r="H108" s="184">
        <f t="shared" si="48"/>
        <v>0</v>
      </c>
      <c r="I108" s="184">
        <f t="shared" si="48"/>
        <v>0</v>
      </c>
      <c r="J108" s="184">
        <f t="shared" si="48"/>
        <v>0</v>
      </c>
      <c r="K108" s="184">
        <f t="shared" si="48"/>
        <v>0</v>
      </c>
      <c r="L108" s="184">
        <f t="shared" si="48"/>
        <v>0</v>
      </c>
      <c r="M108" s="184">
        <f t="shared" si="48"/>
        <v>0</v>
      </c>
      <c r="N108" s="184">
        <f t="shared" si="48"/>
        <v>0</v>
      </c>
      <c r="O108" s="184">
        <f t="shared" si="48"/>
        <v>0</v>
      </c>
      <c r="P108" s="184">
        <f t="shared" si="48"/>
        <v>0</v>
      </c>
      <c r="Q108" s="184">
        <f t="shared" si="48"/>
        <v>0</v>
      </c>
      <c r="R108" s="184">
        <f t="shared" si="48"/>
        <v>0</v>
      </c>
      <c r="S108" s="92"/>
      <c r="T108" s="92"/>
      <c r="U108" s="92"/>
      <c r="V108" s="92"/>
      <c r="W108" s="92"/>
      <c r="X108" s="92"/>
      <c r="Y108" s="92"/>
      <c r="Z108" s="92"/>
    </row>
    <row r="109" spans="1:26" x14ac:dyDescent="0.25">
      <c r="E109" s="7" t="s">
        <v>471</v>
      </c>
      <c r="F109" s="243"/>
      <c r="G109" s="184" t="str">
        <f t="shared" si="48"/>
        <v>£m</v>
      </c>
      <c r="H109" s="243">
        <f>SUM(J109:R109)</f>
        <v>0</v>
      </c>
      <c r="I109" s="243"/>
      <c r="J109" s="243">
        <f t="shared" ref="J109:R109" si="49">SUM(J107:J108)</f>
        <v>0</v>
      </c>
      <c r="K109" s="243">
        <f t="shared" si="49"/>
        <v>0</v>
      </c>
      <c r="L109" s="243">
        <f t="shared" si="49"/>
        <v>0</v>
      </c>
      <c r="M109" s="243">
        <f t="shared" si="49"/>
        <v>0</v>
      </c>
      <c r="N109" s="243">
        <f t="shared" si="49"/>
        <v>0</v>
      </c>
      <c r="O109" s="243">
        <f t="shared" si="49"/>
        <v>0</v>
      </c>
      <c r="P109" s="243">
        <f t="shared" si="49"/>
        <v>0</v>
      </c>
      <c r="Q109" s="243">
        <f t="shared" si="49"/>
        <v>0</v>
      </c>
      <c r="R109" s="243">
        <f t="shared" si="4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0" xml:space="preserve"> F$61</f>
        <v>0</v>
      </c>
      <c r="G115" s="184" t="str">
        <f t="shared" si="50"/>
        <v>£m</v>
      </c>
      <c r="H115" s="184">
        <f t="shared" si="50"/>
        <v>0</v>
      </c>
      <c r="I115" s="184">
        <f t="shared" si="50"/>
        <v>0</v>
      </c>
      <c r="J115" s="184">
        <f t="shared" si="50"/>
        <v>0</v>
      </c>
      <c r="K115" s="184">
        <f t="shared" si="50"/>
        <v>0</v>
      </c>
      <c r="L115" s="184">
        <f t="shared" si="50"/>
        <v>0</v>
      </c>
      <c r="M115" s="184">
        <f t="shared" si="50"/>
        <v>0</v>
      </c>
      <c r="N115" s="184">
        <f t="shared" si="50"/>
        <v>0</v>
      </c>
      <c r="O115" s="184">
        <f t="shared" si="50"/>
        <v>0</v>
      </c>
      <c r="P115" s="184">
        <f t="shared" si="50"/>
        <v>0</v>
      </c>
      <c r="Q115" s="184">
        <f t="shared" si="50"/>
        <v>0</v>
      </c>
      <c r="R115" s="184">
        <f xml:space="preserve"> R$61</f>
        <v>0</v>
      </c>
    </row>
    <row r="116" spans="1:26" x14ac:dyDescent="0.25">
      <c r="E116" s="7" t="str">
        <f t="shared" ref="E116:R116" si="51" xml:space="preserve"> E$109</f>
        <v>Total nominal revenue company should have received</v>
      </c>
      <c r="F116" s="184">
        <f t="shared" si="51"/>
        <v>0</v>
      </c>
      <c r="G116" s="184" t="str">
        <f t="shared" si="51"/>
        <v>£m</v>
      </c>
      <c r="H116" s="184">
        <f t="shared" si="51"/>
        <v>0</v>
      </c>
      <c r="I116" s="184">
        <f t="shared" si="51"/>
        <v>0</v>
      </c>
      <c r="J116" s="184">
        <f t="shared" si="51"/>
        <v>0</v>
      </c>
      <c r="K116" s="184">
        <f t="shared" si="51"/>
        <v>0</v>
      </c>
      <c r="L116" s="184">
        <f t="shared" si="51"/>
        <v>0</v>
      </c>
      <c r="M116" s="184">
        <f t="shared" si="51"/>
        <v>0</v>
      </c>
      <c r="N116" s="184">
        <f t="shared" si="51"/>
        <v>0</v>
      </c>
      <c r="O116" s="184">
        <f t="shared" si="51"/>
        <v>0</v>
      </c>
      <c r="P116" s="184">
        <f t="shared" si="51"/>
        <v>0</v>
      </c>
      <c r="Q116" s="184">
        <f t="shared" si="51"/>
        <v>0</v>
      </c>
      <c r="R116" s="184">
        <f t="shared" si="51"/>
        <v>0</v>
      </c>
    </row>
    <row r="117" spans="1:26" s="184" customFormat="1" x14ac:dyDescent="0.25">
      <c r="A117" s="180"/>
      <c r="B117" s="181"/>
      <c r="C117" s="182"/>
      <c r="D117" s="183"/>
      <c r="E117" s="7" t="s">
        <v>474</v>
      </c>
      <c r="G117" s="184" t="str">
        <f t="shared" ref="G117" si="52" xml:space="preserve"> G$100</f>
        <v>£m</v>
      </c>
      <c r="H117" s="243">
        <f>SUM(J117:R117)</f>
        <v>0</v>
      </c>
      <c r="M117" s="184">
        <f>M116-M115</f>
        <v>0</v>
      </c>
      <c r="N117" s="184">
        <f t="shared" ref="N117:Q117" si="53">N116-N115</f>
        <v>0</v>
      </c>
      <c r="O117" s="184">
        <f t="shared" si="53"/>
        <v>0</v>
      </c>
      <c r="P117" s="184">
        <f t="shared" si="53"/>
        <v>0</v>
      </c>
      <c r="Q117" s="184">
        <f t="shared" si="53"/>
        <v>0</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L127" si="54">SUM(J125:J126)</f>
        <v>0</v>
      </c>
      <c r="K127" s="172">
        <f t="shared" si="54"/>
        <v>0</v>
      </c>
      <c r="L127" s="172">
        <f t="shared" si="54"/>
        <v>3.1522140708501789E-2</v>
      </c>
      <c r="M127" s="172">
        <f>SUM(M125:M126)</f>
        <v>2.4258091513662761E-2</v>
      </c>
      <c r="N127" s="172">
        <f t="shared" ref="N127:R127" si="55">SUM(N125:N126)</f>
        <v>2.9587648685595269E-2</v>
      </c>
      <c r="O127" s="172">
        <f t="shared" si="55"/>
        <v>3.150368327076003E-2</v>
      </c>
      <c r="P127" s="172">
        <f t="shared" si="55"/>
        <v>3.2000000000000695E-2</v>
      </c>
      <c r="Q127" s="172">
        <f t="shared" si="55"/>
        <v>3.1999999999999806E-2</v>
      </c>
      <c r="R127" s="172">
        <f t="shared" si="55"/>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6" xml:space="preserve"> F$141</f>
        <v>0</v>
      </c>
      <c r="G129" s="161" t="str">
        <f t="shared" si="56"/>
        <v>£m</v>
      </c>
      <c r="H129" s="326">
        <f t="shared" si="56"/>
        <v>0</v>
      </c>
      <c r="I129" s="326">
        <f t="shared" si="56"/>
        <v>0</v>
      </c>
      <c r="J129" s="326">
        <f t="shared" si="56"/>
        <v>0</v>
      </c>
      <c r="K129" s="326">
        <f xml:space="preserve"> K$141</f>
        <v>0</v>
      </c>
      <c r="L129" s="326">
        <f t="shared" si="56"/>
        <v>0</v>
      </c>
      <c r="M129" s="326">
        <f t="shared" si="56"/>
        <v>0</v>
      </c>
      <c r="N129" s="326">
        <f t="shared" si="56"/>
        <v>0</v>
      </c>
      <c r="O129" s="326">
        <f t="shared" si="56"/>
        <v>0</v>
      </c>
      <c r="P129" s="326">
        <f t="shared" si="56"/>
        <v>0</v>
      </c>
      <c r="Q129" s="326">
        <f t="shared" si="56"/>
        <v>0</v>
      </c>
      <c r="R129" s="326">
        <f t="shared" si="56"/>
        <v>0</v>
      </c>
    </row>
    <row r="130" spans="1:16383" x14ac:dyDescent="0.25">
      <c r="E130" s="178" t="str">
        <f xml:space="preserve"> E$127</f>
        <v>True up Indexation percentage</v>
      </c>
      <c r="F130" s="178">
        <f t="shared" ref="F130:R130" si="57" xml:space="preserve"> F$127</f>
        <v>0</v>
      </c>
      <c r="G130" s="178">
        <f t="shared" si="57"/>
        <v>0</v>
      </c>
      <c r="H130" s="178">
        <f t="shared" si="57"/>
        <v>0</v>
      </c>
      <c r="I130" s="178">
        <f t="shared" si="57"/>
        <v>0</v>
      </c>
      <c r="J130" s="178">
        <f t="shared" si="57"/>
        <v>0</v>
      </c>
      <c r="K130" s="178">
        <f t="shared" si="57"/>
        <v>0</v>
      </c>
      <c r="L130" s="178">
        <f t="shared" si="57"/>
        <v>3.1522140708501789E-2</v>
      </c>
      <c r="M130" s="178">
        <f t="shared" si="57"/>
        <v>2.4258091513662761E-2</v>
      </c>
      <c r="N130" s="178">
        <f t="shared" si="57"/>
        <v>2.9587648685595269E-2</v>
      </c>
      <c r="O130" s="178">
        <f t="shared" si="57"/>
        <v>3.150368327076003E-2</v>
      </c>
      <c r="P130" s="178">
        <f t="shared" si="57"/>
        <v>3.2000000000000695E-2</v>
      </c>
      <c r="Q130" s="178">
        <f t="shared" si="57"/>
        <v>3.1999999999999806E-2</v>
      </c>
      <c r="R130" s="178">
        <f t="shared" si="57"/>
        <v>2.9999999999999805E-2</v>
      </c>
    </row>
    <row r="131" spans="1:16383" x14ac:dyDescent="0.25">
      <c r="C131" s="267"/>
      <c r="E131" s="7" t="s">
        <v>480</v>
      </c>
      <c r="G131" s="91" t="s">
        <v>238</v>
      </c>
      <c r="J131" s="245">
        <f>J129*J130</f>
        <v>0</v>
      </c>
      <c r="K131" s="245">
        <f t="shared" ref="K131:L131" si="58">K129*K130</f>
        <v>0</v>
      </c>
      <c r="L131" s="245">
        <f t="shared" si="58"/>
        <v>0</v>
      </c>
      <c r="M131" s="245">
        <f>M129*M130</f>
        <v>0</v>
      </c>
      <c r="N131" s="245">
        <f t="shared" ref="N131:R131" si="59">N129*N130</f>
        <v>0</v>
      </c>
      <c r="O131" s="245">
        <f t="shared" si="59"/>
        <v>0</v>
      </c>
      <c r="P131" s="245">
        <f t="shared" si="59"/>
        <v>0</v>
      </c>
      <c r="Q131" s="245">
        <f t="shared" si="59"/>
        <v>0</v>
      </c>
      <c r="R131" s="245">
        <f t="shared" si="59"/>
        <v>0</v>
      </c>
    </row>
    <row r="132" spans="1:16383" x14ac:dyDescent="0.25"/>
    <row r="133" spans="1:16383" s="205" customFormat="1" x14ac:dyDescent="0.25">
      <c r="A133" s="201"/>
      <c r="B133" s="202"/>
      <c r="C133" s="203"/>
      <c r="D133" s="204"/>
      <c r="E133" s="37" t="str">
        <f xml:space="preserve"> InpR!E$102</f>
        <v>Run-off rate - CPI(H) + RPI wedge - active - DMMY</v>
      </c>
      <c r="F133" s="205">
        <f xml:space="preserve"> InpR!F$102</f>
        <v>0</v>
      </c>
      <c r="G133" s="223" t="str">
        <f xml:space="preserve"> InpR!G$102</f>
        <v>%</v>
      </c>
      <c r="H133" s="205">
        <f xml:space="preserve"> InpR!H$102</f>
        <v>0</v>
      </c>
      <c r="I133" s="205">
        <f xml:space="preserve"> InpR!I$102</f>
        <v>0</v>
      </c>
      <c r="J133" s="205">
        <f xml:space="preserve"> InpR!J$102</f>
        <v>0</v>
      </c>
      <c r="K133" s="205">
        <f xml:space="preserve"> InpR!K$102</f>
        <v>0</v>
      </c>
      <c r="L133" s="205">
        <f xml:space="preserve"> InpR!L$102</f>
        <v>0</v>
      </c>
      <c r="M133" s="205">
        <f xml:space="preserve"> InpR!M$102</f>
        <v>0</v>
      </c>
      <c r="N133" s="205">
        <f xml:space="preserve"> InpR!N$102</f>
        <v>0</v>
      </c>
      <c r="O133" s="205">
        <f xml:space="preserve"> InpR!O$102</f>
        <v>0</v>
      </c>
      <c r="P133" s="205">
        <f xml:space="preserve"> InpR!P$102</f>
        <v>0</v>
      </c>
      <c r="Q133" s="205">
        <f xml:space="preserve"> InpR!Q$102</f>
        <v>0</v>
      </c>
      <c r="R133" s="205">
        <f xml:space="preserve"> InpR!R$102</f>
        <v>0</v>
      </c>
    </row>
    <row r="134" spans="1:16383" s="161" customFormat="1" x14ac:dyDescent="0.25">
      <c r="A134" s="157"/>
      <c r="B134" s="158"/>
      <c r="C134" s="159"/>
      <c r="D134" s="160"/>
      <c r="E134" s="161" t="str">
        <f xml:space="preserve"> E$141</f>
        <v>True up Nominal RCV balance BEG</v>
      </c>
      <c r="F134" s="326">
        <f t="shared" ref="F134:R134" si="60" xml:space="preserve"> F$141</f>
        <v>0</v>
      </c>
      <c r="G134" s="161" t="str">
        <f t="shared" si="60"/>
        <v>£m</v>
      </c>
      <c r="H134" s="326">
        <f t="shared" si="60"/>
        <v>0</v>
      </c>
      <c r="I134" s="326">
        <f t="shared" si="60"/>
        <v>0</v>
      </c>
      <c r="J134" s="326">
        <f t="shared" si="60"/>
        <v>0</v>
      </c>
      <c r="K134" s="326">
        <f t="shared" si="60"/>
        <v>0</v>
      </c>
      <c r="L134" s="326">
        <f t="shared" si="60"/>
        <v>0</v>
      </c>
      <c r="M134" s="326">
        <f t="shared" si="60"/>
        <v>0</v>
      </c>
      <c r="N134" s="326">
        <f t="shared" si="60"/>
        <v>0</v>
      </c>
      <c r="O134" s="326">
        <f t="shared" si="60"/>
        <v>0</v>
      </c>
      <c r="P134" s="326">
        <f t="shared" si="60"/>
        <v>0</v>
      </c>
      <c r="Q134" s="326">
        <f t="shared" si="60"/>
        <v>0</v>
      </c>
      <c r="R134" s="326">
        <f t="shared" si="60"/>
        <v>0</v>
      </c>
    </row>
    <row r="135" spans="1:16383" x14ac:dyDescent="0.25">
      <c r="C135" s="267"/>
      <c r="E135" s="7" t="str">
        <f xml:space="preserve"> E$131</f>
        <v>True up RCV indexation</v>
      </c>
      <c r="F135" s="7">
        <f t="shared" ref="F135:R135" si="61" xml:space="preserve"> F$131</f>
        <v>0</v>
      </c>
      <c r="G135" s="91" t="str">
        <f t="shared" si="61"/>
        <v>£m</v>
      </c>
      <c r="H135" s="7">
        <f t="shared" si="61"/>
        <v>0</v>
      </c>
      <c r="I135" s="7">
        <f t="shared" si="61"/>
        <v>0</v>
      </c>
      <c r="J135" s="245">
        <f t="shared" si="61"/>
        <v>0</v>
      </c>
      <c r="K135" s="245">
        <f t="shared" si="61"/>
        <v>0</v>
      </c>
      <c r="L135" s="245">
        <f t="shared" si="61"/>
        <v>0</v>
      </c>
      <c r="M135" s="245">
        <f t="shared" si="61"/>
        <v>0</v>
      </c>
      <c r="N135" s="245">
        <f t="shared" si="61"/>
        <v>0</v>
      </c>
      <c r="O135" s="245">
        <f t="shared" si="61"/>
        <v>0</v>
      </c>
      <c r="P135" s="245">
        <f t="shared" si="61"/>
        <v>0</v>
      </c>
      <c r="Q135" s="245">
        <f t="shared" si="61"/>
        <v>0</v>
      </c>
      <c r="R135" s="245">
        <f t="shared" si="61"/>
        <v>0</v>
      </c>
    </row>
    <row r="136" spans="1:16383" x14ac:dyDescent="0.25">
      <c r="C136" s="267"/>
      <c r="E136" s="7" t="s">
        <v>481</v>
      </c>
      <c r="F136" s="246"/>
      <c r="G136" s="162" t="s">
        <v>238</v>
      </c>
      <c r="H136" s="246"/>
      <c r="I136" s="246"/>
      <c r="J136" s="245">
        <f t="shared" ref="J136:L136" si="62" xml:space="preserve"> (J134+J135) * J133</f>
        <v>0</v>
      </c>
      <c r="K136" s="245">
        <f t="shared" si="62"/>
        <v>0</v>
      </c>
      <c r="L136" s="245">
        <f t="shared" si="62"/>
        <v>0</v>
      </c>
      <c r="M136" s="245">
        <f xml:space="preserve"> (M134+M135) * M133</f>
        <v>0</v>
      </c>
      <c r="N136" s="245">
        <f t="shared" ref="N136:R136" si="63" xml:space="preserve"> (N134+N135) * N133</f>
        <v>0</v>
      </c>
      <c r="O136" s="245">
        <f t="shared" si="63"/>
        <v>0</v>
      </c>
      <c r="P136" s="245">
        <f t="shared" si="63"/>
        <v>0</v>
      </c>
      <c r="Q136" s="245">
        <f t="shared" si="63"/>
        <v>0</v>
      </c>
      <c r="R136" s="245">
        <f t="shared" si="6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F137" s="138"/>
      <c r="G137" s="138"/>
      <c r="H137" s="138"/>
    </row>
    <row r="138" spans="1:16383" s="200" customFormat="1" x14ac:dyDescent="0.25">
      <c r="A138" s="196"/>
      <c r="B138" s="197"/>
      <c r="C138" s="198"/>
      <c r="D138" s="199"/>
      <c r="E138" s="200" t="str">
        <f>InpR!$E$95</f>
        <v>RCV - CPI(H) + RPI wedge initial balance - nominal - DMMY</v>
      </c>
      <c r="F138" s="249">
        <f>InpR!$F$95</f>
        <v>0</v>
      </c>
      <c r="G138" s="248" t="str">
        <f>InpR!$G$95</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4" xml:space="preserve"> I144</f>
        <v>0</v>
      </c>
      <c r="K141" s="241">
        <f t="shared" ref="K141" si="65" xml:space="preserve"> J144</f>
        <v>0</v>
      </c>
      <c r="L141" s="241">
        <f t="shared" ref="L141" si="66" xml:space="preserve"> K144</f>
        <v>0</v>
      </c>
      <c r="M141" s="241">
        <f t="shared" ref="M141" si="67" xml:space="preserve"> L144</f>
        <v>0</v>
      </c>
      <c r="N141" s="241">
        <f t="shared" ref="N141" si="68" xml:space="preserve"> M144</f>
        <v>0</v>
      </c>
      <c r="O141" s="241">
        <f t="shared" ref="O141" si="69" xml:space="preserve"> N144</f>
        <v>0</v>
      </c>
      <c r="P141" s="241">
        <f t="shared" ref="P141" si="70" xml:space="preserve"> O144</f>
        <v>0</v>
      </c>
      <c r="Q141" s="241">
        <f t="shared" ref="Q141" si="71" xml:space="preserve"> P144</f>
        <v>0</v>
      </c>
      <c r="R141" s="241">
        <f t="shared" ref="R141" si="72" xml:space="preserve"> Q144</f>
        <v>0</v>
      </c>
    </row>
    <row r="142" spans="1:16383" x14ac:dyDescent="0.25">
      <c r="A142" s="47"/>
      <c r="B142" s="51"/>
      <c r="C142" s="111"/>
      <c r="D142" s="56" t="s">
        <v>445</v>
      </c>
      <c r="E142" s="7" t="str">
        <f t="shared" ref="E142:R142" si="73" xml:space="preserve"> E$131</f>
        <v>True up RCV indexation</v>
      </c>
      <c r="F142" s="241">
        <f t="shared" si="73"/>
        <v>0</v>
      </c>
      <c r="G142" s="241" t="str">
        <f t="shared" si="73"/>
        <v>£m</v>
      </c>
      <c r="H142" s="241">
        <f t="shared" si="73"/>
        <v>0</v>
      </c>
      <c r="I142" s="241">
        <f t="shared" si="73"/>
        <v>0</v>
      </c>
      <c r="J142" s="241">
        <f t="shared" si="73"/>
        <v>0</v>
      </c>
      <c r="K142" s="241">
        <f t="shared" si="73"/>
        <v>0</v>
      </c>
      <c r="L142" s="241">
        <f t="shared" si="73"/>
        <v>0</v>
      </c>
      <c r="M142" s="241">
        <f t="shared" si="73"/>
        <v>0</v>
      </c>
      <c r="N142" s="241">
        <f t="shared" si="73"/>
        <v>0</v>
      </c>
      <c r="O142" s="241">
        <f t="shared" si="73"/>
        <v>0</v>
      </c>
      <c r="P142" s="241">
        <f t="shared" si="73"/>
        <v>0</v>
      </c>
      <c r="Q142" s="241">
        <f t="shared" si="73"/>
        <v>0</v>
      </c>
      <c r="R142" s="241">
        <f t="shared" si="73"/>
        <v>0</v>
      </c>
    </row>
    <row r="143" spans="1:16383" x14ac:dyDescent="0.25">
      <c r="A143" s="47"/>
      <c r="B143" s="51"/>
      <c r="C143" s="111"/>
      <c r="D143" s="56" t="s">
        <v>446</v>
      </c>
      <c r="E143" s="7" t="str">
        <f t="shared" ref="E143:R143" si="74" xml:space="preserve"> E$136</f>
        <v>True up Nominal RCV run-off</v>
      </c>
      <c r="F143" s="241">
        <f t="shared" si="74"/>
        <v>0</v>
      </c>
      <c r="G143" s="241" t="str">
        <f t="shared" si="74"/>
        <v>£m</v>
      </c>
      <c r="H143" s="241">
        <f t="shared" si="74"/>
        <v>0</v>
      </c>
      <c r="I143" s="241">
        <f t="shared" si="74"/>
        <v>0</v>
      </c>
      <c r="J143" s="241">
        <f t="shared" si="74"/>
        <v>0</v>
      </c>
      <c r="K143" s="241">
        <f t="shared" si="74"/>
        <v>0</v>
      </c>
      <c r="L143" s="241">
        <f t="shared" si="74"/>
        <v>0</v>
      </c>
      <c r="M143" s="241">
        <f t="shared" si="74"/>
        <v>0</v>
      </c>
      <c r="N143" s="241">
        <f t="shared" si="74"/>
        <v>0</v>
      </c>
      <c r="O143" s="241">
        <f t="shared" si="74"/>
        <v>0</v>
      </c>
      <c r="P143" s="241">
        <f t="shared" si="74"/>
        <v>0</v>
      </c>
      <c r="Q143" s="241">
        <f t="shared" si="74"/>
        <v>0</v>
      </c>
      <c r="R143" s="241">
        <f t="shared" si="74"/>
        <v>0</v>
      </c>
    </row>
    <row r="144" spans="1:16383" s="138" customFormat="1" x14ac:dyDescent="0.25">
      <c r="A144" s="134"/>
      <c r="B144" s="135"/>
      <c r="C144" s="268"/>
      <c r="D144" s="137"/>
      <c r="E144" s="138" t="s">
        <v>483</v>
      </c>
      <c r="G144" s="163" t="s">
        <v>238</v>
      </c>
      <c r="J144" s="242">
        <f t="shared" ref="J144:K144" si="75" xml:space="preserve"> IF( J139 = 1, $F138, J141 + J142 - J143)</f>
        <v>0</v>
      </c>
      <c r="K144" s="242">
        <f t="shared" si="75"/>
        <v>0</v>
      </c>
      <c r="L144" s="242">
        <f xml:space="preserve"> IF( L139 = 1, $F138, L141 + L142 - L143)</f>
        <v>0</v>
      </c>
      <c r="M144" s="242">
        <f t="shared" ref="M144:R144" si="76" xml:space="preserve"> IF( M139 = 1, $F138, M141 + M142 - M143)</f>
        <v>0</v>
      </c>
      <c r="N144" s="242">
        <f t="shared" si="76"/>
        <v>0</v>
      </c>
      <c r="O144" s="242">
        <f t="shared" si="76"/>
        <v>0</v>
      </c>
      <c r="P144" s="242">
        <f t="shared" si="76"/>
        <v>0</v>
      </c>
      <c r="Q144" s="242">
        <f t="shared" si="76"/>
        <v>0</v>
      </c>
      <c r="R144" s="242">
        <f t="shared" si="76"/>
        <v>0</v>
      </c>
    </row>
    <row r="145" spans="1:18" x14ac:dyDescent="0.25"/>
    <row r="146" spans="1:18" s="92" customFormat="1" x14ac:dyDescent="0.25">
      <c r="A146" s="164"/>
      <c r="B146" s="165"/>
      <c r="C146" s="166"/>
      <c r="D146" s="167"/>
      <c r="E146" s="179" t="str">
        <f t="shared" ref="E146:R146" si="77" xml:space="preserve"> E$141</f>
        <v>True up Nominal RCV balance BEG</v>
      </c>
      <c r="F146" s="185">
        <f t="shared" si="77"/>
        <v>0</v>
      </c>
      <c r="G146" s="185" t="str">
        <f t="shared" si="77"/>
        <v>£m</v>
      </c>
      <c r="H146" s="185">
        <f t="shared" si="77"/>
        <v>0</v>
      </c>
      <c r="I146" s="185">
        <f t="shared" si="77"/>
        <v>0</v>
      </c>
      <c r="J146" s="185">
        <f t="shared" si="77"/>
        <v>0</v>
      </c>
      <c r="K146" s="185">
        <f t="shared" si="77"/>
        <v>0</v>
      </c>
      <c r="L146" s="185">
        <f t="shared" si="77"/>
        <v>0</v>
      </c>
      <c r="M146" s="185">
        <f t="shared" si="77"/>
        <v>0</v>
      </c>
      <c r="N146" s="185">
        <f t="shared" si="77"/>
        <v>0</v>
      </c>
      <c r="O146" s="185">
        <f t="shared" si="77"/>
        <v>0</v>
      </c>
      <c r="P146" s="185">
        <f t="shared" si="77"/>
        <v>0</v>
      </c>
      <c r="Q146" s="185">
        <f t="shared" si="77"/>
        <v>0</v>
      </c>
      <c r="R146" s="185">
        <f t="shared" si="77"/>
        <v>0</v>
      </c>
    </row>
    <row r="147" spans="1:18" s="92" customFormat="1" x14ac:dyDescent="0.25">
      <c r="A147" s="164"/>
      <c r="B147" s="165"/>
      <c r="C147" s="166"/>
      <c r="D147" s="167"/>
      <c r="E147" s="179" t="str">
        <f t="shared" ref="E147:R147" si="78" xml:space="preserve"> E$131</f>
        <v>True up RCV indexation</v>
      </c>
      <c r="F147" s="185">
        <f t="shared" si="78"/>
        <v>0</v>
      </c>
      <c r="G147" s="185" t="str">
        <f t="shared" si="78"/>
        <v>£m</v>
      </c>
      <c r="H147" s="185">
        <f t="shared" si="78"/>
        <v>0</v>
      </c>
      <c r="I147" s="185">
        <f t="shared" si="78"/>
        <v>0</v>
      </c>
      <c r="J147" s="185">
        <f t="shared" si="78"/>
        <v>0</v>
      </c>
      <c r="K147" s="185">
        <f t="shared" si="78"/>
        <v>0</v>
      </c>
      <c r="L147" s="185">
        <f t="shared" si="78"/>
        <v>0</v>
      </c>
      <c r="M147" s="185">
        <f t="shared" si="78"/>
        <v>0</v>
      </c>
      <c r="N147" s="185">
        <f t="shared" si="78"/>
        <v>0</v>
      </c>
      <c r="O147" s="185">
        <f t="shared" si="78"/>
        <v>0</v>
      </c>
      <c r="P147" s="185">
        <f t="shared" si="78"/>
        <v>0</v>
      </c>
      <c r="Q147" s="185">
        <f t="shared" si="78"/>
        <v>0</v>
      </c>
      <c r="R147" s="185">
        <f t="shared" si="78"/>
        <v>0</v>
      </c>
    </row>
    <row r="148" spans="1:18" s="92" customFormat="1" x14ac:dyDescent="0.25">
      <c r="A148" s="164"/>
      <c r="B148" s="165"/>
      <c r="C148" s="166"/>
      <c r="D148" s="167"/>
      <c r="E148" s="179" t="str">
        <f t="shared" ref="E148:R148" si="79" xml:space="preserve"> E$144</f>
        <v>True up Nominal RCV balance END</v>
      </c>
      <c r="F148" s="185">
        <f t="shared" si="79"/>
        <v>0</v>
      </c>
      <c r="G148" s="185" t="str">
        <f t="shared" si="79"/>
        <v>£m</v>
      </c>
      <c r="H148" s="185">
        <f t="shared" si="79"/>
        <v>0</v>
      </c>
      <c r="I148" s="185">
        <f t="shared" si="79"/>
        <v>0</v>
      </c>
      <c r="J148" s="185">
        <f t="shared" si="79"/>
        <v>0</v>
      </c>
      <c r="K148" s="185">
        <f t="shared" si="79"/>
        <v>0</v>
      </c>
      <c r="L148" s="185">
        <f t="shared" si="79"/>
        <v>0</v>
      </c>
      <c r="M148" s="185">
        <f t="shared" si="79"/>
        <v>0</v>
      </c>
      <c r="N148" s="185">
        <f t="shared" si="79"/>
        <v>0</v>
      </c>
      <c r="O148" s="185">
        <f t="shared" si="79"/>
        <v>0</v>
      </c>
      <c r="P148" s="185">
        <f t="shared" si="79"/>
        <v>0</v>
      </c>
      <c r="Q148" s="185">
        <f t="shared" si="79"/>
        <v>0</v>
      </c>
      <c r="R148" s="185">
        <f t="shared" si="79"/>
        <v>0</v>
      </c>
    </row>
    <row r="149" spans="1:18" x14ac:dyDescent="0.25">
      <c r="A149" s="49"/>
      <c r="C149" s="267"/>
      <c r="D149" s="57"/>
      <c r="E149" s="7" t="s">
        <v>484</v>
      </c>
      <c r="F149" s="243"/>
      <c r="G149" s="185" t="s">
        <v>238</v>
      </c>
      <c r="H149" s="243"/>
      <c r="I149" s="243"/>
      <c r="J149" s="185">
        <f t="shared" ref="J149:L149" si="80" xml:space="preserve"> ( (J146+J147) + J148) / 2</f>
        <v>0</v>
      </c>
      <c r="K149" s="185">
        <f t="shared" si="80"/>
        <v>0</v>
      </c>
      <c r="L149" s="185">
        <f t="shared" si="80"/>
        <v>0</v>
      </c>
      <c r="M149" s="185">
        <f xml:space="preserve"> ( (M146+M147) + M148) / 2</f>
        <v>0</v>
      </c>
      <c r="N149" s="185">
        <f t="shared" ref="N149:R149" si="81" xml:space="preserve"> ( (N146+N147) + N148) / 2</f>
        <v>0</v>
      </c>
      <c r="O149" s="185">
        <f t="shared" si="81"/>
        <v>0</v>
      </c>
      <c r="P149" s="185">
        <f t="shared" si="81"/>
        <v>0</v>
      </c>
      <c r="Q149" s="185">
        <f t="shared" si="81"/>
        <v>0</v>
      </c>
      <c r="R149" s="185">
        <f t="shared" si="81"/>
        <v>0</v>
      </c>
    </row>
    <row r="150" spans="1:18" x14ac:dyDescent="0.25"/>
    <row r="151" spans="1:18" s="205" customFormat="1" x14ac:dyDescent="0.25">
      <c r="A151" s="201"/>
      <c r="B151" s="202"/>
      <c r="C151" s="203"/>
      <c r="D151" s="204"/>
      <c r="E151" s="205" t="str">
        <f xml:space="preserve"> InpR!E$109</f>
        <v>WACC on RCV - CPI(H) + RPI wedge bf and additions - DMMY</v>
      </c>
      <c r="F151" s="205">
        <f xml:space="preserve"> InpR!F$109</f>
        <v>0</v>
      </c>
      <c r="G151" s="223" t="str">
        <f xml:space="preserve"> InpR!G$109</f>
        <v>%</v>
      </c>
      <c r="H151" s="205">
        <f xml:space="preserve"> InpR!H$109</f>
        <v>0</v>
      </c>
      <c r="I151" s="205">
        <f xml:space="preserve"> InpR!I$109</f>
        <v>0</v>
      </c>
      <c r="J151" s="205">
        <f xml:space="preserve"> InpR!J$109</f>
        <v>0</v>
      </c>
      <c r="K151" s="205">
        <f xml:space="preserve"> InpR!K$109</f>
        <v>0</v>
      </c>
      <c r="L151" s="205">
        <f xml:space="preserve"> InpR!L$109</f>
        <v>0</v>
      </c>
      <c r="M151" s="205">
        <f xml:space="preserve"> InpR!M$109</f>
        <v>1.920357193840716E-2</v>
      </c>
      <c r="N151" s="205">
        <f xml:space="preserve"> InpR!N$109</f>
        <v>1.920357193840716E-2</v>
      </c>
      <c r="O151" s="205">
        <f xml:space="preserve"> InpR!O$109</f>
        <v>1.920357193840716E-2</v>
      </c>
      <c r="P151" s="205">
        <f xml:space="preserve"> InpR!P$109</f>
        <v>1.920357193840716E-2</v>
      </c>
      <c r="Q151" s="205">
        <f xml:space="preserve"> InpR!Q$109</f>
        <v>1.920357193840716E-2</v>
      </c>
      <c r="R151" s="205">
        <f xml:space="preserve"> InpR!R$109</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2" xml:space="preserve"> F$149</f>
        <v>0</v>
      </c>
      <c r="G153" s="185" t="str">
        <f t="shared" si="82"/>
        <v>£m</v>
      </c>
      <c r="H153" s="185">
        <f t="shared" si="82"/>
        <v>0</v>
      </c>
      <c r="I153" s="185">
        <f t="shared" si="82"/>
        <v>0</v>
      </c>
      <c r="J153" s="185">
        <f t="shared" si="82"/>
        <v>0</v>
      </c>
      <c r="K153" s="185">
        <f t="shared" si="82"/>
        <v>0</v>
      </c>
      <c r="L153" s="185">
        <f t="shared" si="82"/>
        <v>0</v>
      </c>
      <c r="M153" s="185">
        <f t="shared" si="82"/>
        <v>0</v>
      </c>
      <c r="N153" s="185">
        <f t="shared" si="82"/>
        <v>0</v>
      </c>
      <c r="O153" s="185">
        <f t="shared" si="82"/>
        <v>0</v>
      </c>
      <c r="P153" s="185">
        <f t="shared" si="82"/>
        <v>0</v>
      </c>
      <c r="Q153" s="185">
        <f t="shared" si="82"/>
        <v>0</v>
      </c>
      <c r="R153" s="185">
        <f t="shared" si="82"/>
        <v>0</v>
      </c>
    </row>
    <row r="154" spans="1:18" x14ac:dyDescent="0.25">
      <c r="C154" s="267"/>
      <c r="E154" s="7" t="s">
        <v>485</v>
      </c>
      <c r="F154" s="243"/>
      <c r="G154" s="184" t="s">
        <v>238</v>
      </c>
      <c r="H154" s="243"/>
      <c r="I154" s="243"/>
      <c r="J154" s="245">
        <f t="shared" ref="J154:K154" si="83">J151*J152*J153</f>
        <v>0</v>
      </c>
      <c r="K154" s="245">
        <f t="shared" si="83"/>
        <v>0</v>
      </c>
      <c r="L154" s="245">
        <f>L151*L152*L153</f>
        <v>0</v>
      </c>
      <c r="M154" s="245">
        <f t="shared" ref="M154:R154" si="84">M151*M152*M153</f>
        <v>0</v>
      </c>
      <c r="N154" s="245">
        <f t="shared" si="84"/>
        <v>0</v>
      </c>
      <c r="O154" s="245">
        <f t="shared" si="84"/>
        <v>0</v>
      </c>
      <c r="P154" s="245">
        <f t="shared" si="84"/>
        <v>0</v>
      </c>
      <c r="Q154" s="245">
        <f t="shared" si="84"/>
        <v>0</v>
      </c>
      <c r="R154" s="245">
        <f t="shared" si="8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5" xml:space="preserve"> F$136</f>
        <v>0</v>
      </c>
      <c r="G156" s="185" t="str">
        <f t="shared" si="85"/>
        <v>£m</v>
      </c>
      <c r="H156" s="185">
        <f t="shared" si="85"/>
        <v>0</v>
      </c>
      <c r="I156" s="185">
        <f t="shared" si="85"/>
        <v>0</v>
      </c>
      <c r="J156" s="185">
        <f t="shared" si="85"/>
        <v>0</v>
      </c>
      <c r="K156" s="185">
        <f t="shared" si="85"/>
        <v>0</v>
      </c>
      <c r="L156" s="185">
        <f t="shared" si="85"/>
        <v>0</v>
      </c>
      <c r="M156" s="185">
        <f t="shared" si="85"/>
        <v>0</v>
      </c>
      <c r="N156" s="185">
        <f t="shared" si="85"/>
        <v>0</v>
      </c>
      <c r="O156" s="185">
        <f t="shared" si="85"/>
        <v>0</v>
      </c>
      <c r="P156" s="185">
        <f t="shared" si="85"/>
        <v>0</v>
      </c>
      <c r="Q156" s="185">
        <f t="shared" si="85"/>
        <v>0</v>
      </c>
      <c r="R156" s="185">
        <f t="shared" si="85"/>
        <v>0</v>
      </c>
    </row>
    <row r="157" spans="1:18" s="92" customFormat="1" x14ac:dyDescent="0.25">
      <c r="A157" s="164"/>
      <c r="B157" s="165"/>
      <c r="C157" s="166"/>
      <c r="D157" s="167"/>
      <c r="E157" s="179" t="str">
        <f xml:space="preserve"> E$154</f>
        <v>True up Nominal return</v>
      </c>
      <c r="F157" s="185">
        <f t="shared" ref="F157:R157" si="86" xml:space="preserve"> F$154</f>
        <v>0</v>
      </c>
      <c r="G157" s="185" t="str">
        <f t="shared" si="86"/>
        <v>£m</v>
      </c>
      <c r="H157" s="185">
        <f t="shared" si="86"/>
        <v>0</v>
      </c>
      <c r="I157" s="185">
        <f t="shared" si="86"/>
        <v>0</v>
      </c>
      <c r="J157" s="185">
        <f t="shared" si="86"/>
        <v>0</v>
      </c>
      <c r="K157" s="185">
        <f t="shared" si="86"/>
        <v>0</v>
      </c>
      <c r="L157" s="185">
        <f t="shared" si="86"/>
        <v>0</v>
      </c>
      <c r="M157" s="185">
        <f t="shared" si="86"/>
        <v>0</v>
      </c>
      <c r="N157" s="185">
        <f t="shared" si="86"/>
        <v>0</v>
      </c>
      <c r="O157" s="185">
        <f t="shared" si="86"/>
        <v>0</v>
      </c>
      <c r="P157" s="185">
        <f t="shared" si="86"/>
        <v>0</v>
      </c>
      <c r="Q157" s="185">
        <f t="shared" si="86"/>
        <v>0</v>
      </c>
      <c r="R157" s="185">
        <f t="shared" si="86"/>
        <v>0</v>
      </c>
    </row>
    <row r="158" spans="1:18" x14ac:dyDescent="0.25">
      <c r="C158" s="267"/>
      <c r="E158" s="7" t="s">
        <v>486</v>
      </c>
      <c r="F158" s="243"/>
      <c r="G158" s="184" t="str">
        <f t="shared" ref="G158" si="87">G$273</f>
        <v>£m</v>
      </c>
      <c r="H158" s="243">
        <f>SUM(J158:R158)</f>
        <v>0</v>
      </c>
      <c r="I158" s="243"/>
      <c r="J158" s="243">
        <f t="shared" ref="J158:K158" si="88">SUM(J156:J157)</f>
        <v>0</v>
      </c>
      <c r="K158" s="243">
        <f t="shared" si="88"/>
        <v>0</v>
      </c>
      <c r="L158" s="243">
        <f>SUM(L156:L157)</f>
        <v>0</v>
      </c>
      <c r="M158" s="243">
        <f t="shared" ref="M158:R158" si="89">SUM(M156:M157)</f>
        <v>0</v>
      </c>
      <c r="N158" s="243">
        <f t="shared" si="89"/>
        <v>0</v>
      </c>
      <c r="O158" s="243">
        <f t="shared" si="89"/>
        <v>0</v>
      </c>
      <c r="P158" s="243">
        <f t="shared" si="89"/>
        <v>0</v>
      </c>
      <c r="Q158" s="243">
        <f t="shared" si="89"/>
        <v>0</v>
      </c>
      <c r="R158" s="243">
        <f t="shared" si="89"/>
        <v>0</v>
      </c>
    </row>
    <row r="159" spans="1:18" x14ac:dyDescent="0.25"/>
    <row r="160" spans="1:18" x14ac:dyDescent="0.25">
      <c r="C160" s="267"/>
      <c r="E160" s="7" t="str">
        <f xml:space="preserve"> E$158</f>
        <v>Total True up Nominal revenue to company</v>
      </c>
      <c r="F160" s="243">
        <f t="shared" ref="F160:R160" si="90" xml:space="preserve"> F$158</f>
        <v>0</v>
      </c>
      <c r="G160" s="184" t="str">
        <f t="shared" si="90"/>
        <v>£m</v>
      </c>
      <c r="H160" s="243">
        <f t="shared" si="90"/>
        <v>0</v>
      </c>
      <c r="I160" s="243">
        <f t="shared" si="90"/>
        <v>0</v>
      </c>
      <c r="J160" s="243">
        <f t="shared" si="90"/>
        <v>0</v>
      </c>
      <c r="K160" s="243">
        <f t="shared" si="90"/>
        <v>0</v>
      </c>
      <c r="L160" s="243">
        <f t="shared" si="90"/>
        <v>0</v>
      </c>
      <c r="M160" s="243">
        <f t="shared" si="90"/>
        <v>0</v>
      </c>
      <c r="N160" s="243">
        <f t="shared" si="90"/>
        <v>0</v>
      </c>
      <c r="O160" s="243">
        <f t="shared" si="90"/>
        <v>0</v>
      </c>
      <c r="P160" s="243">
        <f t="shared" si="90"/>
        <v>0</v>
      </c>
      <c r="Q160" s="243">
        <f t="shared" si="90"/>
        <v>0</v>
      </c>
      <c r="R160" s="243">
        <f t="shared" si="90"/>
        <v>0</v>
      </c>
    </row>
    <row r="161" spans="1:16383" x14ac:dyDescent="0.25">
      <c r="E161" s="7" t="str">
        <f t="shared" ref="E161:R161" si="91" xml:space="preserve"> E$109</f>
        <v>Total nominal revenue company should have received</v>
      </c>
      <c r="F161" s="184">
        <f t="shared" si="91"/>
        <v>0</v>
      </c>
      <c r="G161" s="184" t="str">
        <f t="shared" si="91"/>
        <v>£m</v>
      </c>
      <c r="H161" s="184">
        <f t="shared" si="91"/>
        <v>0</v>
      </c>
      <c r="I161" s="184">
        <f t="shared" si="91"/>
        <v>0</v>
      </c>
      <c r="J161" s="184">
        <f t="shared" si="91"/>
        <v>0</v>
      </c>
      <c r="K161" s="184">
        <f t="shared" si="91"/>
        <v>0</v>
      </c>
      <c r="L161" s="184">
        <f t="shared" si="91"/>
        <v>0</v>
      </c>
      <c r="M161" s="184">
        <f t="shared" si="91"/>
        <v>0</v>
      </c>
      <c r="N161" s="184">
        <f t="shared" si="91"/>
        <v>0</v>
      </c>
      <c r="O161" s="184">
        <f t="shared" si="91"/>
        <v>0</v>
      </c>
      <c r="P161" s="184">
        <f t="shared" si="91"/>
        <v>0</v>
      </c>
      <c r="Q161" s="184">
        <f t="shared" si="91"/>
        <v>0</v>
      </c>
      <c r="R161" s="184">
        <f t="shared" si="91"/>
        <v>0</v>
      </c>
    </row>
    <row r="162" spans="1:16383" s="185" customFormat="1" x14ac:dyDescent="0.25">
      <c r="A162" s="251"/>
      <c r="B162" s="181"/>
      <c r="C162" s="182"/>
      <c r="D162" s="252"/>
      <c r="E162" s="7" t="s">
        <v>487</v>
      </c>
      <c r="G162" s="185" t="str">
        <f t="shared" ref="G162" si="92" xml:space="preserve"> G$271</f>
        <v>£m</v>
      </c>
      <c r="H162" s="185">
        <f xml:space="preserve"> SUM(J162:R162)</f>
        <v>0</v>
      </c>
      <c r="J162" s="185">
        <f t="shared" ref="J162:K162" si="93">J161-J160</f>
        <v>0</v>
      </c>
      <c r="K162" s="185">
        <f t="shared" si="93"/>
        <v>0</v>
      </c>
      <c r="L162" s="185">
        <f>L161-L160</f>
        <v>0</v>
      </c>
      <c r="M162" s="185">
        <f>M161-M160</f>
        <v>0</v>
      </c>
      <c r="N162" s="185">
        <f t="shared" ref="N162:R162" si="94">N161-N160</f>
        <v>0</v>
      </c>
      <c r="O162" s="185">
        <f t="shared" si="94"/>
        <v>0</v>
      </c>
      <c r="P162" s="185">
        <f t="shared" si="94"/>
        <v>0</v>
      </c>
      <c r="Q162" s="185">
        <f t="shared" si="94"/>
        <v>0</v>
      </c>
      <c r="R162" s="185">
        <f t="shared" si="94"/>
        <v>0</v>
      </c>
    </row>
    <row r="163" spans="1:16383" x14ac:dyDescent="0.25"/>
    <row r="164" spans="1:16383" s="185" customFormat="1" x14ac:dyDescent="0.25">
      <c r="A164" s="251"/>
      <c r="B164" s="181"/>
      <c r="C164" s="182"/>
      <c r="D164" s="252"/>
      <c r="E164" s="7" t="str">
        <f xml:space="preserve"> E$162</f>
        <v>Value of True up nominal</v>
      </c>
      <c r="F164" s="185">
        <f t="shared" ref="F164:R164" si="95" xml:space="preserve"> F$162</f>
        <v>0</v>
      </c>
      <c r="G164" s="185" t="str">
        <f t="shared" si="95"/>
        <v>£m</v>
      </c>
      <c r="H164" s="185">
        <f t="shared" si="95"/>
        <v>0</v>
      </c>
      <c r="I164" s="185">
        <f t="shared" si="95"/>
        <v>0</v>
      </c>
      <c r="J164" s="185">
        <f t="shared" si="95"/>
        <v>0</v>
      </c>
      <c r="K164" s="185">
        <f t="shared" si="95"/>
        <v>0</v>
      </c>
      <c r="L164" s="185">
        <f t="shared" si="95"/>
        <v>0</v>
      </c>
      <c r="M164" s="185">
        <f t="shared" si="95"/>
        <v>0</v>
      </c>
      <c r="N164" s="185">
        <f t="shared" si="95"/>
        <v>0</v>
      </c>
      <c r="O164" s="185">
        <f t="shared" si="95"/>
        <v>0</v>
      </c>
      <c r="P164" s="185">
        <f t="shared" si="95"/>
        <v>0</v>
      </c>
      <c r="Q164" s="185">
        <f t="shared" si="95"/>
        <v>0</v>
      </c>
      <c r="R164" s="185">
        <f t="shared" si="95"/>
        <v>0</v>
      </c>
    </row>
    <row r="165" spans="1:16383" s="91" customFormat="1" x14ac:dyDescent="0.25">
      <c r="A165" s="170"/>
      <c r="B165" s="165"/>
      <c r="C165" s="166"/>
      <c r="D165" s="171"/>
      <c r="E165" s="7" t="str">
        <f t="shared" ref="E165:R165" si="96" xml:space="preserve"> E$117</f>
        <v>Difference in nominal revenue</v>
      </c>
      <c r="F165" s="247">
        <f t="shared" si="96"/>
        <v>0</v>
      </c>
      <c r="G165" s="247" t="str">
        <f t="shared" si="96"/>
        <v>£m</v>
      </c>
      <c r="H165" s="247">
        <f t="shared" si="96"/>
        <v>0</v>
      </c>
      <c r="I165" s="247">
        <f t="shared" si="96"/>
        <v>0</v>
      </c>
      <c r="J165" s="247">
        <f t="shared" si="96"/>
        <v>0</v>
      </c>
      <c r="K165" s="247">
        <f t="shared" si="96"/>
        <v>0</v>
      </c>
      <c r="L165" s="247">
        <f t="shared" si="96"/>
        <v>0</v>
      </c>
      <c r="M165" s="247">
        <f t="shared" si="96"/>
        <v>0</v>
      </c>
      <c r="N165" s="247">
        <f t="shared" si="96"/>
        <v>0</v>
      </c>
      <c r="O165" s="247">
        <f t="shared" si="96"/>
        <v>0</v>
      </c>
      <c r="P165" s="247">
        <f t="shared" si="96"/>
        <v>0</v>
      </c>
      <c r="Q165" s="247">
        <f t="shared" si="96"/>
        <v>0</v>
      </c>
      <c r="R165" s="247">
        <f t="shared" si="9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97">IF( ABS(J164-J165)&gt;ChK_Tol,1,0)</f>
        <v>0</v>
      </c>
      <c r="K166" s="225">
        <f t="shared" si="97"/>
        <v>0</v>
      </c>
      <c r="L166" s="225">
        <f t="shared" si="97"/>
        <v>0</v>
      </c>
      <c r="M166" s="225">
        <f t="shared" si="97"/>
        <v>0</v>
      </c>
      <c r="N166" s="225">
        <f t="shared" si="97"/>
        <v>0</v>
      </c>
      <c r="O166" s="225">
        <f t="shared" si="97"/>
        <v>0</v>
      </c>
      <c r="P166" s="225">
        <f t="shared" si="97"/>
        <v>0</v>
      </c>
      <c r="Q166" s="225">
        <f t="shared" si="97"/>
        <v>0</v>
      </c>
      <c r="R166" s="225">
        <f t="shared" si="97"/>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98" xml:space="preserve"> N164=N165</f>
        <v>1</v>
      </c>
      <c r="O167" s="186" t="b">
        <f t="shared" si="98"/>
        <v>1</v>
      </c>
      <c r="P167" s="186" t="b">
        <f t="shared" si="98"/>
        <v>1</v>
      </c>
      <c r="Q167" s="186" t="b">
        <f t="shared" si="9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99">F$37</f>
        <v>0</v>
      </c>
      <c r="G170" s="168" t="str">
        <f t="shared" si="99"/>
        <v>£m</v>
      </c>
      <c r="H170" s="246">
        <f t="shared" si="99"/>
        <v>0</v>
      </c>
      <c r="I170" s="246">
        <f t="shared" si="99"/>
        <v>0</v>
      </c>
      <c r="J170" s="185">
        <f t="shared" si="99"/>
        <v>0</v>
      </c>
      <c r="K170" s="185">
        <f t="shared" si="99"/>
        <v>0</v>
      </c>
      <c r="L170" s="185">
        <f t="shared" si="99"/>
        <v>0</v>
      </c>
      <c r="M170" s="185">
        <f t="shared" si="99"/>
        <v>0</v>
      </c>
      <c r="N170" s="185">
        <f t="shared" si="99"/>
        <v>0</v>
      </c>
      <c r="O170" s="185">
        <f t="shared" si="99"/>
        <v>0</v>
      </c>
      <c r="P170" s="185">
        <f t="shared" si="99"/>
        <v>0</v>
      </c>
      <c r="Q170" s="185">
        <f t="shared" si="99"/>
        <v>0</v>
      </c>
      <c r="R170" s="185">
        <f t="shared" si="99"/>
        <v>0</v>
      </c>
    </row>
    <row r="171" spans="1:16383" x14ac:dyDescent="0.25">
      <c r="A171" s="49"/>
      <c r="D171" s="57"/>
      <c r="E171" s="7" t="str">
        <f>E$89 &amp; " - nominal"</f>
        <v>Actual Nominal RCV balance END - nominal</v>
      </c>
      <c r="F171" s="185">
        <f t="shared" ref="F171:R171" si="100">F$89</f>
        <v>0</v>
      </c>
      <c r="G171" s="168" t="str">
        <f t="shared" si="100"/>
        <v>£m</v>
      </c>
      <c r="H171" s="246">
        <f t="shared" si="100"/>
        <v>0</v>
      </c>
      <c r="I171" s="246">
        <f t="shared" si="100"/>
        <v>0</v>
      </c>
      <c r="J171" s="185">
        <f t="shared" si="100"/>
        <v>0</v>
      </c>
      <c r="K171" s="185">
        <f t="shared" si="100"/>
        <v>0</v>
      </c>
      <c r="L171" s="185">
        <f t="shared" si="100"/>
        <v>0</v>
      </c>
      <c r="M171" s="185">
        <f t="shared" si="100"/>
        <v>0</v>
      </c>
      <c r="N171" s="185">
        <f t="shared" si="100"/>
        <v>0</v>
      </c>
      <c r="O171" s="185">
        <f t="shared" si="100"/>
        <v>0</v>
      </c>
      <c r="P171" s="185">
        <f t="shared" si="100"/>
        <v>0</v>
      </c>
      <c r="Q171" s="185">
        <f t="shared" si="100"/>
        <v>0</v>
      </c>
      <c r="R171" s="185">
        <f t="shared" si="10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1" xml:space="preserve"> IF(K$172 = 0, 0, K170 / K$172)</f>
        <v>0</v>
      </c>
      <c r="L174" s="185">
        <f t="shared" si="101"/>
        <v>0</v>
      </c>
      <c r="M174" s="185">
        <f t="shared" si="101"/>
        <v>0</v>
      </c>
      <c r="N174" s="185">
        <f t="shared" si="101"/>
        <v>0</v>
      </c>
      <c r="O174" s="185">
        <f t="shared" si="101"/>
        <v>0</v>
      </c>
      <c r="P174" s="185">
        <f t="shared" si="101"/>
        <v>0</v>
      </c>
      <c r="Q174" s="185">
        <f t="shared" si="101"/>
        <v>0</v>
      </c>
      <c r="R174" s="185">
        <f t="shared" si="101"/>
        <v>0</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02" xml:space="preserve"> IF(J$173 = 0, 0, J171 / J$173)</f>
        <v>0</v>
      </c>
      <c r="K175" s="185">
        <f t="shared" si="102"/>
        <v>0</v>
      </c>
      <c r="L175" s="185">
        <f xml:space="preserve"> IF(L$173 = 0, 0, L171 / L$173)</f>
        <v>0</v>
      </c>
      <c r="M175" s="185">
        <f t="shared" ref="M175:R175" si="103" xml:space="preserve"> IF(M$173 = 0, 0, M171 / M$173)</f>
        <v>0</v>
      </c>
      <c r="N175" s="185">
        <f t="shared" si="103"/>
        <v>0</v>
      </c>
      <c r="O175" s="185">
        <f t="shared" si="103"/>
        <v>0</v>
      </c>
      <c r="P175" s="185">
        <f t="shared" si="103"/>
        <v>0</v>
      </c>
      <c r="Q175" s="185">
        <f t="shared" si="103"/>
        <v>0</v>
      </c>
      <c r="R175" s="185">
        <f t="shared" si="10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04">K175-K174</f>
        <v>0</v>
      </c>
      <c r="L176" s="185">
        <f t="shared" si="104"/>
        <v>0</v>
      </c>
      <c r="M176" s="185">
        <f t="shared" si="104"/>
        <v>0</v>
      </c>
      <c r="N176" s="185">
        <f t="shared" si="104"/>
        <v>0</v>
      </c>
      <c r="O176" s="185">
        <f t="shared" si="104"/>
        <v>0</v>
      </c>
      <c r="P176" s="185">
        <f t="shared" si="104"/>
        <v>0</v>
      </c>
      <c r="Q176" s="185">
        <f t="shared" si="104"/>
        <v>0</v>
      </c>
      <c r="R176" s="185">
        <f t="shared" si="104"/>
        <v>0</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5">F$176</f>
        <v>0</v>
      </c>
      <c r="G178" s="168" t="str">
        <f t="shared" si="105"/>
        <v>£m</v>
      </c>
      <c r="H178" s="246">
        <f t="shared" si="105"/>
        <v>0</v>
      </c>
      <c r="I178" s="246">
        <f t="shared" si="105"/>
        <v>0</v>
      </c>
      <c r="J178" s="185">
        <f t="shared" si="105"/>
        <v>0</v>
      </c>
      <c r="K178" s="185">
        <f t="shared" si="105"/>
        <v>0</v>
      </c>
      <c r="L178" s="185">
        <f t="shared" si="105"/>
        <v>0</v>
      </c>
      <c r="M178" s="185">
        <f t="shared" si="105"/>
        <v>0</v>
      </c>
      <c r="N178" s="185">
        <f t="shared" si="105"/>
        <v>0</v>
      </c>
      <c r="O178" s="185">
        <f t="shared" si="105"/>
        <v>0</v>
      </c>
      <c r="P178" s="185">
        <f t="shared" si="105"/>
        <v>0</v>
      </c>
      <c r="Q178" s="185">
        <f t="shared" si="105"/>
        <v>0</v>
      </c>
      <c r="R178" s="185">
        <f t="shared" si="105"/>
        <v>0</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567</v>
      </c>
      <c r="F180" s="260"/>
      <c r="G180" s="260" t="s">
        <v>238</v>
      </c>
      <c r="H180" s="259"/>
      <c r="I180" s="260"/>
      <c r="J180" s="260">
        <f xml:space="preserve"> J178 * J179</f>
        <v>0</v>
      </c>
      <c r="K180" s="260">
        <f t="shared" ref="K180:P180" si="106" xml:space="preserve"> K178 * K179</f>
        <v>0</v>
      </c>
      <c r="L180" s="260">
        <f t="shared" si="106"/>
        <v>0</v>
      </c>
      <c r="M180" s="260">
        <f t="shared" si="106"/>
        <v>0</v>
      </c>
      <c r="N180" s="260">
        <f t="shared" si="106"/>
        <v>0</v>
      </c>
      <c r="O180" s="260">
        <f t="shared" si="106"/>
        <v>0</v>
      </c>
      <c r="P180" s="260">
        <f t="shared" si="106"/>
        <v>0</v>
      </c>
      <c r="Q180" s="260">
        <f xml:space="preserve"> Q178 * Q179</f>
        <v>0</v>
      </c>
      <c r="R180" s="260">
        <f t="shared" ref="R180" si="10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08">F$136</f>
        <v>0</v>
      </c>
      <c r="G184" s="184" t="str">
        <f t="shared" si="108"/>
        <v>£m</v>
      </c>
      <c r="H184" s="184">
        <f t="shared" si="108"/>
        <v>0</v>
      </c>
      <c r="I184" s="184">
        <f t="shared" si="108"/>
        <v>0</v>
      </c>
      <c r="J184" s="184">
        <f t="shared" si="108"/>
        <v>0</v>
      </c>
      <c r="K184" s="184">
        <f t="shared" si="108"/>
        <v>0</v>
      </c>
      <c r="L184" s="184">
        <f t="shared" si="108"/>
        <v>0</v>
      </c>
      <c r="M184" s="184">
        <f t="shared" si="108"/>
        <v>0</v>
      </c>
      <c r="N184" s="184">
        <f t="shared" si="108"/>
        <v>0</v>
      </c>
      <c r="O184" s="184">
        <f t="shared" si="108"/>
        <v>0</v>
      </c>
      <c r="P184" s="184">
        <f t="shared" si="108"/>
        <v>0</v>
      </c>
      <c r="Q184" s="184">
        <f t="shared" si="108"/>
        <v>0</v>
      </c>
      <c r="R184" s="184">
        <f t="shared" si="10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09">F$154</f>
        <v>0</v>
      </c>
      <c r="G185" s="184" t="str">
        <f t="shared" si="109"/>
        <v>£m</v>
      </c>
      <c r="H185" s="184">
        <f t="shared" si="109"/>
        <v>0</v>
      </c>
      <c r="I185" s="184">
        <f t="shared" si="109"/>
        <v>0</v>
      </c>
      <c r="J185" s="184">
        <f t="shared" si="109"/>
        <v>0</v>
      </c>
      <c r="K185" s="184">
        <f t="shared" si="109"/>
        <v>0</v>
      </c>
      <c r="L185" s="184">
        <f t="shared" si="109"/>
        <v>0</v>
      </c>
      <c r="M185" s="184">
        <f t="shared" si="109"/>
        <v>0</v>
      </c>
      <c r="N185" s="184">
        <f t="shared" si="109"/>
        <v>0</v>
      </c>
      <c r="O185" s="184">
        <f t="shared" si="109"/>
        <v>0</v>
      </c>
      <c r="P185" s="184">
        <f t="shared" si="109"/>
        <v>0</v>
      </c>
      <c r="Q185" s="184">
        <f t="shared" si="109"/>
        <v>0</v>
      </c>
      <c r="R185" s="184">
        <f t="shared" si="10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0">F$158</f>
        <v>0</v>
      </c>
      <c r="G186" s="184" t="str">
        <f t="shared" si="110"/>
        <v>£m</v>
      </c>
      <c r="H186" s="184">
        <f t="shared" si="110"/>
        <v>0</v>
      </c>
      <c r="I186" s="184">
        <f t="shared" si="110"/>
        <v>0</v>
      </c>
      <c r="J186" s="184">
        <f t="shared" si="110"/>
        <v>0</v>
      </c>
      <c r="K186" s="184">
        <f t="shared" si="110"/>
        <v>0</v>
      </c>
      <c r="L186" s="184">
        <f t="shared" si="110"/>
        <v>0</v>
      </c>
      <c r="M186" s="184">
        <f t="shared" si="110"/>
        <v>0</v>
      </c>
      <c r="N186" s="184">
        <f t="shared" si="110"/>
        <v>0</v>
      </c>
      <c r="O186" s="184">
        <f t="shared" si="110"/>
        <v>0</v>
      </c>
      <c r="P186" s="184">
        <f t="shared" si="110"/>
        <v>0</v>
      </c>
      <c r="Q186" s="184">
        <f t="shared" si="110"/>
        <v>0</v>
      </c>
      <c r="R186" s="184">
        <f t="shared" si="11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1">F$107</f>
        <v>0</v>
      </c>
      <c r="G187" s="184" t="str">
        <f t="shared" si="111"/>
        <v>£m</v>
      </c>
      <c r="H187" s="184">
        <f t="shared" si="111"/>
        <v>0</v>
      </c>
      <c r="I187" s="184">
        <f t="shared" si="111"/>
        <v>0</v>
      </c>
      <c r="J187" s="184">
        <f t="shared" si="111"/>
        <v>0</v>
      </c>
      <c r="K187" s="184">
        <f t="shared" si="111"/>
        <v>0</v>
      </c>
      <c r="L187" s="184">
        <f t="shared" si="111"/>
        <v>0</v>
      </c>
      <c r="M187" s="184">
        <f t="shared" si="111"/>
        <v>0</v>
      </c>
      <c r="N187" s="184">
        <f t="shared" si="111"/>
        <v>0</v>
      </c>
      <c r="O187" s="184">
        <f t="shared" si="111"/>
        <v>0</v>
      </c>
      <c r="P187" s="184">
        <f t="shared" si="111"/>
        <v>0</v>
      </c>
      <c r="Q187" s="184">
        <f t="shared" si="111"/>
        <v>0</v>
      </c>
      <c r="R187" s="184">
        <f t="shared" si="11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2">F$108</f>
        <v>0</v>
      </c>
      <c r="G188" s="184" t="str">
        <f t="shared" si="112"/>
        <v>£m</v>
      </c>
      <c r="H188" s="184">
        <f t="shared" si="112"/>
        <v>0</v>
      </c>
      <c r="I188" s="184">
        <f t="shared" si="112"/>
        <v>0</v>
      </c>
      <c r="J188" s="184">
        <f t="shared" si="112"/>
        <v>0</v>
      </c>
      <c r="K188" s="184">
        <f t="shared" si="112"/>
        <v>0</v>
      </c>
      <c r="L188" s="184">
        <f t="shared" si="112"/>
        <v>0</v>
      </c>
      <c r="M188" s="184">
        <f t="shared" si="112"/>
        <v>0</v>
      </c>
      <c r="N188" s="184">
        <f t="shared" si="112"/>
        <v>0</v>
      </c>
      <c r="O188" s="184">
        <f t="shared" si="112"/>
        <v>0</v>
      </c>
      <c r="P188" s="184">
        <f t="shared" si="112"/>
        <v>0</v>
      </c>
      <c r="Q188" s="184">
        <f t="shared" si="112"/>
        <v>0</v>
      </c>
      <c r="R188" s="184">
        <f t="shared" si="11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3">F$109</f>
        <v>0</v>
      </c>
      <c r="G189" s="184" t="str">
        <f t="shared" si="113"/>
        <v>£m</v>
      </c>
      <c r="H189" s="184">
        <f t="shared" si="113"/>
        <v>0</v>
      </c>
      <c r="I189" s="184">
        <f t="shared" si="113"/>
        <v>0</v>
      </c>
      <c r="J189" s="184">
        <f t="shared" si="113"/>
        <v>0</v>
      </c>
      <c r="K189" s="184">
        <f t="shared" si="113"/>
        <v>0</v>
      </c>
      <c r="L189" s="184">
        <f t="shared" si="113"/>
        <v>0</v>
      </c>
      <c r="M189" s="184">
        <f t="shared" si="113"/>
        <v>0</v>
      </c>
      <c r="N189" s="184">
        <f t="shared" si="113"/>
        <v>0</v>
      </c>
      <c r="O189" s="184">
        <f t="shared" si="113"/>
        <v>0</v>
      </c>
      <c r="P189" s="184">
        <f t="shared" si="113"/>
        <v>0</v>
      </c>
      <c r="Q189" s="184">
        <f t="shared" si="113"/>
        <v>0</v>
      </c>
      <c r="R189" s="184">
        <f t="shared" si="11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4" xml:space="preserve"> E184 &amp; "- real"</f>
        <v>True up Nominal RCV run-off- real</v>
      </c>
      <c r="F192" s="185"/>
      <c r="G192" s="185" t="str">
        <f t="shared" ref="G192:G197" si="115">G$273</f>
        <v>£m</v>
      </c>
      <c r="H192" s="243">
        <f t="shared" ref="H192:H197" si="116">SUM(J192:R192)</f>
        <v>0</v>
      </c>
      <c r="I192" s="185"/>
      <c r="J192" s="185">
        <f xml:space="preserve"> IF(J$190 = 0, 0, J184 / J$190)</f>
        <v>0</v>
      </c>
      <c r="K192" s="185">
        <f t="shared" ref="K192:R192" si="117" xml:space="preserve"> IF(K$190 = 0, 0, K184 / K$190)</f>
        <v>0</v>
      </c>
      <c r="L192" s="185">
        <f t="shared" si="117"/>
        <v>0</v>
      </c>
      <c r="M192" s="185">
        <f t="shared" si="117"/>
        <v>0</v>
      </c>
      <c r="N192" s="185">
        <f t="shared" si="117"/>
        <v>0</v>
      </c>
      <c r="O192" s="185">
        <f t="shared" si="117"/>
        <v>0</v>
      </c>
      <c r="P192" s="185">
        <f t="shared" si="117"/>
        <v>0</v>
      </c>
      <c r="Q192" s="185">
        <f t="shared" si="117"/>
        <v>0</v>
      </c>
      <c r="R192" s="185">
        <f t="shared" si="117"/>
        <v>0</v>
      </c>
      <c r="S192" s="92"/>
      <c r="T192" s="92"/>
      <c r="U192" s="92"/>
      <c r="V192" s="92"/>
      <c r="W192" s="92"/>
      <c r="X192" s="92"/>
      <c r="Y192" s="92"/>
      <c r="Z192" s="92"/>
    </row>
    <row r="193" spans="1:26" s="91" customFormat="1" x14ac:dyDescent="0.25">
      <c r="A193" s="340"/>
      <c r="B193" s="341"/>
      <c r="C193" s="342"/>
      <c r="D193" s="343"/>
      <c r="E193" s="7" t="str">
        <f t="shared" si="114"/>
        <v>True up Nominal return- real</v>
      </c>
      <c r="F193" s="185"/>
      <c r="G193" s="185" t="str">
        <f t="shared" si="115"/>
        <v>£m</v>
      </c>
      <c r="H193" s="243">
        <f t="shared" si="116"/>
        <v>0</v>
      </c>
      <c r="I193" s="185"/>
      <c r="J193" s="185">
        <f t="shared" ref="J193:R193" si="118" xml:space="preserve"> IF(J$190 = 0, 0, J185 / J$190)</f>
        <v>0</v>
      </c>
      <c r="K193" s="185">
        <f t="shared" si="118"/>
        <v>0</v>
      </c>
      <c r="L193" s="185">
        <f t="shared" si="118"/>
        <v>0</v>
      </c>
      <c r="M193" s="185">
        <f t="shared" si="118"/>
        <v>0</v>
      </c>
      <c r="N193" s="185">
        <f t="shared" si="118"/>
        <v>0</v>
      </c>
      <c r="O193" s="185">
        <f t="shared" si="118"/>
        <v>0</v>
      </c>
      <c r="P193" s="185">
        <f t="shared" si="118"/>
        <v>0</v>
      </c>
      <c r="Q193" s="185">
        <f t="shared" si="118"/>
        <v>0</v>
      </c>
      <c r="R193" s="185">
        <f t="shared" si="118"/>
        <v>0</v>
      </c>
      <c r="S193" s="92"/>
      <c r="T193" s="92"/>
      <c r="U193" s="92"/>
      <c r="V193" s="92"/>
      <c r="W193" s="92"/>
      <c r="X193" s="92"/>
      <c r="Y193" s="92"/>
      <c r="Z193" s="92"/>
    </row>
    <row r="194" spans="1:26" s="91" customFormat="1" x14ac:dyDescent="0.25">
      <c r="A194" s="340"/>
      <c r="B194" s="341"/>
      <c r="C194" s="342"/>
      <c r="D194" s="343"/>
      <c r="E194" s="7" t="str">
        <f t="shared" si="114"/>
        <v>Total True up Nominal revenue to company- real</v>
      </c>
      <c r="F194" s="185"/>
      <c r="G194" s="185" t="str">
        <f t="shared" si="115"/>
        <v>£m</v>
      </c>
      <c r="H194" s="243">
        <f t="shared" si="116"/>
        <v>0</v>
      </c>
      <c r="I194" s="185"/>
      <c r="J194" s="185">
        <f t="shared" ref="J194:R194" si="119" xml:space="preserve"> IF(J$190 = 0, 0, J186 / J$190)</f>
        <v>0</v>
      </c>
      <c r="K194" s="185">
        <f t="shared" si="119"/>
        <v>0</v>
      </c>
      <c r="L194" s="185">
        <f t="shared" si="119"/>
        <v>0</v>
      </c>
      <c r="M194" s="185">
        <f t="shared" si="119"/>
        <v>0</v>
      </c>
      <c r="N194" s="185">
        <f t="shared" si="119"/>
        <v>0</v>
      </c>
      <c r="O194" s="185">
        <f t="shared" si="119"/>
        <v>0</v>
      </c>
      <c r="P194" s="185">
        <f t="shared" si="119"/>
        <v>0</v>
      </c>
      <c r="Q194" s="185">
        <f xml:space="preserve"> IF(Q$190 = 0, 0, Q186 / Q$190)</f>
        <v>0</v>
      </c>
      <c r="R194" s="185">
        <f t="shared" si="119"/>
        <v>0</v>
      </c>
      <c r="S194" s="92"/>
      <c r="T194" s="92"/>
      <c r="U194" s="92"/>
      <c r="V194" s="92"/>
      <c r="W194" s="92"/>
      <c r="X194" s="92"/>
      <c r="Y194" s="92"/>
      <c r="Z194" s="92"/>
    </row>
    <row r="195" spans="1:26" s="91" customFormat="1" x14ac:dyDescent="0.25">
      <c r="A195" s="340"/>
      <c r="B195" s="341"/>
      <c r="C195" s="342"/>
      <c r="D195" s="343"/>
      <c r="E195" s="7" t="str">
        <f t="shared" si="114"/>
        <v>RCV run-off company should have received - nominal- real</v>
      </c>
      <c r="F195" s="185"/>
      <c r="G195" s="185" t="str">
        <f t="shared" si="115"/>
        <v>£m</v>
      </c>
      <c r="H195" s="243">
        <f t="shared" si="116"/>
        <v>0</v>
      </c>
      <c r="I195" s="185"/>
      <c r="J195" s="185">
        <f t="shared" ref="J195:L195" si="120" xml:space="preserve"> IF(J$191 = 0, 0, J187 / J$191)</f>
        <v>0</v>
      </c>
      <c r="K195" s="185">
        <f t="shared" si="120"/>
        <v>0</v>
      </c>
      <c r="L195" s="185">
        <f t="shared" si="120"/>
        <v>0</v>
      </c>
      <c r="M195" s="185">
        <f xml:space="preserve"> IF(M$191 = 0, 0, M187 / M$191)</f>
        <v>0</v>
      </c>
      <c r="N195" s="185">
        <f t="shared" ref="N195:Q195" si="121" xml:space="preserve"> IF(N$191 = 0, 0, N187 / N$191)</f>
        <v>0</v>
      </c>
      <c r="O195" s="185">
        <f t="shared" si="121"/>
        <v>0</v>
      </c>
      <c r="P195" s="185">
        <f t="shared" si="121"/>
        <v>0</v>
      </c>
      <c r="Q195" s="185">
        <f t="shared" si="121"/>
        <v>0</v>
      </c>
      <c r="R195" s="185">
        <f t="shared" ref="R195" si="12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14"/>
        <v>Nominal return company should have received- real</v>
      </c>
      <c r="F196" s="185"/>
      <c r="G196" s="185" t="str">
        <f t="shared" si="115"/>
        <v>£m</v>
      </c>
      <c r="H196" s="243">
        <f t="shared" si="116"/>
        <v>0</v>
      </c>
      <c r="I196" s="185"/>
      <c r="J196" s="185">
        <f t="shared" ref="J196:L196" si="123" xml:space="preserve"> IF(J$191 = 0, 0, J188 / J$191)</f>
        <v>0</v>
      </c>
      <c r="K196" s="185">
        <f t="shared" si="123"/>
        <v>0</v>
      </c>
      <c r="L196" s="185">
        <f t="shared" si="123"/>
        <v>0</v>
      </c>
      <c r="M196" s="185">
        <f xml:space="preserve"> IF(M$191 = 0, 0, M188 / M$191)</f>
        <v>0</v>
      </c>
      <c r="N196" s="185">
        <f t="shared" ref="N196:Q196" si="124" xml:space="preserve"> IF(N$191 = 0, 0, N188 / N$191)</f>
        <v>0</v>
      </c>
      <c r="O196" s="185">
        <f t="shared" si="124"/>
        <v>0</v>
      </c>
      <c r="P196" s="185">
        <f t="shared" si="124"/>
        <v>0</v>
      </c>
      <c r="Q196" s="185">
        <f t="shared" si="124"/>
        <v>0</v>
      </c>
      <c r="R196" s="185">
        <f t="shared" ref="R196" si="12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14"/>
        <v>Total nominal revenue company should have received- real</v>
      </c>
      <c r="F197" s="185"/>
      <c r="G197" s="185" t="str">
        <f t="shared" si="115"/>
        <v>£m</v>
      </c>
      <c r="H197" s="243">
        <f t="shared" si="116"/>
        <v>0</v>
      </c>
      <c r="I197" s="185"/>
      <c r="J197" s="185">
        <f t="shared" ref="J197:L197" si="126" xml:space="preserve"> IF(J$191 = 0, 0, J189 / J$191)</f>
        <v>0</v>
      </c>
      <c r="K197" s="185">
        <f t="shared" si="126"/>
        <v>0</v>
      </c>
      <c r="L197" s="185">
        <f t="shared" si="126"/>
        <v>0</v>
      </c>
      <c r="M197" s="185">
        <f xml:space="preserve"> IF(M$191 = 0, 0, M189 / M$191)</f>
        <v>0</v>
      </c>
      <c r="N197" s="185">
        <f t="shared" ref="N197:Q197" si="127" xml:space="preserve"> IF(N$191 = 0, 0, N189 / N$191)</f>
        <v>0</v>
      </c>
      <c r="O197" s="185">
        <f t="shared" si="127"/>
        <v>0</v>
      </c>
      <c r="P197" s="185">
        <f t="shared" si="127"/>
        <v>0</v>
      </c>
      <c r="Q197" s="185">
        <f t="shared" si="127"/>
        <v>0</v>
      </c>
      <c r="R197" s="185">
        <f t="shared" ref="R197" si="12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29">F$192</f>
        <v>0</v>
      </c>
      <c r="G199" s="184" t="str">
        <f t="shared" si="129"/>
        <v>£m</v>
      </c>
      <c r="H199" s="243">
        <f t="shared" si="129"/>
        <v>0</v>
      </c>
      <c r="I199" s="184">
        <f t="shared" si="129"/>
        <v>0</v>
      </c>
      <c r="J199" s="184">
        <f t="shared" si="129"/>
        <v>0</v>
      </c>
      <c r="K199" s="184">
        <f t="shared" si="129"/>
        <v>0</v>
      </c>
      <c r="L199" s="184">
        <f t="shared" si="129"/>
        <v>0</v>
      </c>
      <c r="M199" s="185">
        <f t="shared" si="129"/>
        <v>0</v>
      </c>
      <c r="N199" s="184">
        <f t="shared" si="129"/>
        <v>0</v>
      </c>
      <c r="O199" s="184">
        <f t="shared" si="129"/>
        <v>0</v>
      </c>
      <c r="P199" s="184">
        <f t="shared" si="129"/>
        <v>0</v>
      </c>
      <c r="Q199" s="184">
        <f t="shared" si="129"/>
        <v>0</v>
      </c>
      <c r="R199" s="184">
        <f t="shared" si="12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0">F$195</f>
        <v>0</v>
      </c>
      <c r="G200" s="184" t="str">
        <f t="shared" si="130"/>
        <v>£m</v>
      </c>
      <c r="H200" s="243">
        <f t="shared" si="130"/>
        <v>0</v>
      </c>
      <c r="I200" s="184">
        <f t="shared" si="130"/>
        <v>0</v>
      </c>
      <c r="J200" s="184">
        <f t="shared" si="130"/>
        <v>0</v>
      </c>
      <c r="K200" s="184">
        <f t="shared" si="130"/>
        <v>0</v>
      </c>
      <c r="L200" s="184">
        <f t="shared" si="130"/>
        <v>0</v>
      </c>
      <c r="M200" s="185">
        <f t="shared" si="130"/>
        <v>0</v>
      </c>
      <c r="N200" s="184">
        <f t="shared" si="130"/>
        <v>0</v>
      </c>
      <c r="O200" s="184">
        <f t="shared" si="130"/>
        <v>0</v>
      </c>
      <c r="P200" s="184">
        <f t="shared" si="130"/>
        <v>0</v>
      </c>
      <c r="Q200" s="184">
        <f t="shared" si="130"/>
        <v>0</v>
      </c>
      <c r="R200" s="184">
        <f t="shared" si="130"/>
        <v>0</v>
      </c>
      <c r="S200" s="92"/>
      <c r="T200" s="92"/>
      <c r="U200" s="92"/>
      <c r="V200" s="92"/>
      <c r="W200" s="92"/>
      <c r="X200" s="92"/>
      <c r="Y200" s="92"/>
      <c r="Z200" s="92"/>
    </row>
    <row r="201" spans="1:26" x14ac:dyDescent="0.25">
      <c r="C201" s="267"/>
      <c r="E201" s="7" t="s">
        <v>495</v>
      </c>
      <c r="G201" s="7" t="s">
        <v>238</v>
      </c>
      <c r="H201" s="185">
        <f xml:space="preserve"> SUM(J201:R201)</f>
        <v>0</v>
      </c>
      <c r="I201" s="185"/>
      <c r="J201" s="184">
        <f t="shared" ref="J201:K201" si="131">J200-J199</f>
        <v>0</v>
      </c>
      <c r="K201" s="184">
        <f t="shared" si="131"/>
        <v>0</v>
      </c>
      <c r="L201" s="184">
        <f>L200-L199</f>
        <v>0</v>
      </c>
      <c r="M201" s="185">
        <f>M200-M199</f>
        <v>0</v>
      </c>
      <c r="N201" s="184">
        <f t="shared" ref="N201:R201" si="132">N200-N199</f>
        <v>0</v>
      </c>
      <c r="O201" s="184">
        <f t="shared" si="132"/>
        <v>0</v>
      </c>
      <c r="P201" s="184">
        <f t="shared" si="132"/>
        <v>0</v>
      </c>
      <c r="Q201" s="184">
        <f t="shared" si="132"/>
        <v>0</v>
      </c>
      <c r="R201" s="184">
        <f t="shared" si="132"/>
        <v>0</v>
      </c>
    </row>
    <row r="202" spans="1:26" x14ac:dyDescent="0.25"/>
    <row r="203" spans="1:26" x14ac:dyDescent="0.25">
      <c r="C203" s="267"/>
      <c r="E203" s="7" t="str">
        <f>E$193</f>
        <v>True up Nominal return- real</v>
      </c>
      <c r="F203" s="7">
        <f t="shared" ref="F203:R203" si="133">F$193</f>
        <v>0</v>
      </c>
      <c r="G203" s="7" t="str">
        <f t="shared" si="133"/>
        <v>£m</v>
      </c>
      <c r="H203" s="185">
        <f t="shared" si="133"/>
        <v>0</v>
      </c>
      <c r="I203" s="185">
        <f t="shared" si="133"/>
        <v>0</v>
      </c>
      <c r="J203" s="184">
        <f t="shared" si="133"/>
        <v>0</v>
      </c>
      <c r="K203" s="184">
        <f t="shared" si="133"/>
        <v>0</v>
      </c>
      <c r="L203" s="184">
        <f t="shared" si="133"/>
        <v>0</v>
      </c>
      <c r="M203" s="185">
        <f t="shared" si="133"/>
        <v>0</v>
      </c>
      <c r="N203" s="184">
        <f t="shared" si="133"/>
        <v>0</v>
      </c>
      <c r="O203" s="184">
        <f t="shared" si="133"/>
        <v>0</v>
      </c>
      <c r="P203" s="184">
        <f t="shared" si="133"/>
        <v>0</v>
      </c>
      <c r="Q203" s="184">
        <f t="shared" si="133"/>
        <v>0</v>
      </c>
      <c r="R203" s="184">
        <f t="shared" si="133"/>
        <v>0</v>
      </c>
    </row>
    <row r="204" spans="1:26" x14ac:dyDescent="0.25">
      <c r="C204" s="267"/>
      <c r="E204" s="7" t="str">
        <f>E$196</f>
        <v>Nominal return company should have received- real</v>
      </c>
      <c r="F204" s="7">
        <f t="shared" ref="F204:R204" si="134">F$196</f>
        <v>0</v>
      </c>
      <c r="G204" s="7" t="str">
        <f t="shared" si="134"/>
        <v>£m</v>
      </c>
      <c r="H204" s="185">
        <f t="shared" si="134"/>
        <v>0</v>
      </c>
      <c r="I204" s="185">
        <f t="shared" si="134"/>
        <v>0</v>
      </c>
      <c r="J204" s="184">
        <f t="shared" si="134"/>
        <v>0</v>
      </c>
      <c r="K204" s="184">
        <f t="shared" si="134"/>
        <v>0</v>
      </c>
      <c r="L204" s="184">
        <f t="shared" si="134"/>
        <v>0</v>
      </c>
      <c r="M204" s="185">
        <f t="shared" si="134"/>
        <v>0</v>
      </c>
      <c r="N204" s="184">
        <f t="shared" si="134"/>
        <v>0</v>
      </c>
      <c r="O204" s="184">
        <f t="shared" si="134"/>
        <v>0</v>
      </c>
      <c r="P204" s="184">
        <f t="shared" si="134"/>
        <v>0</v>
      </c>
      <c r="Q204" s="184">
        <f t="shared" si="134"/>
        <v>0</v>
      </c>
      <c r="R204" s="184">
        <f t="shared" si="134"/>
        <v>0</v>
      </c>
    </row>
    <row r="205" spans="1:26" x14ac:dyDescent="0.25">
      <c r="C205" s="267"/>
      <c r="E205" s="7" t="s">
        <v>496</v>
      </c>
      <c r="G205" s="7" t="s">
        <v>238</v>
      </c>
      <c r="H205" s="185">
        <f xml:space="preserve"> SUM(J205:R205)</f>
        <v>0</v>
      </c>
      <c r="I205" s="185"/>
      <c r="J205" s="184">
        <f t="shared" ref="J205:K205" si="135">J204-J203</f>
        <v>0</v>
      </c>
      <c r="K205" s="184">
        <f t="shared" si="135"/>
        <v>0</v>
      </c>
      <c r="L205" s="184">
        <f>L204-L203</f>
        <v>0</v>
      </c>
      <c r="M205" s="185">
        <f>M204-M203</f>
        <v>0</v>
      </c>
      <c r="N205" s="184">
        <f t="shared" ref="N205" si="136">N204-N203</f>
        <v>0</v>
      </c>
      <c r="O205" s="184">
        <f>O204-O203</f>
        <v>0</v>
      </c>
      <c r="P205" s="184">
        <f t="shared" ref="P205:R205" si="137">P204-P203</f>
        <v>0</v>
      </c>
      <c r="Q205" s="184">
        <f t="shared" si="137"/>
        <v>0</v>
      </c>
      <c r="R205" s="184">
        <f t="shared" si="137"/>
        <v>0</v>
      </c>
    </row>
    <row r="206" spans="1:26" x14ac:dyDescent="0.25"/>
    <row r="207" spans="1:26" x14ac:dyDescent="0.25">
      <c r="C207" s="267"/>
      <c r="E207" s="7" t="str">
        <f>E$194</f>
        <v>Total True up Nominal revenue to company- real</v>
      </c>
      <c r="F207" s="7">
        <f t="shared" ref="F207:R207" si="138">F$194</f>
        <v>0</v>
      </c>
      <c r="G207" s="7" t="str">
        <f t="shared" si="138"/>
        <v>£m</v>
      </c>
      <c r="H207" s="185">
        <f t="shared" si="138"/>
        <v>0</v>
      </c>
      <c r="I207" s="185">
        <f t="shared" si="138"/>
        <v>0</v>
      </c>
      <c r="J207" s="184">
        <f t="shared" si="138"/>
        <v>0</v>
      </c>
      <c r="K207" s="184">
        <f t="shared" si="138"/>
        <v>0</v>
      </c>
      <c r="L207" s="184">
        <f t="shared" si="138"/>
        <v>0</v>
      </c>
      <c r="M207" s="185">
        <f t="shared" si="138"/>
        <v>0</v>
      </c>
      <c r="N207" s="184">
        <f t="shared" si="138"/>
        <v>0</v>
      </c>
      <c r="O207" s="184">
        <f t="shared" si="138"/>
        <v>0</v>
      </c>
      <c r="P207" s="184">
        <f t="shared" si="138"/>
        <v>0</v>
      </c>
      <c r="Q207" s="184">
        <f t="shared" si="138"/>
        <v>0</v>
      </c>
      <c r="R207" s="184">
        <f t="shared" si="138"/>
        <v>0</v>
      </c>
    </row>
    <row r="208" spans="1:26" x14ac:dyDescent="0.25">
      <c r="C208" s="267"/>
      <c r="E208" s="7" t="str">
        <f>E$197</f>
        <v>Total nominal revenue company should have received- real</v>
      </c>
      <c r="F208" s="7">
        <f t="shared" ref="F208:R208" si="139">F$197</f>
        <v>0</v>
      </c>
      <c r="G208" s="7" t="str">
        <f t="shared" si="139"/>
        <v>£m</v>
      </c>
      <c r="H208" s="185">
        <f t="shared" si="139"/>
        <v>0</v>
      </c>
      <c r="I208" s="185">
        <f t="shared" si="139"/>
        <v>0</v>
      </c>
      <c r="J208" s="184">
        <f t="shared" si="139"/>
        <v>0</v>
      </c>
      <c r="K208" s="184">
        <f t="shared" si="139"/>
        <v>0</v>
      </c>
      <c r="L208" s="184">
        <f t="shared" si="139"/>
        <v>0</v>
      </c>
      <c r="M208" s="185">
        <f t="shared" si="139"/>
        <v>0</v>
      </c>
      <c r="N208" s="184">
        <f t="shared" si="139"/>
        <v>0</v>
      </c>
      <c r="O208" s="184">
        <f t="shared" si="139"/>
        <v>0</v>
      </c>
      <c r="P208" s="184">
        <f t="shared" si="139"/>
        <v>0</v>
      </c>
      <c r="Q208" s="184">
        <f t="shared" si="139"/>
        <v>0</v>
      </c>
      <c r="R208" s="184">
        <f t="shared" si="139"/>
        <v>0</v>
      </c>
    </row>
    <row r="209" spans="1:18" x14ac:dyDescent="0.25">
      <c r="C209" s="267"/>
      <c r="E209" s="7" t="s">
        <v>497</v>
      </c>
      <c r="G209" s="7" t="s">
        <v>238</v>
      </c>
      <c r="H209" s="185">
        <f xml:space="preserve"> SUM(J209:R209)</f>
        <v>0</v>
      </c>
      <c r="I209" s="185"/>
      <c r="J209" s="184">
        <f t="shared" ref="J209:K209" si="140">J208-J207</f>
        <v>0</v>
      </c>
      <c r="K209" s="184">
        <f t="shared" si="140"/>
        <v>0</v>
      </c>
      <c r="L209" s="184">
        <f>L208-L207</f>
        <v>0</v>
      </c>
      <c r="M209" s="185">
        <f>M208-M207</f>
        <v>0</v>
      </c>
      <c r="N209" s="184">
        <f t="shared" ref="N209:R209" si="141">N208-N207</f>
        <v>0</v>
      </c>
      <c r="O209" s="184">
        <f t="shared" si="141"/>
        <v>0</v>
      </c>
      <c r="P209" s="184">
        <f t="shared" si="141"/>
        <v>0</v>
      </c>
      <c r="Q209" s="184">
        <f t="shared" si="141"/>
        <v>0</v>
      </c>
      <c r="R209" s="184">
        <f t="shared" si="14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InpR!E$116</f>
        <v>WACC real on RCV - CPI(H) bf and additions - DMMY</v>
      </c>
      <c r="F213" s="205">
        <f>InpR!F$116</f>
        <v>0</v>
      </c>
      <c r="G213" s="223" t="str">
        <f>InpR!G$116</f>
        <v>%</v>
      </c>
      <c r="H213" s="205">
        <f>InpR!H$116</f>
        <v>0</v>
      </c>
      <c r="I213" s="205">
        <f>InpR!I$116</f>
        <v>0</v>
      </c>
      <c r="J213" s="205">
        <f>InpR!J$116</f>
        <v>0</v>
      </c>
      <c r="K213" s="205">
        <f>InpR!K$116</f>
        <v>0</v>
      </c>
      <c r="L213" s="205">
        <f>InpR!L$116</f>
        <v>0</v>
      </c>
      <c r="M213" s="205">
        <f>InpR!M$116</f>
        <v>2.9195763820156317E-2</v>
      </c>
      <c r="N213" s="205">
        <f>InpR!N$116</f>
        <v>2.9195763820156317E-2</v>
      </c>
      <c r="O213" s="205">
        <f>InpR!O$116</f>
        <v>2.9195763820156317E-2</v>
      </c>
      <c r="P213" s="205">
        <f>InpR!P$116</f>
        <v>2.9195763820156317E-2</v>
      </c>
      <c r="Q213" s="205">
        <f>InpR!Q$116</f>
        <v>2.9195763820156317E-2</v>
      </c>
      <c r="R213" s="205">
        <f>InpR!R$116</f>
        <v>0</v>
      </c>
    </row>
    <row r="214" spans="1:18" x14ac:dyDescent="0.25">
      <c r="E214" s="7" t="s">
        <v>499</v>
      </c>
      <c r="G214" s="7" t="s">
        <v>500</v>
      </c>
      <c r="J214" s="254">
        <f xml:space="preserve"> (1 + J$289) ^ J$288</f>
        <v>1</v>
      </c>
      <c r="K214" s="254">
        <f t="shared" ref="K214:R214" si="142" xml:space="preserve"> (1 + K$289) ^ K$288</f>
        <v>1</v>
      </c>
      <c r="L214" s="254">
        <f t="shared" si="142"/>
        <v>1</v>
      </c>
      <c r="M214" s="254">
        <f t="shared" si="142"/>
        <v>1.1219976826191176</v>
      </c>
      <c r="N214" s="254">
        <f t="shared" si="142"/>
        <v>1.0901693555893588</v>
      </c>
      <c r="O214" s="254">
        <f t="shared" si="142"/>
        <v>1.059243920265355</v>
      </c>
      <c r="P214" s="254">
        <f t="shared" si="142"/>
        <v>1.0291957638201563</v>
      </c>
      <c r="Q214" s="254">
        <f t="shared" si="142"/>
        <v>1</v>
      </c>
      <c r="R214" s="254">
        <f t="shared" si="142"/>
        <v>1</v>
      </c>
    </row>
    <row r="215" spans="1:18" x14ac:dyDescent="0.25"/>
    <row r="216" spans="1:18" x14ac:dyDescent="0.25">
      <c r="B216" s="61" t="s">
        <v>501</v>
      </c>
    </row>
    <row r="217" spans="1:18" x14ac:dyDescent="0.25">
      <c r="C217" s="267"/>
      <c r="E217" s="7" t="str">
        <f>E$201</f>
        <v>Value of True up run-off - real</v>
      </c>
      <c r="F217" s="7">
        <f t="shared" ref="F217:R217" si="143">F$201</f>
        <v>0</v>
      </c>
      <c r="G217" s="7" t="str">
        <f t="shared" si="143"/>
        <v>£m</v>
      </c>
      <c r="H217" s="185">
        <f t="shared" si="143"/>
        <v>0</v>
      </c>
      <c r="I217" s="185">
        <f t="shared" si="143"/>
        <v>0</v>
      </c>
      <c r="J217" s="184">
        <f t="shared" si="143"/>
        <v>0</v>
      </c>
      <c r="K217" s="184">
        <f t="shared" si="143"/>
        <v>0</v>
      </c>
      <c r="L217" s="184">
        <f t="shared" si="143"/>
        <v>0</v>
      </c>
      <c r="M217" s="185">
        <f t="shared" si="143"/>
        <v>0</v>
      </c>
      <c r="N217" s="184">
        <f t="shared" si="143"/>
        <v>0</v>
      </c>
      <c r="O217" s="184">
        <f t="shared" si="143"/>
        <v>0</v>
      </c>
      <c r="P217" s="184">
        <f t="shared" si="143"/>
        <v>0</v>
      </c>
      <c r="Q217" s="184">
        <f t="shared" si="143"/>
        <v>0</v>
      </c>
      <c r="R217" s="184">
        <f t="shared" si="143"/>
        <v>0</v>
      </c>
    </row>
    <row r="218" spans="1:18" x14ac:dyDescent="0.25">
      <c r="E218" s="7" t="str">
        <f>E$290</f>
        <v xml:space="preserve">Time value of money factor </v>
      </c>
      <c r="F218" s="184">
        <f t="shared" ref="F218:R218" si="144">F$290</f>
        <v>0</v>
      </c>
      <c r="G218" s="7" t="str">
        <f t="shared" si="144"/>
        <v>Factor</v>
      </c>
      <c r="H218" s="246">
        <f t="shared" si="144"/>
        <v>0</v>
      </c>
      <c r="I218" s="246">
        <f t="shared" si="144"/>
        <v>0</v>
      </c>
      <c r="J218" s="184">
        <f t="shared" si="144"/>
        <v>1</v>
      </c>
      <c r="K218" s="184">
        <f t="shared" si="144"/>
        <v>1</v>
      </c>
      <c r="L218" s="184">
        <f t="shared" si="144"/>
        <v>1</v>
      </c>
      <c r="M218" s="185">
        <f t="shared" si="144"/>
        <v>1.1219976826191176</v>
      </c>
      <c r="N218" s="184">
        <f t="shared" si="144"/>
        <v>1.0901693555893588</v>
      </c>
      <c r="O218" s="184">
        <f t="shared" si="144"/>
        <v>1.059243920265355</v>
      </c>
      <c r="P218" s="184">
        <f t="shared" si="144"/>
        <v>1.0291957638201563</v>
      </c>
      <c r="Q218" s="184">
        <f t="shared" si="144"/>
        <v>1</v>
      </c>
      <c r="R218" s="184">
        <f t="shared" si="144"/>
        <v>1</v>
      </c>
    </row>
    <row r="219" spans="1:18" x14ac:dyDescent="0.25">
      <c r="A219" s="49"/>
      <c r="C219" s="267"/>
      <c r="D219" s="57"/>
      <c r="E219" s="7" t="s">
        <v>568</v>
      </c>
      <c r="G219" s="7" t="s">
        <v>238</v>
      </c>
      <c r="H219" s="185">
        <f xml:space="preserve"> SUM(J219:R219)</f>
        <v>0</v>
      </c>
      <c r="J219" s="185">
        <f xml:space="preserve"> J217 * J218</f>
        <v>0</v>
      </c>
      <c r="K219" s="185">
        <f t="shared" ref="K219:R219" si="145" xml:space="preserve"> K217 * K218</f>
        <v>0</v>
      </c>
      <c r="L219" s="185">
        <f t="shared" si="145"/>
        <v>0</v>
      </c>
      <c r="M219" s="185">
        <f t="shared" si="145"/>
        <v>0</v>
      </c>
      <c r="N219" s="185">
        <f t="shared" si="145"/>
        <v>0</v>
      </c>
      <c r="O219" s="185">
        <f t="shared" si="145"/>
        <v>0</v>
      </c>
      <c r="P219" s="185">
        <f t="shared" si="145"/>
        <v>0</v>
      </c>
      <c r="Q219" s="185">
        <f t="shared" si="145"/>
        <v>0</v>
      </c>
      <c r="R219" s="185">
        <f t="shared" si="145"/>
        <v>0</v>
      </c>
    </row>
    <row r="220" spans="1:18" x14ac:dyDescent="0.25"/>
    <row r="221" spans="1:18" x14ac:dyDescent="0.25">
      <c r="B221" s="61" t="s">
        <v>503</v>
      </c>
    </row>
    <row r="222" spans="1:18" x14ac:dyDescent="0.25">
      <c r="E222" s="7" t="str">
        <f>E205</f>
        <v>Value of True up return - real</v>
      </c>
      <c r="F222" s="184">
        <f t="shared" ref="F222:R222" si="146">F205</f>
        <v>0</v>
      </c>
      <c r="G222" s="7" t="str">
        <f t="shared" si="146"/>
        <v>£m</v>
      </c>
      <c r="H222" s="246">
        <f t="shared" si="146"/>
        <v>0</v>
      </c>
      <c r="I222" s="246">
        <f t="shared" si="146"/>
        <v>0</v>
      </c>
      <c r="J222" s="184">
        <f t="shared" si="146"/>
        <v>0</v>
      </c>
      <c r="K222" s="184">
        <f t="shared" si="146"/>
        <v>0</v>
      </c>
      <c r="L222" s="184">
        <f t="shared" si="146"/>
        <v>0</v>
      </c>
      <c r="M222" s="185">
        <f t="shared" si="146"/>
        <v>0</v>
      </c>
      <c r="N222" s="184">
        <f t="shared" si="146"/>
        <v>0</v>
      </c>
      <c r="O222" s="184">
        <f t="shared" si="146"/>
        <v>0</v>
      </c>
      <c r="P222" s="184">
        <f t="shared" si="146"/>
        <v>0</v>
      </c>
      <c r="Q222" s="184">
        <f t="shared" si="146"/>
        <v>0</v>
      </c>
      <c r="R222" s="184">
        <f t="shared" si="146"/>
        <v>0</v>
      </c>
    </row>
    <row r="223" spans="1:18" x14ac:dyDescent="0.25">
      <c r="E223" s="7" t="str">
        <f>E$290</f>
        <v xml:space="preserve">Time value of money factor </v>
      </c>
      <c r="F223" s="184">
        <f t="shared" ref="F223:R223" si="147">F$290</f>
        <v>0</v>
      </c>
      <c r="G223" s="7" t="str">
        <f t="shared" si="147"/>
        <v>Factor</v>
      </c>
      <c r="H223" s="246">
        <f t="shared" si="147"/>
        <v>0</v>
      </c>
      <c r="I223" s="246">
        <f t="shared" si="147"/>
        <v>0</v>
      </c>
      <c r="J223" s="184">
        <f t="shared" si="147"/>
        <v>1</v>
      </c>
      <c r="K223" s="184">
        <f t="shared" si="147"/>
        <v>1</v>
      </c>
      <c r="L223" s="184">
        <f t="shared" si="147"/>
        <v>1</v>
      </c>
      <c r="M223" s="185">
        <f t="shared" si="147"/>
        <v>1.1219976826191176</v>
      </c>
      <c r="N223" s="184">
        <f t="shared" si="147"/>
        <v>1.0901693555893588</v>
      </c>
      <c r="O223" s="184">
        <f t="shared" si="147"/>
        <v>1.059243920265355</v>
      </c>
      <c r="P223" s="184">
        <f t="shared" si="147"/>
        <v>1.0291957638201563</v>
      </c>
      <c r="Q223" s="184">
        <f t="shared" si="147"/>
        <v>1</v>
      </c>
      <c r="R223" s="184">
        <f t="shared" si="147"/>
        <v>1</v>
      </c>
    </row>
    <row r="224" spans="1:18" x14ac:dyDescent="0.25">
      <c r="A224" s="49"/>
      <c r="C224" s="267"/>
      <c r="D224" s="57"/>
      <c r="E224" s="7" t="s">
        <v>569</v>
      </c>
      <c r="G224" s="7" t="s">
        <v>238</v>
      </c>
      <c r="H224" s="185">
        <f xml:space="preserve"> SUM(J224:R224)</f>
        <v>0</v>
      </c>
      <c r="J224" s="185">
        <f xml:space="preserve"> J222 * J223</f>
        <v>0</v>
      </c>
      <c r="K224" s="185">
        <f t="shared" ref="K224:M224" si="148" xml:space="preserve"> K222 * K223</f>
        <v>0</v>
      </c>
      <c r="L224" s="185">
        <f t="shared" si="148"/>
        <v>0</v>
      </c>
      <c r="M224" s="185">
        <f t="shared" si="148"/>
        <v>0</v>
      </c>
      <c r="N224" s="185">
        <f xml:space="preserve"> N222 * N223</f>
        <v>0</v>
      </c>
      <c r="O224" s="185">
        <f t="shared" ref="O224:R224" si="149" xml:space="preserve"> O222 * O223</f>
        <v>0</v>
      </c>
      <c r="P224" s="185">
        <f t="shared" si="149"/>
        <v>0</v>
      </c>
      <c r="Q224" s="185">
        <f t="shared" si="149"/>
        <v>0</v>
      </c>
      <c r="R224" s="185">
        <f t="shared" si="149"/>
        <v>0</v>
      </c>
    </row>
    <row r="225" spans="1:26" x14ac:dyDescent="0.25"/>
    <row r="226" spans="1:26" x14ac:dyDescent="0.25">
      <c r="B226" s="61" t="s">
        <v>505</v>
      </c>
    </row>
    <row r="227" spans="1:26" x14ac:dyDescent="0.25">
      <c r="E227" s="7" t="str">
        <f xml:space="preserve"> E$219</f>
        <v>Revenue adjustment for RCV run-off - real - DMMY</v>
      </c>
      <c r="F227" s="184">
        <f t="shared" ref="F227:R227" si="150" xml:space="preserve"> F$219</f>
        <v>0</v>
      </c>
      <c r="G227" s="7" t="str">
        <f t="shared" si="150"/>
        <v>£m</v>
      </c>
      <c r="H227" s="246">
        <f t="shared" si="150"/>
        <v>0</v>
      </c>
      <c r="I227" s="246">
        <f t="shared" si="150"/>
        <v>0</v>
      </c>
      <c r="J227" s="184">
        <f t="shared" si="150"/>
        <v>0</v>
      </c>
      <c r="K227" s="184">
        <f t="shared" si="150"/>
        <v>0</v>
      </c>
      <c r="L227" s="184">
        <f t="shared" si="150"/>
        <v>0</v>
      </c>
      <c r="M227" s="185">
        <f t="shared" si="150"/>
        <v>0</v>
      </c>
      <c r="N227" s="184">
        <f t="shared" si="150"/>
        <v>0</v>
      </c>
      <c r="O227" s="184">
        <f t="shared" si="150"/>
        <v>0</v>
      </c>
      <c r="P227" s="184">
        <f t="shared" si="150"/>
        <v>0</v>
      </c>
      <c r="Q227" s="184">
        <f t="shared" si="150"/>
        <v>0</v>
      </c>
      <c r="R227" s="184">
        <f t="shared" si="150"/>
        <v>0</v>
      </c>
    </row>
    <row r="228" spans="1:26" x14ac:dyDescent="0.25">
      <c r="E228" s="7" t="str">
        <f xml:space="preserve"> E$224</f>
        <v>Revenue adjustment for return - real - DMMY</v>
      </c>
      <c r="F228" s="184">
        <f t="shared" ref="F228:R228" si="151" xml:space="preserve"> F$224</f>
        <v>0</v>
      </c>
      <c r="G228" s="7" t="str">
        <f t="shared" si="151"/>
        <v>£m</v>
      </c>
      <c r="H228" s="246">
        <f t="shared" si="151"/>
        <v>0</v>
      </c>
      <c r="I228" s="246">
        <f t="shared" si="151"/>
        <v>0</v>
      </c>
      <c r="J228" s="184">
        <f t="shared" si="151"/>
        <v>0</v>
      </c>
      <c r="K228" s="184">
        <f t="shared" si="151"/>
        <v>0</v>
      </c>
      <c r="L228" s="184">
        <f t="shared" si="151"/>
        <v>0</v>
      </c>
      <c r="M228" s="185">
        <f t="shared" si="151"/>
        <v>0</v>
      </c>
      <c r="N228" s="184">
        <f t="shared" si="151"/>
        <v>0</v>
      </c>
      <c r="O228" s="184">
        <f t="shared" si="151"/>
        <v>0</v>
      </c>
      <c r="P228" s="184">
        <f t="shared" si="151"/>
        <v>0</v>
      </c>
      <c r="Q228" s="184">
        <f t="shared" si="151"/>
        <v>0</v>
      </c>
      <c r="R228" s="184">
        <f t="shared" si="151"/>
        <v>0</v>
      </c>
    </row>
    <row r="229" spans="1:26" x14ac:dyDescent="0.25">
      <c r="A229" s="49"/>
      <c r="C229" s="267"/>
      <c r="D229" s="57"/>
      <c r="E229" s="7" t="s">
        <v>570</v>
      </c>
      <c r="G229" s="7" t="s">
        <v>238</v>
      </c>
      <c r="H229" s="185">
        <f xml:space="preserve"> SUM(J229:R229)</f>
        <v>0</v>
      </c>
      <c r="J229" s="185">
        <f xml:space="preserve"> J$227 + J$228</f>
        <v>0</v>
      </c>
      <c r="K229" s="185">
        <f t="shared" ref="K229:R229" si="152" xml:space="preserve"> K$227 + K$228</f>
        <v>0</v>
      </c>
      <c r="L229" s="185">
        <f t="shared" si="152"/>
        <v>0</v>
      </c>
      <c r="M229" s="185">
        <f t="shared" si="152"/>
        <v>0</v>
      </c>
      <c r="N229" s="185">
        <f t="shared" si="152"/>
        <v>0</v>
      </c>
      <c r="O229" s="185">
        <f t="shared" si="152"/>
        <v>0</v>
      </c>
      <c r="P229" s="185">
        <f t="shared" si="152"/>
        <v>0</v>
      </c>
      <c r="Q229" s="185">
        <f t="shared" si="152"/>
        <v>0</v>
      </c>
      <c r="R229" s="185">
        <f t="shared" si="15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53">SUM(J238:J239)</f>
        <v>0</v>
      </c>
      <c r="K240" s="172">
        <f t="shared" si="153"/>
        <v>0</v>
      </c>
      <c r="L240" s="172">
        <f t="shared" si="153"/>
        <v>3.1522140708501789E-2</v>
      </c>
      <c r="M240" s="172">
        <f>SUM(M238:M239)</f>
        <v>2.4258091513662761E-2</v>
      </c>
      <c r="N240" s="172">
        <f t="shared" ref="N240:R240" si="154">SUM(N238:N239)</f>
        <v>2.9587648685595269E-2</v>
      </c>
      <c r="O240" s="172">
        <f t="shared" si="154"/>
        <v>3.150368327076003E-2</v>
      </c>
      <c r="P240" s="172">
        <f t="shared" si="154"/>
        <v>3.2000000000000695E-2</v>
      </c>
      <c r="Q240" s="172">
        <f t="shared" si="154"/>
        <v>3.1999999999999806E-2</v>
      </c>
      <c r="R240" s="172">
        <f t="shared" si="15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5" xml:space="preserve"> E$258</f>
        <v>2019-20 wedge Nominal RCV balance BEG</v>
      </c>
      <c r="F242" s="244">
        <f xml:space="preserve"> F$258</f>
        <v>0</v>
      </c>
      <c r="G242" s="244" t="str">
        <f t="shared" si="155"/>
        <v>£m</v>
      </c>
      <c r="H242" s="244">
        <f t="shared" si="155"/>
        <v>0</v>
      </c>
      <c r="I242" s="244">
        <f t="shared" si="155"/>
        <v>0</v>
      </c>
      <c r="J242" s="244">
        <f t="shared" si="155"/>
        <v>0</v>
      </c>
      <c r="K242" s="244">
        <f t="shared" si="155"/>
        <v>0</v>
      </c>
      <c r="L242" s="244">
        <f t="shared" si="155"/>
        <v>0</v>
      </c>
      <c r="M242" s="244">
        <f t="shared" si="155"/>
        <v>0</v>
      </c>
      <c r="N242" s="244">
        <f t="shared" si="155"/>
        <v>0</v>
      </c>
      <c r="O242" s="244">
        <f t="shared" si="155"/>
        <v>0</v>
      </c>
      <c r="P242" s="244">
        <f t="shared" si="155"/>
        <v>0</v>
      </c>
      <c r="Q242" s="244">
        <f t="shared" si="155"/>
        <v>0</v>
      </c>
      <c r="R242" s="244">
        <f t="shared" si="155"/>
        <v>0</v>
      </c>
    </row>
    <row r="243" spans="1:16383" x14ac:dyDescent="0.25">
      <c r="E243" s="178" t="str">
        <f t="shared" ref="E243:R243" si="156" xml:space="preserve"> E$240</f>
        <v>2019-20 wedge Indexation percentage</v>
      </c>
      <c r="F243" s="178">
        <f t="shared" si="156"/>
        <v>0</v>
      </c>
      <c r="G243" s="178">
        <f t="shared" si="156"/>
        <v>0</v>
      </c>
      <c r="H243" s="178">
        <f t="shared" si="156"/>
        <v>0</v>
      </c>
      <c r="I243" s="178">
        <f t="shared" si="156"/>
        <v>0</v>
      </c>
      <c r="J243" s="178">
        <f t="shared" si="156"/>
        <v>0</v>
      </c>
      <c r="K243" s="178">
        <f t="shared" si="156"/>
        <v>0</v>
      </c>
      <c r="L243" s="178">
        <f t="shared" si="156"/>
        <v>3.1522140708501789E-2</v>
      </c>
      <c r="M243" s="178">
        <f t="shared" si="156"/>
        <v>2.4258091513662761E-2</v>
      </c>
      <c r="N243" s="178">
        <f t="shared" si="156"/>
        <v>2.9587648685595269E-2</v>
      </c>
      <c r="O243" s="178">
        <f t="shared" si="156"/>
        <v>3.150368327076003E-2</v>
      </c>
      <c r="P243" s="178">
        <f t="shared" si="156"/>
        <v>3.2000000000000695E-2</v>
      </c>
      <c r="Q243" s="178">
        <f t="shared" si="156"/>
        <v>3.1999999999999806E-2</v>
      </c>
      <c r="R243" s="178">
        <f t="shared" si="156"/>
        <v>2.9999999999999805E-2</v>
      </c>
    </row>
    <row r="244" spans="1:16383" x14ac:dyDescent="0.25">
      <c r="A244" s="49"/>
      <c r="C244" s="267"/>
      <c r="D244" s="57"/>
      <c r="E244" s="7" t="s">
        <v>510</v>
      </c>
      <c r="G244" s="92" t="s">
        <v>238</v>
      </c>
      <c r="J244" s="321">
        <f>J242*J243</f>
        <v>0</v>
      </c>
      <c r="K244" s="321">
        <f t="shared" ref="K244:L244" si="157">K242*K243</f>
        <v>0</v>
      </c>
      <c r="L244" s="321">
        <f t="shared" si="157"/>
        <v>0</v>
      </c>
      <c r="M244" s="321">
        <f>M242*M243</f>
        <v>0</v>
      </c>
      <c r="N244" s="321">
        <f t="shared" ref="N244:R244" si="158">N242*N243</f>
        <v>0</v>
      </c>
      <c r="O244" s="321">
        <f t="shared" si="158"/>
        <v>0</v>
      </c>
      <c r="P244" s="321">
        <f t="shared" si="158"/>
        <v>0</v>
      </c>
      <c r="Q244" s="321">
        <f t="shared" si="158"/>
        <v>0</v>
      </c>
      <c r="R244" s="321">
        <f t="shared" si="158"/>
        <v>0</v>
      </c>
    </row>
    <row r="245" spans="1:16383" x14ac:dyDescent="0.25"/>
    <row r="246" spans="1:16383" s="205" customFormat="1" x14ac:dyDescent="0.25">
      <c r="A246" s="201"/>
      <c r="B246" s="202"/>
      <c r="C246" s="203"/>
      <c r="D246" s="204"/>
      <c r="E246" s="37" t="str">
        <f xml:space="preserve"> InpR!E$102</f>
        <v>Run-off rate - CPI(H) + RPI wedge - active - DMMY</v>
      </c>
      <c r="F246" s="205">
        <f xml:space="preserve"> InpR!F$102</f>
        <v>0</v>
      </c>
      <c r="G246" s="223" t="str">
        <f xml:space="preserve"> InpR!G$102</f>
        <v>%</v>
      </c>
      <c r="H246" s="205">
        <f xml:space="preserve"> InpR!H$102</f>
        <v>0</v>
      </c>
      <c r="I246" s="205">
        <f xml:space="preserve"> InpR!I$102</f>
        <v>0</v>
      </c>
      <c r="J246" s="205">
        <f xml:space="preserve"> InpR!J$102</f>
        <v>0</v>
      </c>
      <c r="K246" s="205">
        <f xml:space="preserve"> InpR!K$102</f>
        <v>0</v>
      </c>
      <c r="L246" s="205">
        <f xml:space="preserve"> InpR!L$102</f>
        <v>0</v>
      </c>
      <c r="M246" s="205">
        <f xml:space="preserve"> InpR!M$102</f>
        <v>0</v>
      </c>
      <c r="N246" s="205">
        <f xml:space="preserve"> InpR!N$102</f>
        <v>0</v>
      </c>
      <c r="O246" s="205">
        <f xml:space="preserve"> InpR!O$102</f>
        <v>0</v>
      </c>
      <c r="P246" s="205">
        <f xml:space="preserve"> InpR!P$102</f>
        <v>0</v>
      </c>
      <c r="Q246" s="205">
        <f xml:space="preserve"> InpR!Q$102</f>
        <v>0</v>
      </c>
      <c r="R246" s="205">
        <f xml:space="preserve"> InpR!R$102</f>
        <v>0</v>
      </c>
    </row>
    <row r="247" spans="1:16383" s="161" customFormat="1" x14ac:dyDescent="0.25">
      <c r="A247" s="157"/>
      <c r="B247" s="158"/>
      <c r="C247" s="159"/>
      <c r="D247" s="160"/>
      <c r="E247" s="161" t="str">
        <f t="shared" ref="E247:R247" si="159" xml:space="preserve"> E$258</f>
        <v>2019-20 wedge Nominal RCV balance BEG</v>
      </c>
      <c r="F247" s="244">
        <f t="shared" si="159"/>
        <v>0</v>
      </c>
      <c r="G247" s="244" t="str">
        <f t="shared" si="159"/>
        <v>£m</v>
      </c>
      <c r="H247" s="244">
        <f t="shared" si="159"/>
        <v>0</v>
      </c>
      <c r="I247" s="244">
        <f t="shared" si="159"/>
        <v>0</v>
      </c>
      <c r="J247" s="244">
        <f t="shared" si="159"/>
        <v>0</v>
      </c>
      <c r="K247" s="244">
        <f t="shared" si="159"/>
        <v>0</v>
      </c>
      <c r="L247" s="244">
        <f t="shared" si="159"/>
        <v>0</v>
      </c>
      <c r="M247" s="244">
        <f t="shared" si="159"/>
        <v>0</v>
      </c>
      <c r="N247" s="244">
        <f t="shared" si="159"/>
        <v>0</v>
      </c>
      <c r="O247" s="244">
        <f t="shared" si="159"/>
        <v>0</v>
      </c>
      <c r="P247" s="244">
        <f t="shared" si="159"/>
        <v>0</v>
      </c>
      <c r="Q247" s="244">
        <f t="shared" si="159"/>
        <v>0</v>
      </c>
      <c r="R247" s="244">
        <f t="shared" si="159"/>
        <v>0</v>
      </c>
    </row>
    <row r="248" spans="1:16383" s="91" customFormat="1" x14ac:dyDescent="0.25">
      <c r="A248" s="170"/>
      <c r="B248" s="165"/>
      <c r="C248" s="265"/>
      <c r="D248" s="171"/>
      <c r="E248" s="7" t="str">
        <f t="shared" ref="E248:R248" si="160" xml:space="preserve"> E$244</f>
        <v>2019-20 wedge RCV indexation</v>
      </c>
      <c r="F248" s="245">
        <f t="shared" si="160"/>
        <v>0</v>
      </c>
      <c r="G248" s="162" t="str">
        <f t="shared" si="160"/>
        <v>£m</v>
      </c>
      <c r="H248" s="245">
        <f t="shared" si="160"/>
        <v>0</v>
      </c>
      <c r="I248" s="245">
        <f t="shared" si="160"/>
        <v>0</v>
      </c>
      <c r="J248" s="245">
        <f t="shared" si="160"/>
        <v>0</v>
      </c>
      <c r="K248" s="245">
        <f t="shared" si="160"/>
        <v>0</v>
      </c>
      <c r="L248" s="245">
        <f t="shared" si="160"/>
        <v>0</v>
      </c>
      <c r="M248" s="245">
        <f t="shared" si="160"/>
        <v>0</v>
      </c>
      <c r="N248" s="245">
        <f t="shared" si="160"/>
        <v>0</v>
      </c>
      <c r="O248" s="245">
        <f t="shared" si="160"/>
        <v>0</v>
      </c>
      <c r="P248" s="245">
        <f t="shared" si="160"/>
        <v>0</v>
      </c>
      <c r="Q248" s="245">
        <f t="shared" si="160"/>
        <v>0</v>
      </c>
      <c r="R248" s="245">
        <f t="shared" si="160"/>
        <v>0</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1" xml:space="preserve"> (J247+J248) * J246</f>
        <v>0</v>
      </c>
      <c r="K249" s="321">
        <f t="shared" si="161"/>
        <v>0</v>
      </c>
      <c r="L249" s="321">
        <f t="shared" si="161"/>
        <v>0</v>
      </c>
      <c r="M249" s="321">
        <f xml:space="preserve"> (M247+M248) * M246</f>
        <v>0</v>
      </c>
      <c r="N249" s="321">
        <f t="shared" si="161"/>
        <v>0</v>
      </c>
      <c r="O249" s="321">
        <f t="shared" si="161"/>
        <v>0</v>
      </c>
      <c r="P249" s="321">
        <f t="shared" si="161"/>
        <v>0</v>
      </c>
      <c r="Q249" s="321">
        <f t="shared" si="161"/>
        <v>0</v>
      </c>
      <c r="R249" s="321">
        <f t="shared" si="161"/>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F250" s="138"/>
      <c r="G250" s="138"/>
      <c r="H250" s="138"/>
    </row>
    <row r="251" spans="1:16383" s="200" customFormat="1" x14ac:dyDescent="0.25">
      <c r="A251" s="196"/>
      <c r="B251" s="197"/>
      <c r="C251" s="198"/>
      <c r="D251" s="199"/>
      <c r="E251" s="200" t="str">
        <f>InpR!$E$123</f>
        <v>2019-20 RPI-CPIH wedge adjustment at 2017-18 FYA CPIH prices - Dummy</v>
      </c>
      <c r="F251" s="249">
        <f>InpR!$F$123</f>
        <v>0</v>
      </c>
      <c r="G251" s="248" t="str">
        <f>InpR!$G$123</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7" t="s">
        <v>571</v>
      </c>
      <c r="F255" s="246">
        <f xml:space="preserve"> $F$251 * $F$254</f>
        <v>0</v>
      </c>
      <c r="G255" s="320"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2" xml:space="preserve"> I261</f>
        <v>0</v>
      </c>
      <c r="K258" s="241">
        <f t="shared" si="162"/>
        <v>0</v>
      </c>
      <c r="L258" s="241">
        <f t="shared" si="162"/>
        <v>0</v>
      </c>
      <c r="M258" s="241">
        <f t="shared" si="162"/>
        <v>0</v>
      </c>
      <c r="N258" s="241">
        <f t="shared" si="162"/>
        <v>0</v>
      </c>
      <c r="O258" s="241">
        <f t="shared" si="162"/>
        <v>0</v>
      </c>
      <c r="P258" s="241">
        <f t="shared" si="162"/>
        <v>0</v>
      </c>
      <c r="Q258" s="241">
        <f t="shared" si="162"/>
        <v>0</v>
      </c>
      <c r="R258" s="241">
        <f t="shared" si="162"/>
        <v>0</v>
      </c>
    </row>
    <row r="259" spans="1:26" x14ac:dyDescent="0.25">
      <c r="A259" s="47"/>
      <c r="B259" s="51"/>
      <c r="C259" s="111"/>
      <c r="D259" s="56" t="s">
        <v>445</v>
      </c>
      <c r="E259" s="7" t="str">
        <f t="shared" ref="E259:R259" si="163" xml:space="preserve"> E$244</f>
        <v>2019-20 wedge RCV indexation</v>
      </c>
      <c r="F259" s="241">
        <f t="shared" si="163"/>
        <v>0</v>
      </c>
      <c r="G259" s="241" t="str">
        <f t="shared" si="163"/>
        <v>£m</v>
      </c>
      <c r="H259" s="241">
        <f t="shared" si="163"/>
        <v>0</v>
      </c>
      <c r="I259" s="241">
        <f t="shared" si="163"/>
        <v>0</v>
      </c>
      <c r="J259" s="241">
        <f t="shared" si="163"/>
        <v>0</v>
      </c>
      <c r="K259" s="241">
        <f t="shared" si="163"/>
        <v>0</v>
      </c>
      <c r="L259" s="241">
        <f t="shared" si="163"/>
        <v>0</v>
      </c>
      <c r="M259" s="241">
        <f t="shared" si="163"/>
        <v>0</v>
      </c>
      <c r="N259" s="241">
        <f t="shared" si="163"/>
        <v>0</v>
      </c>
      <c r="O259" s="241">
        <f t="shared" si="163"/>
        <v>0</v>
      </c>
      <c r="P259" s="241">
        <f t="shared" si="163"/>
        <v>0</v>
      </c>
      <c r="Q259" s="241">
        <f t="shared" si="163"/>
        <v>0</v>
      </c>
      <c r="R259" s="241">
        <f t="shared" si="163"/>
        <v>0</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64" xml:space="preserve"> IF( J256 = 1, $F255, J258 + J259 - J260)</f>
        <v>0</v>
      </c>
      <c r="K261" s="242">
        <f t="shared" si="164"/>
        <v>0</v>
      </c>
      <c r="L261" s="242">
        <f t="shared" si="164"/>
        <v>0</v>
      </c>
      <c r="M261" s="242">
        <f t="shared" si="164"/>
        <v>0</v>
      </c>
      <c r="N261" s="242">
        <f t="shared" si="164"/>
        <v>0</v>
      </c>
      <c r="O261" s="242">
        <f t="shared" si="164"/>
        <v>0</v>
      </c>
      <c r="P261" s="242">
        <f t="shared" si="164"/>
        <v>0</v>
      </c>
      <c r="Q261" s="242">
        <f t="shared" si="164"/>
        <v>0</v>
      </c>
      <c r="R261" s="242">
        <f t="shared" si="164"/>
        <v>0</v>
      </c>
    </row>
    <row r="262" spans="1:26" x14ac:dyDescent="0.25"/>
    <row r="263" spans="1:26" s="92" customFormat="1" x14ac:dyDescent="0.25">
      <c r="A263" s="164"/>
      <c r="B263" s="165"/>
      <c r="C263" s="166"/>
      <c r="D263" s="167"/>
      <c r="E263" s="179" t="str">
        <f t="shared" ref="E263:R263" si="165" xml:space="preserve"> E$258</f>
        <v>2019-20 wedge Nominal RCV balance BEG</v>
      </c>
      <c r="F263" s="185">
        <f t="shared" si="165"/>
        <v>0</v>
      </c>
      <c r="G263" s="185" t="str">
        <f t="shared" si="165"/>
        <v>£m</v>
      </c>
      <c r="H263" s="185">
        <f t="shared" si="165"/>
        <v>0</v>
      </c>
      <c r="I263" s="185">
        <f t="shared" si="165"/>
        <v>0</v>
      </c>
      <c r="J263" s="185">
        <f t="shared" si="165"/>
        <v>0</v>
      </c>
      <c r="K263" s="185">
        <f t="shared" si="165"/>
        <v>0</v>
      </c>
      <c r="L263" s="185">
        <f t="shared" si="165"/>
        <v>0</v>
      </c>
      <c r="M263" s="185">
        <f t="shared" si="165"/>
        <v>0</v>
      </c>
      <c r="N263" s="185">
        <f t="shared" si="165"/>
        <v>0</v>
      </c>
      <c r="O263" s="185">
        <f t="shared" si="165"/>
        <v>0</v>
      </c>
      <c r="P263" s="185">
        <f t="shared" si="165"/>
        <v>0</v>
      </c>
      <c r="Q263" s="185">
        <f t="shared" si="165"/>
        <v>0</v>
      </c>
      <c r="R263" s="185">
        <f t="shared" si="165"/>
        <v>0</v>
      </c>
    </row>
    <row r="264" spans="1:26" s="91" customFormat="1" x14ac:dyDescent="0.25">
      <c r="A264" s="170"/>
      <c r="B264" s="165"/>
      <c r="C264" s="166"/>
      <c r="D264" s="171"/>
      <c r="E264" s="179" t="str">
        <f t="shared" ref="E264:R264" si="166" xml:space="preserve"> E$244</f>
        <v>2019-20 wedge RCV indexation</v>
      </c>
      <c r="F264" s="184">
        <f t="shared" si="166"/>
        <v>0</v>
      </c>
      <c r="G264" s="185" t="str">
        <f t="shared" si="166"/>
        <v>£m</v>
      </c>
      <c r="H264" s="184">
        <f t="shared" si="166"/>
        <v>0</v>
      </c>
      <c r="I264" s="184">
        <f t="shared" si="166"/>
        <v>0</v>
      </c>
      <c r="J264" s="184">
        <f t="shared" si="166"/>
        <v>0</v>
      </c>
      <c r="K264" s="184">
        <f t="shared" si="166"/>
        <v>0</v>
      </c>
      <c r="L264" s="184">
        <f t="shared" si="166"/>
        <v>0</v>
      </c>
      <c r="M264" s="184">
        <f t="shared" si="166"/>
        <v>0</v>
      </c>
      <c r="N264" s="184">
        <f t="shared" si="166"/>
        <v>0</v>
      </c>
      <c r="O264" s="184">
        <f t="shared" si="166"/>
        <v>0</v>
      </c>
      <c r="P264" s="184">
        <f t="shared" si="166"/>
        <v>0</v>
      </c>
      <c r="Q264" s="184">
        <f t="shared" si="166"/>
        <v>0</v>
      </c>
      <c r="R264" s="184">
        <f t="shared" si="166"/>
        <v>0</v>
      </c>
      <c r="S264" s="92"/>
      <c r="T264" s="92"/>
      <c r="U264" s="92"/>
      <c r="V264" s="92"/>
      <c r="W264" s="92"/>
      <c r="X264" s="92"/>
      <c r="Y264" s="92"/>
      <c r="Z264" s="92"/>
    </row>
    <row r="265" spans="1:26" s="92" customFormat="1" x14ac:dyDescent="0.25">
      <c r="A265" s="164"/>
      <c r="B265" s="165"/>
      <c r="C265" s="166"/>
      <c r="D265" s="167"/>
      <c r="E265" s="179" t="str">
        <f t="shared" ref="E265:R265" si="167" xml:space="preserve"> E$261</f>
        <v>2019-20 wedge Nominal RCV balance END</v>
      </c>
      <c r="F265" s="185">
        <f t="shared" si="167"/>
        <v>0</v>
      </c>
      <c r="G265" s="185" t="str">
        <f t="shared" si="167"/>
        <v>£m</v>
      </c>
      <c r="H265" s="185">
        <f t="shared" si="167"/>
        <v>0</v>
      </c>
      <c r="I265" s="185">
        <f t="shared" si="167"/>
        <v>0</v>
      </c>
      <c r="J265" s="185">
        <f t="shared" si="167"/>
        <v>0</v>
      </c>
      <c r="K265" s="185">
        <f t="shared" si="167"/>
        <v>0</v>
      </c>
      <c r="L265" s="185">
        <f t="shared" si="167"/>
        <v>0</v>
      </c>
      <c r="M265" s="185">
        <f t="shared" si="167"/>
        <v>0</v>
      </c>
      <c r="N265" s="185">
        <f t="shared" si="167"/>
        <v>0</v>
      </c>
      <c r="O265" s="185">
        <f t="shared" si="167"/>
        <v>0</v>
      </c>
      <c r="P265" s="185">
        <f t="shared" si="167"/>
        <v>0</v>
      </c>
      <c r="Q265" s="185">
        <f t="shared" si="167"/>
        <v>0</v>
      </c>
      <c r="R265" s="185">
        <f t="shared" si="167"/>
        <v>0</v>
      </c>
    </row>
    <row r="266" spans="1:26" x14ac:dyDescent="0.25">
      <c r="A266" s="49"/>
      <c r="C266" s="267"/>
      <c r="D266" s="57"/>
      <c r="E266" s="7" t="s">
        <v>517</v>
      </c>
      <c r="F266" s="243"/>
      <c r="G266" s="185" t="s">
        <v>238</v>
      </c>
      <c r="H266" s="243"/>
      <c r="I266" s="243"/>
      <c r="J266" s="185">
        <f t="shared" ref="J266:L266" si="168" xml:space="preserve"> ( (J263+J264) + J265) / 2</f>
        <v>0</v>
      </c>
      <c r="K266" s="185">
        <f t="shared" si="168"/>
        <v>0</v>
      </c>
      <c r="L266" s="185">
        <f t="shared" si="168"/>
        <v>0</v>
      </c>
      <c r="M266" s="185">
        <f xml:space="preserve"> ( (M263+M264) + M265) / 2</f>
        <v>0</v>
      </c>
      <c r="N266" s="185">
        <f t="shared" ref="N266:R266" si="169" xml:space="preserve"> ( (N263+N264) + N265) / 2</f>
        <v>0</v>
      </c>
      <c r="O266" s="185">
        <f t="shared" si="169"/>
        <v>0</v>
      </c>
      <c r="P266" s="185">
        <f t="shared" si="169"/>
        <v>0</v>
      </c>
      <c r="Q266" s="185">
        <f t="shared" si="169"/>
        <v>0</v>
      </c>
      <c r="R266" s="185">
        <f t="shared" si="169"/>
        <v>0</v>
      </c>
    </row>
    <row r="267" spans="1:26" x14ac:dyDescent="0.25"/>
    <row r="268" spans="1:26" s="205" customFormat="1" x14ac:dyDescent="0.25">
      <c r="A268" s="201"/>
      <c r="B268" s="202"/>
      <c r="C268" s="203"/>
      <c r="D268" s="204"/>
      <c r="E268" s="205" t="str">
        <f xml:space="preserve"> InpR!E$109</f>
        <v>WACC on RCV - CPI(H) + RPI wedge bf and additions - DMMY</v>
      </c>
      <c r="F268" s="205">
        <f xml:space="preserve"> InpR!F$109</f>
        <v>0</v>
      </c>
      <c r="G268" s="223" t="str">
        <f xml:space="preserve"> InpR!G$109</f>
        <v>%</v>
      </c>
      <c r="H268" s="205">
        <f xml:space="preserve"> InpR!H$109</f>
        <v>0</v>
      </c>
      <c r="I268" s="205">
        <f xml:space="preserve"> InpR!I$109</f>
        <v>0</v>
      </c>
      <c r="J268" s="205">
        <f xml:space="preserve"> InpR!J$109</f>
        <v>0</v>
      </c>
      <c r="K268" s="205">
        <f xml:space="preserve"> InpR!K$109</f>
        <v>0</v>
      </c>
      <c r="L268" s="205">
        <f xml:space="preserve"> InpR!L$109</f>
        <v>0</v>
      </c>
      <c r="M268" s="205">
        <f xml:space="preserve"> InpR!M$109</f>
        <v>1.920357193840716E-2</v>
      </c>
      <c r="N268" s="205">
        <f xml:space="preserve"> InpR!N$109</f>
        <v>1.920357193840716E-2</v>
      </c>
      <c r="O268" s="205">
        <f xml:space="preserve"> InpR!O$109</f>
        <v>1.920357193840716E-2</v>
      </c>
      <c r="P268" s="205">
        <f xml:space="preserve"> InpR!P$109</f>
        <v>1.920357193840716E-2</v>
      </c>
      <c r="Q268" s="205">
        <f xml:space="preserve"> InpR!Q$109</f>
        <v>1.920357193840716E-2</v>
      </c>
      <c r="R268" s="205">
        <f xml:space="preserve"> InpR!R$109</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0" xml:space="preserve"> E$266</f>
        <v>2019-20 wedge Nominal RCV average balance</v>
      </c>
      <c r="F270" s="184">
        <f t="shared" si="170"/>
        <v>0</v>
      </c>
      <c r="G270" s="184" t="str">
        <f t="shared" si="170"/>
        <v>£m</v>
      </c>
      <c r="H270" s="245">
        <f t="shared" si="170"/>
        <v>0</v>
      </c>
      <c r="I270" s="184">
        <f t="shared" si="170"/>
        <v>0</v>
      </c>
      <c r="J270" s="245">
        <f t="shared" si="170"/>
        <v>0</v>
      </c>
      <c r="K270" s="245">
        <f t="shared" si="170"/>
        <v>0</v>
      </c>
      <c r="L270" s="245">
        <f t="shared" si="170"/>
        <v>0</v>
      </c>
      <c r="M270" s="245">
        <f xml:space="preserve"> M$266</f>
        <v>0</v>
      </c>
      <c r="N270" s="245">
        <f t="shared" si="170"/>
        <v>0</v>
      </c>
      <c r="O270" s="245">
        <f t="shared" si="170"/>
        <v>0</v>
      </c>
      <c r="P270" s="245">
        <f t="shared" si="170"/>
        <v>0</v>
      </c>
      <c r="Q270" s="245">
        <f t="shared" si="170"/>
        <v>0</v>
      </c>
      <c r="R270" s="245">
        <f t="shared" si="170"/>
        <v>0</v>
      </c>
    </row>
    <row r="271" spans="1:26" x14ac:dyDescent="0.25">
      <c r="C271" s="267"/>
      <c r="E271" s="7" t="s">
        <v>518</v>
      </c>
      <c r="F271" s="243"/>
      <c r="G271" s="184" t="s">
        <v>238</v>
      </c>
      <c r="H271" s="243"/>
      <c r="I271" s="243"/>
      <c r="J271" s="245">
        <f t="shared" ref="J271:K271" si="171">J268*J269*J270</f>
        <v>0</v>
      </c>
      <c r="K271" s="245">
        <f t="shared" si="171"/>
        <v>0</v>
      </c>
      <c r="L271" s="245">
        <f>L268*L269*L270</f>
        <v>0</v>
      </c>
      <c r="M271" s="245">
        <f>M268*M269*M270</f>
        <v>0</v>
      </c>
      <c r="N271" s="245">
        <f t="shared" ref="N271:R271" si="172">N268*N269*N270</f>
        <v>0</v>
      </c>
      <c r="O271" s="245">
        <f t="shared" si="172"/>
        <v>0</v>
      </c>
      <c r="P271" s="245">
        <f t="shared" si="172"/>
        <v>0</v>
      </c>
      <c r="Q271" s="245">
        <f t="shared" si="172"/>
        <v>0</v>
      </c>
      <c r="R271" s="245">
        <f t="shared" si="172"/>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3" xml:space="preserve"> F$249</f>
        <v>0</v>
      </c>
      <c r="G273" s="184" t="str">
        <f t="shared" si="173"/>
        <v>£m</v>
      </c>
      <c r="H273" s="184">
        <f t="shared" si="173"/>
        <v>0</v>
      </c>
      <c r="I273" s="184">
        <f t="shared" si="173"/>
        <v>0</v>
      </c>
      <c r="J273" s="184">
        <f t="shared" si="173"/>
        <v>0</v>
      </c>
      <c r="K273" s="184">
        <f t="shared" si="173"/>
        <v>0</v>
      </c>
      <c r="L273" s="184">
        <f t="shared" si="173"/>
        <v>0</v>
      </c>
      <c r="M273" s="184">
        <f t="shared" si="173"/>
        <v>0</v>
      </c>
      <c r="N273" s="184">
        <f t="shared" si="173"/>
        <v>0</v>
      </c>
      <c r="O273" s="184">
        <f t="shared" si="173"/>
        <v>0</v>
      </c>
      <c r="P273" s="184">
        <f t="shared" si="173"/>
        <v>0</v>
      </c>
      <c r="Q273" s="184">
        <f t="shared" si="173"/>
        <v>0</v>
      </c>
      <c r="R273" s="184">
        <f t="shared" si="173"/>
        <v>0</v>
      </c>
      <c r="S273" s="92"/>
      <c r="T273" s="92"/>
      <c r="U273" s="92"/>
      <c r="V273" s="92"/>
      <c r="W273" s="92"/>
      <c r="X273" s="92"/>
      <c r="Y273" s="92"/>
      <c r="Z273" s="92"/>
    </row>
    <row r="274" spans="1:26" x14ac:dyDescent="0.25">
      <c r="E274" s="7" t="str">
        <f xml:space="preserve"> E$271</f>
        <v>2019-20 wedge Nominal return</v>
      </c>
      <c r="F274" s="184">
        <f t="shared" ref="F274:R274" si="174" xml:space="preserve"> F$271</f>
        <v>0</v>
      </c>
      <c r="G274" s="184" t="str">
        <f t="shared" si="174"/>
        <v>£m</v>
      </c>
      <c r="H274" s="184">
        <f t="shared" si="174"/>
        <v>0</v>
      </c>
      <c r="I274" s="184">
        <f t="shared" si="174"/>
        <v>0</v>
      </c>
      <c r="J274" s="184">
        <f t="shared" si="174"/>
        <v>0</v>
      </c>
      <c r="K274" s="184">
        <f t="shared" si="174"/>
        <v>0</v>
      </c>
      <c r="L274" s="184">
        <f t="shared" si="174"/>
        <v>0</v>
      </c>
      <c r="M274" s="184">
        <f t="shared" si="174"/>
        <v>0</v>
      </c>
      <c r="N274" s="184">
        <f t="shared" si="174"/>
        <v>0</v>
      </c>
      <c r="O274" s="184">
        <f t="shared" si="174"/>
        <v>0</v>
      </c>
      <c r="P274" s="184">
        <f t="shared" si="174"/>
        <v>0</v>
      </c>
      <c r="Q274" s="184">
        <f t="shared" si="174"/>
        <v>0</v>
      </c>
      <c r="R274" s="184">
        <f t="shared" si="174"/>
        <v>0</v>
      </c>
    </row>
    <row r="275" spans="1:26" x14ac:dyDescent="0.25">
      <c r="C275" s="267"/>
      <c r="E275" s="7" t="s">
        <v>519</v>
      </c>
      <c r="F275" s="243"/>
      <c r="G275" s="184" t="str">
        <f t="shared" ref="G275" si="175">G$273</f>
        <v>£m</v>
      </c>
      <c r="H275" s="243">
        <f>SUM(J275:R275)</f>
        <v>0</v>
      </c>
      <c r="I275" s="243"/>
      <c r="J275" s="243">
        <f t="shared" ref="J275:R275" si="176">SUM(J273:J274)</f>
        <v>0</v>
      </c>
      <c r="K275" s="243">
        <f t="shared" si="176"/>
        <v>0</v>
      </c>
      <c r="L275" s="243">
        <f>SUM(L273:L274)</f>
        <v>0</v>
      </c>
      <c r="M275" s="243">
        <f>SUM(M273:M274)</f>
        <v>0</v>
      </c>
      <c r="N275" s="243">
        <f t="shared" si="176"/>
        <v>0</v>
      </c>
      <c r="O275" s="243">
        <f t="shared" si="176"/>
        <v>0</v>
      </c>
      <c r="P275" s="243">
        <f t="shared" si="176"/>
        <v>0</v>
      </c>
      <c r="Q275" s="243">
        <f t="shared" si="176"/>
        <v>0</v>
      </c>
      <c r="R275" s="243">
        <f t="shared" si="176"/>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77">F$249</f>
        <v>0</v>
      </c>
      <c r="G279" s="185" t="str">
        <f t="shared" si="177"/>
        <v>£m</v>
      </c>
      <c r="H279" s="185">
        <f t="shared" si="177"/>
        <v>0</v>
      </c>
      <c r="I279" s="185">
        <f t="shared" si="177"/>
        <v>0</v>
      </c>
      <c r="J279" s="185">
        <f t="shared" si="177"/>
        <v>0</v>
      </c>
      <c r="K279" s="185">
        <f t="shared" si="177"/>
        <v>0</v>
      </c>
      <c r="L279" s="185">
        <f t="shared" si="177"/>
        <v>0</v>
      </c>
      <c r="M279" s="185">
        <f t="shared" si="177"/>
        <v>0</v>
      </c>
      <c r="N279" s="185">
        <f t="shared" si="177"/>
        <v>0</v>
      </c>
      <c r="O279" s="185">
        <f t="shared" si="177"/>
        <v>0</v>
      </c>
      <c r="P279" s="185">
        <f t="shared" si="177"/>
        <v>0</v>
      </c>
      <c r="Q279" s="185">
        <f t="shared" si="177"/>
        <v>0</v>
      </c>
      <c r="R279" s="185">
        <f t="shared" si="177"/>
        <v>0</v>
      </c>
    </row>
    <row r="280" spans="1:26" s="92" customFormat="1" x14ac:dyDescent="0.25">
      <c r="A280" s="164"/>
      <c r="B280" s="165"/>
      <c r="C280" s="166"/>
      <c r="D280" s="167"/>
      <c r="E280" s="7" t="str">
        <f>E$271</f>
        <v>2019-20 wedge Nominal return</v>
      </c>
      <c r="F280" s="185">
        <f t="shared" ref="F280:R280" si="178">F$271</f>
        <v>0</v>
      </c>
      <c r="G280" s="185" t="str">
        <f t="shared" si="178"/>
        <v>£m</v>
      </c>
      <c r="H280" s="185">
        <f t="shared" si="178"/>
        <v>0</v>
      </c>
      <c r="I280" s="185">
        <f t="shared" si="178"/>
        <v>0</v>
      </c>
      <c r="J280" s="185">
        <f t="shared" si="178"/>
        <v>0</v>
      </c>
      <c r="K280" s="185">
        <f t="shared" si="178"/>
        <v>0</v>
      </c>
      <c r="L280" s="185">
        <f t="shared" si="178"/>
        <v>0</v>
      </c>
      <c r="M280" s="185">
        <f t="shared" si="178"/>
        <v>0</v>
      </c>
      <c r="N280" s="185">
        <f t="shared" si="178"/>
        <v>0</v>
      </c>
      <c r="O280" s="185">
        <f t="shared" si="178"/>
        <v>0</v>
      </c>
      <c r="P280" s="185">
        <f t="shared" si="178"/>
        <v>0</v>
      </c>
      <c r="Q280" s="185">
        <f t="shared" si="178"/>
        <v>0</v>
      </c>
      <c r="R280" s="185">
        <f t="shared" si="178"/>
        <v>0</v>
      </c>
    </row>
    <row r="281" spans="1:26" s="92" customFormat="1" x14ac:dyDescent="0.25">
      <c r="A281" s="164"/>
      <c r="B281" s="165"/>
      <c r="C281" s="166"/>
      <c r="D281" s="167"/>
      <c r="E281" s="7" t="str">
        <f>E$275</f>
        <v>Total 2019-20 wedge Nominal revenue to company</v>
      </c>
      <c r="F281" s="185">
        <f t="shared" ref="F281:R281" si="179">F$275</f>
        <v>0</v>
      </c>
      <c r="G281" s="185" t="str">
        <f t="shared" si="179"/>
        <v>£m</v>
      </c>
      <c r="H281" s="185">
        <f t="shared" si="179"/>
        <v>0</v>
      </c>
      <c r="I281" s="185">
        <f t="shared" si="179"/>
        <v>0</v>
      </c>
      <c r="J281" s="185">
        <f t="shared" si="179"/>
        <v>0</v>
      </c>
      <c r="K281" s="185">
        <f t="shared" si="179"/>
        <v>0</v>
      </c>
      <c r="L281" s="185">
        <f t="shared" si="179"/>
        <v>0</v>
      </c>
      <c r="M281" s="185">
        <f t="shared" si="179"/>
        <v>0</v>
      </c>
      <c r="N281" s="185">
        <f t="shared" si="179"/>
        <v>0</v>
      </c>
      <c r="O281" s="185">
        <f t="shared" si="179"/>
        <v>0</v>
      </c>
      <c r="P281" s="185">
        <f t="shared" si="179"/>
        <v>0</v>
      </c>
      <c r="Q281" s="185">
        <f t="shared" si="179"/>
        <v>0</v>
      </c>
      <c r="R281" s="185">
        <f t="shared" si="179"/>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0">G$273</f>
        <v>£m</v>
      </c>
      <c r="H283" s="243">
        <f>SUM(J283:R283)</f>
        <v>0</v>
      </c>
      <c r="I283" s="185"/>
      <c r="J283" s="185">
        <f t="shared" ref="J283:R283" si="181" xml:space="preserve"> IF(J$282 = 0, 0, J279 / J$282)</f>
        <v>0</v>
      </c>
      <c r="K283" s="185">
        <f t="shared" si="181"/>
        <v>0</v>
      </c>
      <c r="L283" s="185">
        <f t="shared" si="181"/>
        <v>0</v>
      </c>
      <c r="M283" s="185">
        <f t="shared" si="181"/>
        <v>0</v>
      </c>
      <c r="N283" s="185">
        <f t="shared" si="181"/>
        <v>0</v>
      </c>
      <c r="O283" s="185">
        <f t="shared" si="181"/>
        <v>0</v>
      </c>
      <c r="P283" s="185">
        <f t="shared" si="181"/>
        <v>0</v>
      </c>
      <c r="Q283" s="185">
        <f t="shared" si="181"/>
        <v>0</v>
      </c>
      <c r="R283" s="185">
        <f t="shared" si="181"/>
        <v>0</v>
      </c>
    </row>
    <row r="284" spans="1:26" s="92" customFormat="1" x14ac:dyDescent="0.25">
      <c r="A284" s="164"/>
      <c r="B284" s="165"/>
      <c r="C284" s="166"/>
      <c r="D284" s="167"/>
      <c r="E284" s="7" t="s">
        <v>521</v>
      </c>
      <c r="F284" s="185"/>
      <c r="G284" s="185" t="str">
        <f t="shared" si="180"/>
        <v>£m</v>
      </c>
      <c r="H284" s="243">
        <f t="shared" ref="H284:H285" si="182">SUM(J284:R284)</f>
        <v>0</v>
      </c>
      <c r="I284" s="185"/>
      <c r="J284" s="185">
        <f t="shared" ref="J284:R284" si="183" xml:space="preserve"> IF(J$282 = 0, 0, J280 / J$282)</f>
        <v>0</v>
      </c>
      <c r="K284" s="185">
        <f t="shared" si="183"/>
        <v>0</v>
      </c>
      <c r="L284" s="185">
        <f t="shared" si="183"/>
        <v>0</v>
      </c>
      <c r="M284" s="185">
        <f t="shared" si="183"/>
        <v>0</v>
      </c>
      <c r="N284" s="185">
        <f t="shared" si="183"/>
        <v>0</v>
      </c>
      <c r="O284" s="185">
        <f t="shared" si="183"/>
        <v>0</v>
      </c>
      <c r="P284" s="185">
        <f t="shared" si="183"/>
        <v>0</v>
      </c>
      <c r="Q284" s="185">
        <f t="shared" si="183"/>
        <v>0</v>
      </c>
      <c r="R284" s="185">
        <f t="shared" si="183"/>
        <v>0</v>
      </c>
    </row>
    <row r="285" spans="1:26" s="92" customFormat="1" x14ac:dyDescent="0.25">
      <c r="A285" s="164"/>
      <c r="B285" s="165"/>
      <c r="C285" s="166"/>
      <c r="D285" s="167"/>
      <c r="E285" s="7" t="s">
        <v>522</v>
      </c>
      <c r="F285" s="185"/>
      <c r="G285" s="185" t="str">
        <f t="shared" si="180"/>
        <v>£m</v>
      </c>
      <c r="H285" s="243">
        <f t="shared" si="182"/>
        <v>0</v>
      </c>
      <c r="I285" s="185"/>
      <c r="J285" s="185">
        <f t="shared" ref="J285:R285" si="184" xml:space="preserve"> IF(J$282 = 0, 0, J281 / J$282)</f>
        <v>0</v>
      </c>
      <c r="K285" s="185">
        <f t="shared" si="184"/>
        <v>0</v>
      </c>
      <c r="L285" s="185">
        <f t="shared" si="184"/>
        <v>0</v>
      </c>
      <c r="M285" s="185">
        <f t="shared" si="184"/>
        <v>0</v>
      </c>
      <c r="N285" s="185">
        <f t="shared" si="184"/>
        <v>0</v>
      </c>
      <c r="O285" s="185">
        <f t="shared" si="184"/>
        <v>0</v>
      </c>
      <c r="P285" s="185">
        <f t="shared" si="184"/>
        <v>0</v>
      </c>
      <c r="Q285" s="185">
        <f t="shared" si="184"/>
        <v>0</v>
      </c>
      <c r="R285" s="185">
        <f t="shared" si="184"/>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InpR!E$116</f>
        <v>WACC real on RCV - CPI(H) bf and additions - DMMY</v>
      </c>
      <c r="F289" s="205">
        <f>InpR!F$116</f>
        <v>0</v>
      </c>
      <c r="G289" s="223" t="str">
        <f>InpR!G$116</f>
        <v>%</v>
      </c>
      <c r="H289" s="205">
        <f>InpR!H$116</f>
        <v>0</v>
      </c>
      <c r="I289" s="205">
        <f>InpR!I$116</f>
        <v>0</v>
      </c>
      <c r="J289" s="205">
        <f>InpR!J$116</f>
        <v>0</v>
      </c>
      <c r="K289" s="205">
        <f>InpR!K$116</f>
        <v>0</v>
      </c>
      <c r="L289" s="205">
        <f>InpR!L$116</f>
        <v>0</v>
      </c>
      <c r="M289" s="205">
        <f>InpR!M$116</f>
        <v>2.9195763820156317E-2</v>
      </c>
      <c r="N289" s="205">
        <f>InpR!N$116</f>
        <v>2.9195763820156317E-2</v>
      </c>
      <c r="O289" s="205">
        <f>InpR!O$116</f>
        <v>2.9195763820156317E-2</v>
      </c>
      <c r="P289" s="205">
        <f>InpR!P$116</f>
        <v>2.9195763820156317E-2</v>
      </c>
      <c r="Q289" s="205">
        <f>InpR!Q$116</f>
        <v>2.9195763820156317E-2</v>
      </c>
      <c r="R289" s="205">
        <f>InpR!R$116</f>
        <v>0</v>
      </c>
    </row>
    <row r="290" spans="1:18" x14ac:dyDescent="0.25">
      <c r="E290" s="7" t="s">
        <v>499</v>
      </c>
      <c r="G290" s="7" t="s">
        <v>500</v>
      </c>
      <c r="J290" s="254">
        <f xml:space="preserve"> (1 + J$289) ^ J$288</f>
        <v>1</v>
      </c>
      <c r="K290" s="254">
        <f t="shared" ref="K290:R290" si="185" xml:space="preserve"> (1 + K$289) ^ K$288</f>
        <v>1</v>
      </c>
      <c r="L290" s="254">
        <f t="shared" si="185"/>
        <v>1</v>
      </c>
      <c r="M290" s="254">
        <f t="shared" si="185"/>
        <v>1.1219976826191176</v>
      </c>
      <c r="N290" s="254">
        <f t="shared" si="185"/>
        <v>1.0901693555893588</v>
      </c>
      <c r="O290" s="254">
        <f t="shared" si="185"/>
        <v>1.059243920265355</v>
      </c>
      <c r="P290" s="254">
        <f t="shared" si="185"/>
        <v>1.0291957638201563</v>
      </c>
      <c r="Q290" s="254">
        <f t="shared" si="185"/>
        <v>1</v>
      </c>
      <c r="R290" s="254">
        <f t="shared" si="185"/>
        <v>1</v>
      </c>
    </row>
    <row r="291" spans="1:18" x14ac:dyDescent="0.25"/>
    <row r="292" spans="1:18" x14ac:dyDescent="0.25">
      <c r="B292" s="61" t="s">
        <v>501</v>
      </c>
    </row>
    <row r="293" spans="1:18" x14ac:dyDescent="0.25">
      <c r="A293" s="49"/>
      <c r="D293" s="57"/>
      <c r="E293" s="7" t="str">
        <f>E$283</f>
        <v>2019-20 wedge RCV run-off - real</v>
      </c>
      <c r="F293" s="185">
        <f t="shared" ref="F293:R293" si="186">F$283</f>
        <v>0</v>
      </c>
      <c r="G293" s="7" t="str">
        <f t="shared" si="186"/>
        <v>£m</v>
      </c>
      <c r="H293" s="246">
        <f t="shared" si="186"/>
        <v>0</v>
      </c>
      <c r="I293" s="246">
        <f t="shared" si="186"/>
        <v>0</v>
      </c>
      <c r="J293" s="185">
        <f t="shared" si="186"/>
        <v>0</v>
      </c>
      <c r="K293" s="185">
        <f t="shared" si="186"/>
        <v>0</v>
      </c>
      <c r="L293" s="185">
        <f t="shared" si="186"/>
        <v>0</v>
      </c>
      <c r="M293" s="185">
        <f t="shared" si="186"/>
        <v>0</v>
      </c>
      <c r="N293" s="185">
        <f t="shared" si="186"/>
        <v>0</v>
      </c>
      <c r="O293" s="185">
        <f t="shared" si="186"/>
        <v>0</v>
      </c>
      <c r="P293" s="185">
        <f t="shared" si="186"/>
        <v>0</v>
      </c>
      <c r="Q293" s="185">
        <f t="shared" si="186"/>
        <v>0</v>
      </c>
      <c r="R293" s="185">
        <f t="shared" si="186"/>
        <v>0</v>
      </c>
    </row>
    <row r="294" spans="1:18" x14ac:dyDescent="0.25">
      <c r="A294" s="49"/>
      <c r="D294" s="57"/>
      <c r="E294" s="7" t="str">
        <f>E$290</f>
        <v xml:space="preserve">Time value of money factor </v>
      </c>
      <c r="F294" s="185">
        <f t="shared" ref="F294:R294" si="187">F$290</f>
        <v>0</v>
      </c>
      <c r="G294" s="7" t="str">
        <f t="shared" si="187"/>
        <v>Factor</v>
      </c>
      <c r="H294" s="246">
        <f t="shared" si="187"/>
        <v>0</v>
      </c>
      <c r="I294" s="246">
        <f t="shared" si="187"/>
        <v>0</v>
      </c>
      <c r="J294" s="185">
        <f t="shared" si="187"/>
        <v>1</v>
      </c>
      <c r="K294" s="185">
        <f t="shared" si="187"/>
        <v>1</v>
      </c>
      <c r="L294" s="185">
        <f t="shared" si="187"/>
        <v>1</v>
      </c>
      <c r="M294" s="185">
        <f t="shared" si="187"/>
        <v>1.1219976826191176</v>
      </c>
      <c r="N294" s="185">
        <f t="shared" si="187"/>
        <v>1.0901693555893588</v>
      </c>
      <c r="O294" s="185">
        <f t="shared" si="187"/>
        <v>1.059243920265355</v>
      </c>
      <c r="P294" s="185">
        <f t="shared" si="187"/>
        <v>1.0291957638201563</v>
      </c>
      <c r="Q294" s="185">
        <f t="shared" si="187"/>
        <v>1</v>
      </c>
      <c r="R294" s="185">
        <f t="shared" si="187"/>
        <v>1</v>
      </c>
    </row>
    <row r="295" spans="1:18" x14ac:dyDescent="0.25">
      <c r="A295" s="49"/>
      <c r="C295" s="267"/>
      <c r="D295" s="57"/>
      <c r="E295" s="7" t="s">
        <v>572</v>
      </c>
      <c r="G295" s="7" t="s">
        <v>238</v>
      </c>
      <c r="H295" s="185">
        <f xml:space="preserve"> SUM(J295:R295)</f>
        <v>0</v>
      </c>
      <c r="J295" s="185">
        <f xml:space="preserve"> J293 * J294</f>
        <v>0</v>
      </c>
      <c r="K295" s="185">
        <f t="shared" ref="K295:R295" si="188" xml:space="preserve"> K293 * K294</f>
        <v>0</v>
      </c>
      <c r="L295" s="185">
        <f t="shared" si="188"/>
        <v>0</v>
      </c>
      <c r="M295" s="185">
        <f t="shared" si="188"/>
        <v>0</v>
      </c>
      <c r="N295" s="185">
        <f t="shared" si="188"/>
        <v>0</v>
      </c>
      <c r="O295" s="185">
        <f t="shared" si="188"/>
        <v>0</v>
      </c>
      <c r="P295" s="185">
        <f t="shared" si="188"/>
        <v>0</v>
      </c>
      <c r="Q295" s="185">
        <f t="shared" si="188"/>
        <v>0</v>
      </c>
      <c r="R295" s="185">
        <f t="shared" si="188"/>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89">F$284</f>
        <v>0</v>
      </c>
      <c r="G299" s="7" t="str">
        <f t="shared" si="189"/>
        <v>£m</v>
      </c>
      <c r="H299" s="246">
        <f t="shared" si="189"/>
        <v>0</v>
      </c>
      <c r="I299" s="246">
        <f t="shared" si="189"/>
        <v>0</v>
      </c>
      <c r="J299" s="185">
        <f t="shared" si="189"/>
        <v>0</v>
      </c>
      <c r="K299" s="185">
        <f t="shared" si="189"/>
        <v>0</v>
      </c>
      <c r="L299" s="185">
        <f t="shared" si="189"/>
        <v>0</v>
      </c>
      <c r="M299" s="185">
        <f t="shared" si="189"/>
        <v>0</v>
      </c>
      <c r="N299" s="185">
        <f t="shared" si="189"/>
        <v>0</v>
      </c>
      <c r="O299" s="185">
        <f t="shared" si="189"/>
        <v>0</v>
      </c>
      <c r="P299" s="185">
        <f t="shared" si="189"/>
        <v>0</v>
      </c>
      <c r="Q299" s="185">
        <f t="shared" si="189"/>
        <v>0</v>
      </c>
      <c r="R299" s="185">
        <f t="shared" si="189"/>
        <v>0</v>
      </c>
    </row>
    <row r="300" spans="1:18" x14ac:dyDescent="0.25">
      <c r="A300" s="49"/>
      <c r="D300" s="57"/>
      <c r="E300" s="7" t="str">
        <f>E$290</f>
        <v xml:space="preserve">Time value of money factor </v>
      </c>
      <c r="F300" s="185">
        <f t="shared" ref="F300:R300" si="190">F$290</f>
        <v>0</v>
      </c>
      <c r="G300" s="7" t="str">
        <f t="shared" si="190"/>
        <v>Factor</v>
      </c>
      <c r="H300" s="246">
        <f t="shared" si="190"/>
        <v>0</v>
      </c>
      <c r="I300" s="246">
        <f t="shared" si="190"/>
        <v>0</v>
      </c>
      <c r="J300" s="185">
        <f t="shared" si="190"/>
        <v>1</v>
      </c>
      <c r="K300" s="185">
        <f t="shared" si="190"/>
        <v>1</v>
      </c>
      <c r="L300" s="185">
        <f t="shared" si="190"/>
        <v>1</v>
      </c>
      <c r="M300" s="185">
        <f t="shared" si="190"/>
        <v>1.1219976826191176</v>
      </c>
      <c r="N300" s="185">
        <f t="shared" si="190"/>
        <v>1.0901693555893588</v>
      </c>
      <c r="O300" s="185">
        <f t="shared" si="190"/>
        <v>1.059243920265355</v>
      </c>
      <c r="P300" s="185">
        <f t="shared" si="190"/>
        <v>1.0291957638201563</v>
      </c>
      <c r="Q300" s="185">
        <f t="shared" si="190"/>
        <v>1</v>
      </c>
      <c r="R300" s="185">
        <f t="shared" si="190"/>
        <v>1</v>
      </c>
    </row>
    <row r="301" spans="1:18" x14ac:dyDescent="0.25">
      <c r="A301" s="49"/>
      <c r="C301" s="267"/>
      <c r="D301" s="57"/>
      <c r="E301" s="7" t="s">
        <v>573</v>
      </c>
      <c r="G301" s="7" t="s">
        <v>238</v>
      </c>
      <c r="H301" s="185">
        <f xml:space="preserve"> SUM(J301:R301)</f>
        <v>0</v>
      </c>
      <c r="J301" s="185">
        <f xml:space="preserve"> J299 * J300</f>
        <v>0</v>
      </c>
      <c r="K301" s="185">
        <f t="shared" ref="K301:R301" si="191" xml:space="preserve"> K299 * K300</f>
        <v>0</v>
      </c>
      <c r="L301" s="185">
        <f t="shared" si="191"/>
        <v>0</v>
      </c>
      <c r="M301" s="185">
        <f t="shared" si="191"/>
        <v>0</v>
      </c>
      <c r="N301" s="185">
        <f t="shared" si="191"/>
        <v>0</v>
      </c>
      <c r="O301" s="185">
        <f t="shared" si="191"/>
        <v>0</v>
      </c>
      <c r="P301" s="185">
        <f t="shared" si="191"/>
        <v>0</v>
      </c>
      <c r="Q301" s="185">
        <f t="shared" si="191"/>
        <v>0</v>
      </c>
      <c r="R301" s="185">
        <f t="shared" si="191"/>
        <v>0</v>
      </c>
    </row>
    <row r="302" spans="1:18" x14ac:dyDescent="0.25"/>
    <row r="303" spans="1:18" x14ac:dyDescent="0.25"/>
    <row r="304" spans="1:18" x14ac:dyDescent="0.25">
      <c r="B304" s="61" t="s">
        <v>505</v>
      </c>
    </row>
    <row r="305" spans="1:18" x14ac:dyDescent="0.25">
      <c r="A305" s="49"/>
      <c r="D305" s="57"/>
      <c r="E305" s="7" t="str">
        <f t="shared" ref="E305:R305" si="192" xml:space="preserve"> E$295</f>
        <v>Revenue adjustment for 2019-20 wedge run-off - real - DMMY</v>
      </c>
      <c r="F305" s="185">
        <f t="shared" si="192"/>
        <v>0</v>
      </c>
      <c r="G305" s="7" t="str">
        <f t="shared" si="192"/>
        <v>£m</v>
      </c>
      <c r="H305" s="246">
        <f t="shared" si="192"/>
        <v>0</v>
      </c>
      <c r="I305" s="246">
        <f t="shared" si="192"/>
        <v>0</v>
      </c>
      <c r="J305" s="185">
        <f t="shared" si="192"/>
        <v>0</v>
      </c>
      <c r="K305" s="185">
        <f t="shared" si="192"/>
        <v>0</v>
      </c>
      <c r="L305" s="185">
        <f t="shared" si="192"/>
        <v>0</v>
      </c>
      <c r="M305" s="185">
        <f t="shared" si="192"/>
        <v>0</v>
      </c>
      <c r="N305" s="185">
        <f t="shared" si="192"/>
        <v>0</v>
      </c>
      <c r="O305" s="185">
        <f t="shared" si="192"/>
        <v>0</v>
      </c>
      <c r="P305" s="185">
        <f t="shared" si="192"/>
        <v>0</v>
      </c>
      <c r="Q305" s="185">
        <f t="shared" si="192"/>
        <v>0</v>
      </c>
      <c r="R305" s="185">
        <f t="shared" si="192"/>
        <v>0</v>
      </c>
    </row>
    <row r="306" spans="1:18" x14ac:dyDescent="0.25">
      <c r="A306" s="49"/>
      <c r="D306" s="57"/>
      <c r="E306" s="7" t="str">
        <f t="shared" ref="E306:R306" si="193" xml:space="preserve"> E$301</f>
        <v>Revenue adjustment for 2019-20 wedge return - real - DMMY</v>
      </c>
      <c r="F306" s="185">
        <f t="shared" si="193"/>
        <v>0</v>
      </c>
      <c r="G306" s="7" t="str">
        <f t="shared" si="193"/>
        <v>£m</v>
      </c>
      <c r="H306" s="246">
        <f t="shared" si="193"/>
        <v>0</v>
      </c>
      <c r="I306" s="246">
        <f t="shared" si="193"/>
        <v>0</v>
      </c>
      <c r="J306" s="185">
        <f t="shared" si="193"/>
        <v>0</v>
      </c>
      <c r="K306" s="185">
        <f t="shared" si="193"/>
        <v>0</v>
      </c>
      <c r="L306" s="185">
        <f t="shared" si="193"/>
        <v>0</v>
      </c>
      <c r="M306" s="185">
        <f t="shared" si="193"/>
        <v>0</v>
      </c>
      <c r="N306" s="185">
        <f t="shared" si="193"/>
        <v>0</v>
      </c>
      <c r="O306" s="185">
        <f t="shared" si="193"/>
        <v>0</v>
      </c>
      <c r="P306" s="185">
        <f t="shared" si="193"/>
        <v>0</v>
      </c>
      <c r="Q306" s="185">
        <f t="shared" si="193"/>
        <v>0</v>
      </c>
      <c r="R306" s="185">
        <f t="shared" si="193"/>
        <v>0</v>
      </c>
    </row>
    <row r="307" spans="1:18" x14ac:dyDescent="0.25">
      <c r="A307" s="49"/>
      <c r="C307" s="267"/>
      <c r="D307" s="57"/>
      <c r="E307" s="7" t="s">
        <v>574</v>
      </c>
      <c r="G307" s="7" t="s">
        <v>238</v>
      </c>
      <c r="H307" s="185">
        <f xml:space="preserve"> SUM(J307:R307)</f>
        <v>0</v>
      </c>
      <c r="J307" s="185">
        <f xml:space="preserve"> J$305 + J$306</f>
        <v>0</v>
      </c>
      <c r="K307" s="185">
        <f t="shared" ref="K307:R307" si="194" xml:space="preserve"> K$305 + K$306</f>
        <v>0</v>
      </c>
      <c r="L307" s="185">
        <f t="shared" si="194"/>
        <v>0</v>
      </c>
      <c r="M307" s="185">
        <f t="shared" si="194"/>
        <v>0</v>
      </c>
      <c r="N307" s="185">
        <f t="shared" si="194"/>
        <v>0</v>
      </c>
      <c r="O307" s="185">
        <f t="shared" si="194"/>
        <v>0</v>
      </c>
      <c r="P307" s="185">
        <f t="shared" si="194"/>
        <v>0</v>
      </c>
      <c r="Q307" s="185">
        <f t="shared" si="194"/>
        <v>0</v>
      </c>
      <c r="R307" s="185">
        <f t="shared" si="194"/>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DMMY</v>
      </c>
      <c r="F313" s="185">
        <f t="shared" ref="F313:R313" si="195" xml:space="preserve"> F$219</f>
        <v>0</v>
      </c>
      <c r="G313" s="7" t="str">
        <f t="shared" si="195"/>
        <v>£m</v>
      </c>
      <c r="H313" s="246">
        <f t="shared" si="195"/>
        <v>0</v>
      </c>
      <c r="I313" s="246">
        <f t="shared" si="195"/>
        <v>0</v>
      </c>
      <c r="J313" s="185">
        <f t="shared" si="195"/>
        <v>0</v>
      </c>
      <c r="K313" s="185">
        <f t="shared" si="195"/>
        <v>0</v>
      </c>
      <c r="L313" s="185">
        <f t="shared" si="195"/>
        <v>0</v>
      </c>
      <c r="M313" s="185">
        <f t="shared" si="195"/>
        <v>0</v>
      </c>
      <c r="N313" s="185">
        <f t="shared" si="195"/>
        <v>0</v>
      </c>
      <c r="O313" s="185">
        <f t="shared" si="195"/>
        <v>0</v>
      </c>
      <c r="P313" s="185">
        <f t="shared" si="195"/>
        <v>0</v>
      </c>
      <c r="Q313" s="185">
        <f t="shared" si="195"/>
        <v>0</v>
      </c>
      <c r="R313" s="185">
        <f t="shared" si="195"/>
        <v>0</v>
      </c>
    </row>
    <row r="314" spans="1:18" x14ac:dyDescent="0.25">
      <c r="A314" s="49"/>
      <c r="D314" s="57"/>
      <c r="E314" s="7" t="str">
        <f xml:space="preserve"> E$224</f>
        <v>Revenue adjustment for return - real - DMMY</v>
      </c>
      <c r="F314" s="185">
        <f t="shared" ref="F314:R314" si="196" xml:space="preserve"> F$224</f>
        <v>0</v>
      </c>
      <c r="G314" s="7" t="str">
        <f t="shared" si="196"/>
        <v>£m</v>
      </c>
      <c r="H314" s="246">
        <f t="shared" si="196"/>
        <v>0</v>
      </c>
      <c r="I314" s="246">
        <f t="shared" si="196"/>
        <v>0</v>
      </c>
      <c r="J314" s="185">
        <f t="shared" si="196"/>
        <v>0</v>
      </c>
      <c r="K314" s="185">
        <f t="shared" si="196"/>
        <v>0</v>
      </c>
      <c r="L314" s="185">
        <f t="shared" si="196"/>
        <v>0</v>
      </c>
      <c r="M314" s="185">
        <f t="shared" si="196"/>
        <v>0</v>
      </c>
      <c r="N314" s="185">
        <f t="shared" si="196"/>
        <v>0</v>
      </c>
      <c r="O314" s="185">
        <f t="shared" si="196"/>
        <v>0</v>
      </c>
      <c r="P314" s="185">
        <f t="shared" si="196"/>
        <v>0</v>
      </c>
      <c r="Q314" s="185">
        <f t="shared" si="196"/>
        <v>0</v>
      </c>
      <c r="R314" s="185">
        <f t="shared" si="196"/>
        <v>0</v>
      </c>
    </row>
    <row r="315" spans="1:18" x14ac:dyDescent="0.25">
      <c r="A315" s="49"/>
      <c r="D315" s="57"/>
      <c r="E315" s="7" t="str">
        <f xml:space="preserve"> E$229</f>
        <v>Revenue adjustment - real - DMMY</v>
      </c>
      <c r="F315" s="185">
        <f t="shared" ref="F315:R315" si="197" xml:space="preserve"> F$229</f>
        <v>0</v>
      </c>
      <c r="G315" s="7" t="str">
        <f t="shared" si="197"/>
        <v>£m</v>
      </c>
      <c r="H315" s="246">
        <f t="shared" si="197"/>
        <v>0</v>
      </c>
      <c r="I315" s="246">
        <f t="shared" si="197"/>
        <v>0</v>
      </c>
      <c r="J315" s="185">
        <f t="shared" si="197"/>
        <v>0</v>
      </c>
      <c r="K315" s="185">
        <f t="shared" si="197"/>
        <v>0</v>
      </c>
      <c r="L315" s="185">
        <f t="shared" si="197"/>
        <v>0</v>
      </c>
      <c r="M315" s="185">
        <f t="shared" si="197"/>
        <v>0</v>
      </c>
      <c r="N315" s="185">
        <f t="shared" si="197"/>
        <v>0</v>
      </c>
      <c r="O315" s="185">
        <f t="shared" si="197"/>
        <v>0</v>
      </c>
      <c r="P315" s="185">
        <f t="shared" si="197"/>
        <v>0</v>
      </c>
      <c r="Q315" s="185">
        <f t="shared" si="197"/>
        <v>0</v>
      </c>
      <c r="R315" s="185">
        <f t="shared" si="197"/>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DMMY</v>
      </c>
      <c r="F319" s="185">
        <f t="shared" ref="F319:R319" si="198" xml:space="preserve"> F$301</f>
        <v>0</v>
      </c>
      <c r="G319" s="7" t="str">
        <f t="shared" si="198"/>
        <v>£m</v>
      </c>
      <c r="H319" s="246">
        <f t="shared" si="198"/>
        <v>0</v>
      </c>
      <c r="I319" s="246">
        <f t="shared" si="198"/>
        <v>0</v>
      </c>
      <c r="J319" s="185">
        <f t="shared" si="198"/>
        <v>0</v>
      </c>
      <c r="K319" s="185">
        <f t="shared" si="198"/>
        <v>0</v>
      </c>
      <c r="L319" s="185">
        <f t="shared" si="198"/>
        <v>0</v>
      </c>
      <c r="M319" s="185">
        <f t="shared" si="198"/>
        <v>0</v>
      </c>
      <c r="N319" s="185">
        <f t="shared" si="198"/>
        <v>0</v>
      </c>
      <c r="O319" s="185">
        <f t="shared" si="198"/>
        <v>0</v>
      </c>
      <c r="P319" s="185">
        <f t="shared" si="198"/>
        <v>0</v>
      </c>
      <c r="Q319" s="185">
        <f t="shared" si="198"/>
        <v>0</v>
      </c>
      <c r="R319" s="185">
        <f t="shared" si="198"/>
        <v>0</v>
      </c>
    </row>
    <row r="320" spans="1:18" x14ac:dyDescent="0.25"/>
    <row r="321" spans="1:18" x14ac:dyDescent="0.25">
      <c r="B321" s="61" t="s">
        <v>289</v>
      </c>
    </row>
    <row r="322" spans="1:18" s="34" customFormat="1" x14ac:dyDescent="0.25">
      <c r="A322" s="322"/>
      <c r="B322" s="256"/>
      <c r="C322" s="257"/>
      <c r="D322" s="323"/>
      <c r="E322" s="34" t="s">
        <v>575</v>
      </c>
      <c r="G322" s="34" t="s">
        <v>238</v>
      </c>
      <c r="H322" s="266">
        <f xml:space="preserve"> SUM(J322:R322)</f>
        <v>0</v>
      </c>
      <c r="J322" s="266">
        <f t="shared" ref="J322:R322" si="199" xml:space="preserve"> J313 + J318</f>
        <v>0</v>
      </c>
      <c r="K322" s="266">
        <f t="shared" si="199"/>
        <v>0</v>
      </c>
      <c r="L322" s="266">
        <f t="shared" si="199"/>
        <v>0</v>
      </c>
      <c r="M322" s="266">
        <f t="shared" si="199"/>
        <v>0</v>
      </c>
      <c r="N322" s="266">
        <f t="shared" si="199"/>
        <v>0</v>
      </c>
      <c r="O322" s="266">
        <f t="shared" si="199"/>
        <v>0</v>
      </c>
      <c r="P322" s="266">
        <f t="shared" si="199"/>
        <v>0</v>
      </c>
      <c r="Q322" s="266">
        <f t="shared" si="199"/>
        <v>0</v>
      </c>
      <c r="R322" s="266">
        <f t="shared" si="199"/>
        <v>0</v>
      </c>
    </row>
    <row r="323" spans="1:18" s="34" customFormat="1" x14ac:dyDescent="0.25">
      <c r="A323" s="322"/>
      <c r="B323" s="256"/>
      <c r="C323" s="257"/>
      <c r="D323" s="323"/>
      <c r="E323" s="34" t="s">
        <v>576</v>
      </c>
      <c r="G323" s="34" t="s">
        <v>238</v>
      </c>
      <c r="H323" s="266">
        <f xml:space="preserve"> SUM(J323:R323)</f>
        <v>0</v>
      </c>
      <c r="J323" s="266">
        <f t="shared" ref="J323:R323" si="200" xml:space="preserve"> J314 + J319</f>
        <v>0</v>
      </c>
      <c r="K323" s="266">
        <f t="shared" si="200"/>
        <v>0</v>
      </c>
      <c r="L323" s="266">
        <f t="shared" si="200"/>
        <v>0</v>
      </c>
      <c r="M323" s="266">
        <f t="shared" si="200"/>
        <v>0</v>
      </c>
      <c r="N323" s="266">
        <f t="shared" si="200"/>
        <v>0</v>
      </c>
      <c r="O323" s="266">
        <f t="shared" si="200"/>
        <v>0</v>
      </c>
      <c r="P323" s="266">
        <f t="shared" si="200"/>
        <v>0</v>
      </c>
      <c r="Q323" s="266">
        <f t="shared" si="200"/>
        <v>0</v>
      </c>
      <c r="R323" s="266">
        <f t="shared" si="200"/>
        <v>0</v>
      </c>
    </row>
    <row r="324" spans="1:18" s="34" customFormat="1" x14ac:dyDescent="0.25">
      <c r="A324" s="361"/>
      <c r="B324" s="362"/>
      <c r="C324" s="363"/>
      <c r="D324" s="364"/>
      <c r="E324" s="34" t="s">
        <v>577</v>
      </c>
      <c r="G324" s="34" t="s">
        <v>238</v>
      </c>
      <c r="H324" s="266">
        <f xml:space="preserve"> SUM(J324:R324)</f>
        <v>0</v>
      </c>
      <c r="J324" s="266">
        <f t="shared" ref="J324:R324" si="201" xml:space="preserve"> J315 + J319</f>
        <v>0</v>
      </c>
      <c r="K324" s="266">
        <f t="shared" si="201"/>
        <v>0</v>
      </c>
      <c r="L324" s="266">
        <f t="shared" si="201"/>
        <v>0</v>
      </c>
      <c r="M324" s="266">
        <f t="shared" ref="M324" si="202" xml:space="preserve"> M315 + M319</f>
        <v>0</v>
      </c>
      <c r="N324" s="266">
        <f t="shared" si="201"/>
        <v>0</v>
      </c>
      <c r="O324" s="266">
        <f t="shared" si="201"/>
        <v>0</v>
      </c>
      <c r="P324" s="266">
        <f t="shared" si="201"/>
        <v>0</v>
      </c>
      <c r="Q324" s="266">
        <f t="shared" si="201"/>
        <v>0</v>
      </c>
      <c r="R324" s="266">
        <f t="shared" si="201"/>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22" priority="8" stopIfTrue="1" operator="notEqual">
      <formula>0</formula>
    </cfRule>
    <cfRule type="cellIs" dxfId="21" priority="9" stopIfTrue="1" operator="equal">
      <formula>""</formula>
    </cfRule>
  </conditionalFormatting>
  <conditionalFormatting sqref="F166">
    <cfRule type="cellIs" dxfId="20" priority="1" stopIfTrue="1" operator="notEqual">
      <formula>0</formula>
    </cfRule>
    <cfRule type="cellIs" dxfId="19" priority="2" stopIfTrue="1" operator="equal">
      <formula>""</formula>
    </cfRule>
  </conditionalFormatting>
  <conditionalFormatting sqref="J3:Z3">
    <cfRule type="cellIs" dxfId="18" priority="12" operator="equal">
      <formula>"Post-Fcst"</formula>
    </cfRule>
    <cfRule type="cellIs" dxfId="17" priority="13" operator="equal">
      <formula>"Forecast"</formula>
    </cfRule>
    <cfRule type="cellIs" dxfId="16" priority="14" operator="equal">
      <formula>"Pre Fcst"</formula>
    </cfRule>
  </conditionalFormatting>
  <conditionalFormatting sqref="J166:XFD166">
    <cfRule type="cellIs" dxfId="15" priority="3" stopIfTrue="1" operator="notEqual">
      <formula>0</formula>
    </cfRule>
    <cfRule type="cellIs" dxfId="14"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525C-8857-4ABF-AF52-5A8AFD90D842}">
  <sheetPr codeName="Sheet12">
    <tabColor theme="8" tint="0.39997558519241921"/>
    <outlinePr summaryBelow="0" summaryRight="0"/>
    <pageSetUpPr fitToPage="1"/>
  </sheetPr>
  <dimension ref="A1:Z41"/>
  <sheetViews>
    <sheetView showGridLines="0" zoomScale="80" zoomScaleNormal="80" workbookViewId="0"/>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53.26953125" style="7"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Adjustments</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c r="B7" s="61" t="s">
        <v>578</v>
      </c>
    </row>
    <row r="8" spans="1:26" s="92" customFormat="1" x14ac:dyDescent="0.25">
      <c r="A8" s="164"/>
      <c r="B8" s="165"/>
      <c r="C8" s="166"/>
      <c r="D8" s="167"/>
      <c r="E8" s="30" t="str">
        <f>'Calcs-WR'!E$180</f>
        <v>RCV adjustment at end of period - real - WR</v>
      </c>
      <c r="F8" s="248"/>
      <c r="G8" s="249" t="str">
        <f>'Calcs-WR'!G$180</f>
        <v>£m</v>
      </c>
      <c r="H8" s="249">
        <f>'Calcs-WR'!H$180</f>
        <v>0</v>
      </c>
      <c r="I8" s="270"/>
      <c r="J8" s="249">
        <f>'Calcs-WR'!J$180</f>
        <v>0</v>
      </c>
      <c r="K8" s="249">
        <f>'Calcs-WR'!K$180</f>
        <v>0</v>
      </c>
      <c r="L8" s="249">
        <f>'Calcs-WR'!L$180</f>
        <v>0</v>
      </c>
      <c r="M8" s="249">
        <f>'Calcs-WR'!M$180</f>
        <v>0</v>
      </c>
      <c r="N8" s="249">
        <f>'Calcs-WR'!N$180</f>
        <v>0</v>
      </c>
      <c r="O8" s="249">
        <f>'Calcs-WR'!O$180</f>
        <v>0</v>
      </c>
      <c r="P8" s="249">
        <f>'Calcs-WR'!P$180</f>
        <v>0</v>
      </c>
      <c r="Q8" s="249">
        <f>'Calcs-WR'!Q$180</f>
        <v>0.89706073318253843</v>
      </c>
      <c r="R8" s="249">
        <f>'Calcs-WR'!R$180</f>
        <v>0</v>
      </c>
    </row>
    <row r="9" spans="1:26" s="92" customFormat="1" x14ac:dyDescent="0.25">
      <c r="A9" s="164"/>
      <c r="B9" s="165"/>
      <c r="C9" s="166"/>
      <c r="D9" s="167"/>
      <c r="E9" s="30" t="str">
        <f>'Calcs-WR'!E$322</f>
        <v>Revenue adjustment for RCV run-off total - real - WR</v>
      </c>
      <c r="F9" s="248"/>
      <c r="G9" s="248" t="str">
        <f>'Calcs-WR'!G$322</f>
        <v>£m</v>
      </c>
      <c r="H9" s="270">
        <f>'Calcs-WR'!H$322</f>
        <v>0.137823807397984</v>
      </c>
      <c r="I9" s="270"/>
      <c r="J9" s="270">
        <f>'Calcs-WR'!J$322</f>
        <v>0</v>
      </c>
      <c r="K9" s="270">
        <f>'Calcs-WR'!K$322</f>
        <v>0</v>
      </c>
      <c r="L9" s="270">
        <f>'Calcs-WR'!L$322</f>
        <v>0</v>
      </c>
      <c r="M9" s="270">
        <f>'Calcs-WR'!M$322</f>
        <v>-5.3781836824375873E-3</v>
      </c>
      <c r="N9" s="270">
        <f>'Calcs-WR'!N$322</f>
        <v>9.888963331376158E-3</v>
      </c>
      <c r="O9" s="270">
        <f>'Calcs-WR'!O$322</f>
        <v>4.4735622013338333E-2</v>
      </c>
      <c r="P9" s="270">
        <f>'Calcs-WR'!P$322</f>
        <v>5.1708286701217458E-2</v>
      </c>
      <c r="Q9" s="270">
        <f>'Calcs-WR'!Q$322</f>
        <v>3.6869119034489639E-2</v>
      </c>
      <c r="R9" s="270">
        <f>'Calcs-WR'!R$322</f>
        <v>0</v>
      </c>
    </row>
    <row r="10" spans="1:26" s="92" customFormat="1" x14ac:dyDescent="0.25">
      <c r="A10" s="164"/>
      <c r="B10" s="165"/>
      <c r="C10" s="166"/>
      <c r="D10" s="167"/>
      <c r="E10" s="30" t="str">
        <f>'Calcs-WR'!E$323</f>
        <v>Revenue adjustment for return total - real -WR</v>
      </c>
      <c r="F10" s="248"/>
      <c r="G10" s="248" t="str">
        <f>'Calcs-WR'!G$323</f>
        <v>£m</v>
      </c>
      <c r="H10" s="270">
        <f>'Calcs-WR'!H$323</f>
        <v>6.7307270523382395E-2</v>
      </c>
      <c r="I10" s="270"/>
      <c r="J10" s="270">
        <f>'Calcs-WR'!J$323</f>
        <v>0</v>
      </c>
      <c r="K10" s="270">
        <f>'Calcs-WR'!K$323</f>
        <v>0</v>
      </c>
      <c r="L10" s="270">
        <f>'Calcs-WR'!L$323</f>
        <v>0</v>
      </c>
      <c r="M10" s="270">
        <f>'Calcs-WR'!M$323</f>
        <v>-2.2351781306659091E-3</v>
      </c>
      <c r="N10" s="270">
        <f>'Calcs-WR'!N$323</f>
        <v>5.0385047908154774E-3</v>
      </c>
      <c r="O10" s="270">
        <f>'Calcs-WR'!O$323</f>
        <v>2.1649031319109693E-2</v>
      </c>
      <c r="P10" s="270">
        <f>'Calcs-WR'!P$323</f>
        <v>2.4968220288951015E-2</v>
      </c>
      <c r="Q10" s="270">
        <f>'Calcs-WR'!Q$323</f>
        <v>1.7886692255172122E-2</v>
      </c>
      <c r="R10" s="270">
        <f>'Calcs-WR'!R$323</f>
        <v>0</v>
      </c>
    </row>
    <row r="11" spans="1:26" s="92" customFormat="1" x14ac:dyDescent="0.25">
      <c r="A11" s="164"/>
      <c r="B11" s="165"/>
      <c r="C11" s="166"/>
      <c r="D11" s="167"/>
      <c r="E11" s="30" t="str">
        <f>'Calcs-WR'!E$324</f>
        <v>Revenue adjustment total - real - WR</v>
      </c>
      <c r="F11" s="248"/>
      <c r="G11" s="248" t="str">
        <f>'Calcs-WR'!G$324</f>
        <v>£m</v>
      </c>
      <c r="H11" s="270">
        <f>'Calcs-WR'!H$324</f>
        <v>0.20513107792136639</v>
      </c>
      <c r="I11" s="270"/>
      <c r="J11" s="270">
        <f>'Calcs-WR'!J$324</f>
        <v>0</v>
      </c>
      <c r="K11" s="270">
        <f>'Calcs-WR'!K$324</f>
        <v>0</v>
      </c>
      <c r="L11" s="270">
        <f>'Calcs-WR'!L$324</f>
        <v>0</v>
      </c>
      <c r="M11" s="270">
        <f>'Calcs-WR'!M$324</f>
        <v>-7.6133618131034968E-3</v>
      </c>
      <c r="N11" s="270">
        <f>'Calcs-WR'!N$324</f>
        <v>1.4927468122191635E-2</v>
      </c>
      <c r="O11" s="270">
        <f>'Calcs-WR'!O$324</f>
        <v>6.6384653332448029E-2</v>
      </c>
      <c r="P11" s="270">
        <f>'Calcs-WR'!P$324</f>
        <v>7.667650699016848E-2</v>
      </c>
      <c r="Q11" s="270">
        <f>'Calcs-WR'!Q$324</f>
        <v>5.4755811289661761E-2</v>
      </c>
      <c r="R11" s="270">
        <f>'Calcs-WR'!R$324</f>
        <v>0</v>
      </c>
    </row>
    <row r="12" spans="1:26" s="92" customFormat="1" x14ac:dyDescent="0.25">
      <c r="A12" s="164"/>
      <c r="B12" s="165"/>
      <c r="C12" s="166"/>
      <c r="D12" s="167"/>
      <c r="E12" s="30"/>
      <c r="F12" s="248"/>
      <c r="G12" s="248"/>
      <c r="H12" s="270"/>
      <c r="I12" s="270"/>
      <c r="J12" s="270"/>
      <c r="K12" s="270"/>
      <c r="L12" s="270"/>
      <c r="M12" s="270"/>
      <c r="N12" s="270"/>
      <c r="O12" s="270"/>
      <c r="P12" s="270"/>
      <c r="Q12" s="270"/>
      <c r="R12" s="270"/>
    </row>
    <row r="13" spans="1:26" x14ac:dyDescent="0.25">
      <c r="A13" s="49"/>
      <c r="B13" s="61" t="s">
        <v>579</v>
      </c>
      <c r="D13" s="57"/>
    </row>
    <row r="14" spans="1:26" s="92" customFormat="1" x14ac:dyDescent="0.25">
      <c r="A14" s="164"/>
      <c r="B14" s="165"/>
      <c r="C14" s="166"/>
      <c r="D14" s="167"/>
      <c r="E14" s="30" t="str">
        <f>'Calcs-WN'!E$180</f>
        <v>RCV adjustment at end of period - real -WN</v>
      </c>
      <c r="F14" s="248"/>
      <c r="G14" s="249" t="str">
        <f>'Calcs-WN'!G$180</f>
        <v>£m</v>
      </c>
      <c r="H14" s="249">
        <f>'Calcs-WN'!H$180</f>
        <v>0</v>
      </c>
      <c r="I14" s="270"/>
      <c r="J14" s="249">
        <f>'Calcs-WN'!J$180</f>
        <v>0</v>
      </c>
      <c r="K14" s="249">
        <f>'Calcs-WN'!K$180</f>
        <v>0</v>
      </c>
      <c r="L14" s="249">
        <f>'Calcs-WN'!L$180</f>
        <v>0</v>
      </c>
      <c r="M14" s="249">
        <f>'Calcs-WN'!M$180</f>
        <v>0</v>
      </c>
      <c r="N14" s="249">
        <f>'Calcs-WN'!N$180</f>
        <v>0</v>
      </c>
      <c r="O14" s="249">
        <f>'Calcs-WN'!O$180</f>
        <v>0</v>
      </c>
      <c r="P14" s="249">
        <f>'Calcs-WN'!P$180</f>
        <v>0</v>
      </c>
      <c r="Q14" s="249">
        <f>'Calcs-WN'!Q$180</f>
        <v>16.858923759878621</v>
      </c>
      <c r="R14" s="249">
        <f>'Calcs-WN'!R$180</f>
        <v>0</v>
      </c>
    </row>
    <row r="15" spans="1:26" s="92" customFormat="1" x14ac:dyDescent="0.25">
      <c r="A15" s="164"/>
      <c r="B15" s="165"/>
      <c r="C15" s="166"/>
      <c r="D15" s="167"/>
      <c r="E15" s="30" t="str">
        <f>'Calcs-WN'!E$322</f>
        <v>Revenue adjustment for RCV run-off total - real - WN</v>
      </c>
      <c r="F15" s="248"/>
      <c r="G15" s="248" t="str">
        <f>'Calcs-WN'!G$322</f>
        <v>£m</v>
      </c>
      <c r="H15" s="270">
        <f>'Calcs-WN'!H$322</f>
        <v>2.6615766080255443</v>
      </c>
      <c r="I15" s="270"/>
      <c r="J15" s="270">
        <f>'Calcs-WN'!J$322</f>
        <v>0</v>
      </c>
      <c r="K15" s="270">
        <f>'Calcs-WN'!K$322</f>
        <v>0</v>
      </c>
      <c r="L15" s="270">
        <f>'Calcs-WN'!L$322</f>
        <v>0</v>
      </c>
      <c r="M15" s="270">
        <f>'Calcs-WN'!M$322</f>
        <v>-0.10417645991642847</v>
      </c>
      <c r="N15" s="270">
        <f>'Calcs-WN'!N$322</f>
        <v>0.19135171177931889</v>
      </c>
      <c r="O15" s="270">
        <f>'Calcs-WN'!O$322</f>
        <v>0.86473430028234155</v>
      </c>
      <c r="P15" s="270">
        <f>'Calcs-WN'!P$322</f>
        <v>0.99847449172148373</v>
      </c>
      <c r="Q15" s="270">
        <f>'Calcs-WN'!Q$322</f>
        <v>0.71119256415882859</v>
      </c>
      <c r="R15" s="270">
        <f>'Calcs-WN'!R$322</f>
        <v>0</v>
      </c>
    </row>
    <row r="16" spans="1:26" s="92" customFormat="1" x14ac:dyDescent="0.25">
      <c r="A16" s="164"/>
      <c r="B16" s="165"/>
      <c r="C16" s="166"/>
      <c r="D16" s="167"/>
      <c r="E16" s="30" t="str">
        <f>'Calcs-WN'!E$323</f>
        <v>Revenue adjustment for return total - real - WN</v>
      </c>
      <c r="F16" s="248"/>
      <c r="G16" s="248" t="str">
        <f>'Calcs-WN'!G$323</f>
        <v>£m</v>
      </c>
      <c r="H16" s="270">
        <f>'Calcs-WN'!H$323</f>
        <v>1.2673105494357522</v>
      </c>
      <c r="I16" s="270"/>
      <c r="J16" s="270">
        <f>'Calcs-WN'!J$323</f>
        <v>0</v>
      </c>
      <c r="K16" s="270">
        <f>'Calcs-WN'!K$323</f>
        <v>0</v>
      </c>
      <c r="L16" s="270">
        <f>'Calcs-WN'!L$323</f>
        <v>0</v>
      </c>
      <c r="M16" s="270">
        <f>'Calcs-WN'!M$323</f>
        <v>-4.2167822951182127E-2</v>
      </c>
      <c r="N16" s="270">
        <f>'Calcs-WN'!N$323</f>
        <v>9.5080554205289547E-2</v>
      </c>
      <c r="O16" s="270">
        <f>'Calcs-WN'!O$323</f>
        <v>0.40797454504960806</v>
      </c>
      <c r="P16" s="270">
        <f>'Calcs-WN'!P$323</f>
        <v>0.47003253575351162</v>
      </c>
      <c r="Q16" s="270">
        <f>'Calcs-WN'!Q$323</f>
        <v>0.33639073737852515</v>
      </c>
      <c r="R16" s="270">
        <f>'Calcs-WN'!R$323</f>
        <v>0</v>
      </c>
    </row>
    <row r="17" spans="1:18" s="92" customFormat="1" x14ac:dyDescent="0.25">
      <c r="A17" s="164"/>
      <c r="B17" s="165"/>
      <c r="C17" s="166"/>
      <c r="D17" s="167"/>
      <c r="E17" s="30" t="str">
        <f>'Calcs-WN'!E$324</f>
        <v>Revenue adjustment total - real - WN</v>
      </c>
      <c r="F17" s="248"/>
      <c r="G17" s="248" t="str">
        <f>'Calcs-WN'!G$324</f>
        <v>£m</v>
      </c>
      <c r="H17" s="270">
        <f>'Calcs-WN'!H$324</f>
        <v>3.9288871574612965</v>
      </c>
      <c r="I17" s="270"/>
      <c r="J17" s="270">
        <f>'Calcs-WN'!J$324</f>
        <v>0</v>
      </c>
      <c r="K17" s="270">
        <f>'Calcs-WN'!K$324</f>
        <v>0</v>
      </c>
      <c r="L17" s="270">
        <f>'Calcs-WN'!L$324</f>
        <v>0</v>
      </c>
      <c r="M17" s="270">
        <f>'Calcs-WN'!M$324</f>
        <v>-0.14634428286761059</v>
      </c>
      <c r="N17" s="270">
        <f>'Calcs-WN'!N$324</f>
        <v>0.28643226598460841</v>
      </c>
      <c r="O17" s="270">
        <f>'Calcs-WN'!O$324</f>
        <v>1.2727088453319495</v>
      </c>
      <c r="P17" s="270">
        <f>'Calcs-WN'!P$324</f>
        <v>1.4685070274749954</v>
      </c>
      <c r="Q17" s="270">
        <f>'Calcs-WN'!Q$324</f>
        <v>1.0475833015373537</v>
      </c>
      <c r="R17" s="270">
        <f>'Calcs-WN'!R$324</f>
        <v>0</v>
      </c>
    </row>
    <row r="18" spans="1:18" s="92" customFormat="1" x14ac:dyDescent="0.25">
      <c r="A18" s="164"/>
      <c r="B18" s="165"/>
      <c r="C18" s="166"/>
      <c r="D18" s="167"/>
      <c r="E18" s="30"/>
      <c r="F18" s="248"/>
      <c r="G18" s="248"/>
      <c r="H18" s="270"/>
      <c r="I18" s="270"/>
      <c r="J18" s="270"/>
      <c r="K18" s="270"/>
      <c r="L18" s="270"/>
      <c r="M18" s="270"/>
      <c r="N18" s="270"/>
      <c r="O18" s="270"/>
      <c r="P18" s="270"/>
      <c r="Q18" s="270"/>
      <c r="R18" s="270"/>
    </row>
    <row r="19" spans="1:18" x14ac:dyDescent="0.25">
      <c r="A19" s="49"/>
      <c r="B19" s="61" t="s">
        <v>580</v>
      </c>
      <c r="D19" s="57"/>
    </row>
    <row r="20" spans="1:18" s="92" customFormat="1" x14ac:dyDescent="0.25">
      <c r="A20" s="164"/>
      <c r="B20" s="165"/>
      <c r="C20" s="166"/>
      <c r="D20" s="167"/>
      <c r="E20" s="30" t="str">
        <f>'Calcs-WWN'!E$180</f>
        <v>RCV adjustment at end of period - real - WWN</v>
      </c>
      <c r="F20" s="248"/>
      <c r="G20" s="249" t="str">
        <f>'Calcs-WWN'!G$180</f>
        <v>£m</v>
      </c>
      <c r="H20" s="249">
        <f>'Calcs-WWN'!H$180</f>
        <v>0</v>
      </c>
      <c r="I20" s="270"/>
      <c r="J20" s="249">
        <f>'Calcs-WWN'!J$180</f>
        <v>0</v>
      </c>
      <c r="K20" s="249">
        <f>'Calcs-WWN'!K$180</f>
        <v>0</v>
      </c>
      <c r="L20" s="249">
        <f>'Calcs-WWN'!L$180</f>
        <v>0</v>
      </c>
      <c r="M20" s="249">
        <f>'Calcs-WWN'!M$180</f>
        <v>0</v>
      </c>
      <c r="N20" s="249">
        <f>'Calcs-WWN'!N$180</f>
        <v>0</v>
      </c>
      <c r="O20" s="249">
        <f>'Calcs-WWN'!O$180</f>
        <v>0</v>
      </c>
      <c r="P20" s="249">
        <f>'Calcs-WWN'!P$180</f>
        <v>0</v>
      </c>
      <c r="Q20" s="249">
        <f>'Calcs-WWN'!Q$180</f>
        <v>0</v>
      </c>
      <c r="R20" s="249">
        <f>'Calcs-WWN'!R$180</f>
        <v>0</v>
      </c>
    </row>
    <row r="21" spans="1:18" s="92" customFormat="1" x14ac:dyDescent="0.25">
      <c r="A21" s="164"/>
      <c r="B21" s="165"/>
      <c r="C21" s="166"/>
      <c r="D21" s="167"/>
      <c r="E21" s="30" t="str">
        <f>'Calcs-WWN'!E$322</f>
        <v>Revenue adjustment for RCV run-off total - real - WWN</v>
      </c>
      <c r="F21" s="248"/>
      <c r="G21" s="248" t="str">
        <f>'Calcs-WWN'!G$322</f>
        <v>£m</v>
      </c>
      <c r="H21" s="270">
        <f>'Calcs-WWN'!H$322</f>
        <v>0</v>
      </c>
      <c r="I21" s="270"/>
      <c r="J21" s="270">
        <f>'Calcs-WWN'!J$322</f>
        <v>0</v>
      </c>
      <c r="K21" s="270">
        <f>'Calcs-WWN'!K$322</f>
        <v>0</v>
      </c>
      <c r="L21" s="270">
        <f>'Calcs-WWN'!L$322</f>
        <v>0</v>
      </c>
      <c r="M21" s="270">
        <f>'Calcs-WWN'!M$322</f>
        <v>0</v>
      </c>
      <c r="N21" s="270">
        <f>'Calcs-WWN'!N$322</f>
        <v>0</v>
      </c>
      <c r="O21" s="270">
        <f>'Calcs-WWN'!O$322</f>
        <v>0</v>
      </c>
      <c r="P21" s="270">
        <f>'Calcs-WWN'!P$322</f>
        <v>0</v>
      </c>
      <c r="Q21" s="270">
        <f>'Calcs-WWN'!Q$322</f>
        <v>0</v>
      </c>
      <c r="R21" s="270">
        <f>'Calcs-WWN'!R$322</f>
        <v>0</v>
      </c>
    </row>
    <row r="22" spans="1:18" s="92" customFormat="1" x14ac:dyDescent="0.25">
      <c r="A22" s="164"/>
      <c r="B22" s="165"/>
      <c r="C22" s="166"/>
      <c r="D22" s="167"/>
      <c r="E22" s="30" t="str">
        <f>'Calcs-WWN'!E$323</f>
        <v>Revenue adjustment for return total - real - WWN</v>
      </c>
      <c r="F22" s="248"/>
      <c r="G22" s="248" t="str">
        <f>'Calcs-WWN'!G$323</f>
        <v>£m</v>
      </c>
      <c r="H22" s="270">
        <f>'Calcs-WWN'!H$323</f>
        <v>0</v>
      </c>
      <c r="I22" s="270"/>
      <c r="J22" s="270">
        <f>'Calcs-WWN'!J$323</f>
        <v>0</v>
      </c>
      <c r="K22" s="270">
        <f>'Calcs-WWN'!K$323</f>
        <v>0</v>
      </c>
      <c r="L22" s="270">
        <f>'Calcs-WWN'!L$323</f>
        <v>0</v>
      </c>
      <c r="M22" s="270">
        <f>'Calcs-WWN'!M$323</f>
        <v>0</v>
      </c>
      <c r="N22" s="270">
        <f>'Calcs-WWN'!N$323</f>
        <v>0</v>
      </c>
      <c r="O22" s="270">
        <f>'Calcs-WWN'!O$323</f>
        <v>0</v>
      </c>
      <c r="P22" s="270">
        <f>'Calcs-WWN'!P$323</f>
        <v>0</v>
      </c>
      <c r="Q22" s="270">
        <f>'Calcs-WWN'!Q$323</f>
        <v>0</v>
      </c>
      <c r="R22" s="270">
        <f>'Calcs-WWN'!R$323</f>
        <v>0</v>
      </c>
    </row>
    <row r="23" spans="1:18" s="92" customFormat="1" x14ac:dyDescent="0.25">
      <c r="A23" s="164"/>
      <c r="B23" s="165"/>
      <c r="C23" s="166"/>
      <c r="D23" s="167"/>
      <c r="E23" s="30" t="str">
        <f>'Calcs-WWN'!E$324</f>
        <v>Revenue adjustment total - real - WWN</v>
      </c>
      <c r="F23" s="248"/>
      <c r="G23" s="248" t="str">
        <f>'Calcs-WWN'!G$324</f>
        <v>£m</v>
      </c>
      <c r="H23" s="270">
        <f>'Calcs-WWN'!H$324</f>
        <v>0</v>
      </c>
      <c r="I23" s="270"/>
      <c r="J23" s="270">
        <f>'Calcs-WWN'!J$324</f>
        <v>0</v>
      </c>
      <c r="K23" s="270">
        <f>'Calcs-WWN'!K$324</f>
        <v>0</v>
      </c>
      <c r="L23" s="270">
        <f>'Calcs-WWN'!L$324</f>
        <v>0</v>
      </c>
      <c r="M23" s="270">
        <f>'Calcs-WWN'!M$324</f>
        <v>0</v>
      </c>
      <c r="N23" s="270">
        <f>'Calcs-WWN'!N$324</f>
        <v>0</v>
      </c>
      <c r="O23" s="270">
        <f>'Calcs-WWN'!O$324</f>
        <v>0</v>
      </c>
      <c r="P23" s="270">
        <f>'Calcs-WWN'!P$324</f>
        <v>0</v>
      </c>
      <c r="Q23" s="270">
        <f>'Calcs-WWN'!Q$324</f>
        <v>0</v>
      </c>
      <c r="R23" s="270">
        <f>'Calcs-WWN'!R$324</f>
        <v>0</v>
      </c>
    </row>
    <row r="24" spans="1:18" s="92" customFormat="1" x14ac:dyDescent="0.25">
      <c r="A24" s="164"/>
      <c r="B24" s="165"/>
      <c r="C24" s="166"/>
      <c r="D24" s="167"/>
      <c r="E24" s="30"/>
      <c r="F24" s="248"/>
      <c r="G24" s="248"/>
      <c r="H24" s="270"/>
      <c r="I24" s="270"/>
      <c r="J24" s="270"/>
      <c r="K24" s="270"/>
      <c r="L24" s="270"/>
      <c r="M24" s="270"/>
      <c r="N24" s="270"/>
      <c r="O24" s="270"/>
      <c r="P24" s="270"/>
      <c r="Q24" s="270"/>
      <c r="R24" s="270"/>
    </row>
    <row r="25" spans="1:18" x14ac:dyDescent="0.25">
      <c r="A25" s="49"/>
      <c r="B25" s="61" t="s">
        <v>581</v>
      </c>
      <c r="D25" s="57"/>
    </row>
    <row r="26" spans="1:18" s="92" customFormat="1" x14ac:dyDescent="0.25">
      <c r="A26" s="164"/>
      <c r="B26" s="165"/>
      <c r="C26" s="166"/>
      <c r="D26" s="167"/>
      <c r="E26" s="30" t="str">
        <f>'Calcs-BR'!E$180</f>
        <v>RCV adjustment at end of period - real - BR</v>
      </c>
      <c r="F26" s="248"/>
      <c r="G26" s="249" t="str">
        <f>'Calcs-BR'!G$180</f>
        <v>£m</v>
      </c>
      <c r="H26" s="249">
        <f>'Calcs-BR'!H$180</f>
        <v>0</v>
      </c>
      <c r="I26" s="270"/>
      <c r="J26" s="249">
        <f>'Calcs-BR'!J$180</f>
        <v>0</v>
      </c>
      <c r="K26" s="249">
        <f>'Calcs-BR'!K$180</f>
        <v>0</v>
      </c>
      <c r="L26" s="249">
        <f>'Calcs-BR'!L$180</f>
        <v>0</v>
      </c>
      <c r="M26" s="249">
        <f>'Calcs-BR'!M$180</f>
        <v>0</v>
      </c>
      <c r="N26" s="249">
        <f>'Calcs-BR'!N$180</f>
        <v>0</v>
      </c>
      <c r="O26" s="249">
        <f>'Calcs-BR'!O$180</f>
        <v>0</v>
      </c>
      <c r="P26" s="249">
        <f>'Calcs-BR'!P$180</f>
        <v>0</v>
      </c>
      <c r="Q26" s="249">
        <f>'Calcs-BR'!Q$180</f>
        <v>0</v>
      </c>
      <c r="R26" s="249">
        <f>'Calcs-BR'!R$180</f>
        <v>0</v>
      </c>
    </row>
    <row r="27" spans="1:18" s="92" customFormat="1" x14ac:dyDescent="0.25">
      <c r="A27" s="164"/>
      <c r="B27" s="165"/>
      <c r="C27" s="166"/>
      <c r="D27" s="167"/>
      <c r="E27" s="30" t="str">
        <f>'Calcs-BR'!E$322</f>
        <v>Revenue adjustment for RCV run-off total - real - BR</v>
      </c>
      <c r="F27" s="248"/>
      <c r="G27" s="248" t="str">
        <f>'Calcs-BR'!G$322</f>
        <v>£m</v>
      </c>
      <c r="H27" s="270">
        <f>'Calcs-BR'!H$322</f>
        <v>0</v>
      </c>
      <c r="I27" s="270"/>
      <c r="J27" s="270">
        <f>'Calcs-BR'!J$322</f>
        <v>0</v>
      </c>
      <c r="K27" s="270">
        <f>'Calcs-BR'!K$322</f>
        <v>0</v>
      </c>
      <c r="L27" s="270">
        <f>'Calcs-BR'!L$322</f>
        <v>0</v>
      </c>
      <c r="M27" s="270">
        <f>'Calcs-BR'!M$322</f>
        <v>0</v>
      </c>
      <c r="N27" s="270">
        <f>'Calcs-BR'!N$322</f>
        <v>0</v>
      </c>
      <c r="O27" s="270">
        <f>'Calcs-BR'!O$322</f>
        <v>0</v>
      </c>
      <c r="P27" s="270">
        <f>'Calcs-BR'!P$322</f>
        <v>0</v>
      </c>
      <c r="Q27" s="270">
        <f>'Calcs-BR'!Q$322</f>
        <v>0</v>
      </c>
      <c r="R27" s="270">
        <f>'Calcs-BR'!R$322</f>
        <v>0</v>
      </c>
    </row>
    <row r="28" spans="1:18" s="92" customFormat="1" x14ac:dyDescent="0.25">
      <c r="A28" s="164"/>
      <c r="B28" s="165"/>
      <c r="C28" s="166"/>
      <c r="D28" s="167"/>
      <c r="E28" s="30" t="str">
        <f>'Calcs-BR'!E$323</f>
        <v>Revenue adjustment for return total - real - BR</v>
      </c>
      <c r="F28" s="248"/>
      <c r="G28" s="248" t="str">
        <f>'Calcs-BR'!G$323</f>
        <v>£m</v>
      </c>
      <c r="H28" s="270">
        <f>'Calcs-BR'!H$323</f>
        <v>0</v>
      </c>
      <c r="I28" s="270"/>
      <c r="J28" s="270">
        <f>'Calcs-BR'!J$323</f>
        <v>0</v>
      </c>
      <c r="K28" s="270">
        <f>'Calcs-BR'!K$323</f>
        <v>0</v>
      </c>
      <c r="L28" s="270">
        <f>'Calcs-BR'!L$323</f>
        <v>0</v>
      </c>
      <c r="M28" s="270">
        <f>'Calcs-BR'!M$323</f>
        <v>0</v>
      </c>
      <c r="N28" s="270">
        <f>'Calcs-BR'!N$323</f>
        <v>0</v>
      </c>
      <c r="O28" s="270">
        <f>'Calcs-BR'!O$323</f>
        <v>0</v>
      </c>
      <c r="P28" s="270">
        <f>'Calcs-BR'!P$323</f>
        <v>0</v>
      </c>
      <c r="Q28" s="270">
        <f>'Calcs-BR'!Q$323</f>
        <v>0</v>
      </c>
      <c r="R28" s="270">
        <f>'Calcs-BR'!R$323</f>
        <v>0</v>
      </c>
    </row>
    <row r="29" spans="1:18" s="92" customFormat="1" x14ac:dyDescent="0.25">
      <c r="A29" s="164"/>
      <c r="B29" s="165"/>
      <c r="C29" s="166"/>
      <c r="D29" s="167"/>
      <c r="E29" s="30" t="str">
        <f>'Calcs-BR'!E$324</f>
        <v>Revenue adjustment total - real - BR</v>
      </c>
      <c r="F29" s="248"/>
      <c r="G29" s="248" t="str">
        <f>'Calcs-BR'!G$324</f>
        <v>£m</v>
      </c>
      <c r="H29" s="270">
        <f>'Calcs-BR'!H$324</f>
        <v>0</v>
      </c>
      <c r="I29" s="270"/>
      <c r="J29" s="270">
        <f>'Calcs-BR'!J$324</f>
        <v>0</v>
      </c>
      <c r="K29" s="270">
        <f>'Calcs-BR'!K$324</f>
        <v>0</v>
      </c>
      <c r="L29" s="270">
        <f>'Calcs-BR'!L$324</f>
        <v>0</v>
      </c>
      <c r="M29" s="270">
        <f>'Calcs-BR'!M$324</f>
        <v>0</v>
      </c>
      <c r="N29" s="270">
        <f>'Calcs-BR'!N$324</f>
        <v>0</v>
      </c>
      <c r="O29" s="270">
        <f>'Calcs-BR'!O$324</f>
        <v>0</v>
      </c>
      <c r="P29" s="270">
        <f>'Calcs-BR'!P$324</f>
        <v>0</v>
      </c>
      <c r="Q29" s="270">
        <f>'Calcs-BR'!Q$324</f>
        <v>0</v>
      </c>
      <c r="R29" s="270">
        <f>'Calcs-BR'!R$324</f>
        <v>0</v>
      </c>
    </row>
    <row r="30" spans="1:18" s="92" customFormat="1" x14ac:dyDescent="0.25">
      <c r="A30" s="164"/>
      <c r="B30" s="165"/>
      <c r="C30" s="166"/>
      <c r="D30" s="167"/>
      <c r="E30" s="30"/>
      <c r="F30" s="248"/>
      <c r="G30" s="248"/>
      <c r="H30" s="270"/>
      <c r="I30" s="270"/>
      <c r="J30" s="270"/>
      <c r="K30" s="270"/>
      <c r="L30" s="270"/>
      <c r="M30" s="270"/>
      <c r="N30" s="270"/>
      <c r="O30" s="270"/>
      <c r="P30" s="270"/>
      <c r="Q30" s="270"/>
      <c r="R30" s="270"/>
    </row>
    <row r="31" spans="1:18" x14ac:dyDescent="0.25">
      <c r="A31" s="49"/>
      <c r="B31" s="61" t="s">
        <v>582</v>
      </c>
      <c r="D31" s="57"/>
    </row>
    <row r="32" spans="1:18" s="92" customFormat="1" x14ac:dyDescent="0.25">
      <c r="A32" s="164"/>
      <c r="B32" s="165"/>
      <c r="C32" s="166"/>
      <c r="D32" s="167"/>
      <c r="E32" s="30" t="str">
        <f>'Calcs-DMMY'!E$180</f>
        <v>RCV adjustment at end of period - real - DMMY</v>
      </c>
      <c r="F32" s="248"/>
      <c r="G32" s="249" t="str">
        <f>'Calcs-DMMY'!G$180</f>
        <v>£m</v>
      </c>
      <c r="H32" s="249">
        <f>'Calcs-DMMY'!H$180</f>
        <v>0</v>
      </c>
      <c r="I32" s="270"/>
      <c r="J32" s="249">
        <f>'Calcs-DMMY'!J$180</f>
        <v>0</v>
      </c>
      <c r="K32" s="249">
        <f>'Calcs-DMMY'!K$180</f>
        <v>0</v>
      </c>
      <c r="L32" s="249">
        <f>'Calcs-DMMY'!L$180</f>
        <v>0</v>
      </c>
      <c r="M32" s="249">
        <f>'Calcs-DMMY'!M$180</f>
        <v>0</v>
      </c>
      <c r="N32" s="249">
        <f>'Calcs-DMMY'!N$180</f>
        <v>0</v>
      </c>
      <c r="O32" s="249">
        <f>'Calcs-DMMY'!O$180</f>
        <v>0</v>
      </c>
      <c r="P32" s="249">
        <f>'Calcs-DMMY'!P$180</f>
        <v>0</v>
      </c>
      <c r="Q32" s="249">
        <f>'Calcs-DMMY'!Q$180</f>
        <v>0</v>
      </c>
      <c r="R32" s="249">
        <f>'Calcs-DMMY'!R$180</f>
        <v>0</v>
      </c>
    </row>
    <row r="33" spans="1:18" s="92" customFormat="1" x14ac:dyDescent="0.25">
      <c r="A33" s="164"/>
      <c r="B33" s="165"/>
      <c r="C33" s="166"/>
      <c r="D33" s="167"/>
      <c r="E33" s="30" t="str">
        <f>'Calcs-DMMY'!E$322</f>
        <v>Revenue adjustment for RCV run-off total - real - DMMY</v>
      </c>
      <c r="F33" s="248"/>
      <c r="G33" s="248" t="str">
        <f>'Calcs-DMMY'!G$322</f>
        <v>£m</v>
      </c>
      <c r="H33" s="270">
        <f>'Calcs-DMMY'!H$322</f>
        <v>0</v>
      </c>
      <c r="I33" s="270"/>
      <c r="J33" s="270">
        <f>'Calcs-DMMY'!J$322</f>
        <v>0</v>
      </c>
      <c r="K33" s="270">
        <f>'Calcs-DMMY'!K$322</f>
        <v>0</v>
      </c>
      <c r="L33" s="270">
        <f>'Calcs-DMMY'!L$322</f>
        <v>0</v>
      </c>
      <c r="M33" s="270">
        <f>'Calcs-DMMY'!M$322</f>
        <v>0</v>
      </c>
      <c r="N33" s="270">
        <f>'Calcs-DMMY'!N$322</f>
        <v>0</v>
      </c>
      <c r="O33" s="270">
        <f>'Calcs-DMMY'!O$322</f>
        <v>0</v>
      </c>
      <c r="P33" s="270">
        <f>'Calcs-DMMY'!P$322</f>
        <v>0</v>
      </c>
      <c r="Q33" s="270">
        <f>'Calcs-DMMY'!Q$322</f>
        <v>0</v>
      </c>
      <c r="R33" s="270">
        <f>'Calcs-DMMY'!R$322</f>
        <v>0</v>
      </c>
    </row>
    <row r="34" spans="1:18" s="92" customFormat="1" x14ac:dyDescent="0.25">
      <c r="A34" s="164"/>
      <c r="B34" s="165"/>
      <c r="C34" s="166"/>
      <c r="D34" s="167"/>
      <c r="E34" s="30" t="str">
        <f>'Calcs-DMMY'!E$323</f>
        <v>Revenue adjustment for return total - real - DMMY</v>
      </c>
      <c r="F34" s="248"/>
      <c r="G34" s="248" t="str">
        <f>'Calcs-DMMY'!G$323</f>
        <v>£m</v>
      </c>
      <c r="H34" s="270">
        <f>'Calcs-DMMY'!H$323</f>
        <v>0</v>
      </c>
      <c r="I34" s="270"/>
      <c r="J34" s="270">
        <f>'Calcs-DMMY'!J$323</f>
        <v>0</v>
      </c>
      <c r="K34" s="270">
        <f>'Calcs-DMMY'!K$323</f>
        <v>0</v>
      </c>
      <c r="L34" s="270">
        <f>'Calcs-DMMY'!L$323</f>
        <v>0</v>
      </c>
      <c r="M34" s="270">
        <f>'Calcs-DMMY'!M$323</f>
        <v>0</v>
      </c>
      <c r="N34" s="270">
        <f>'Calcs-DMMY'!N$323</f>
        <v>0</v>
      </c>
      <c r="O34" s="270">
        <f>'Calcs-DMMY'!O$323</f>
        <v>0</v>
      </c>
      <c r="P34" s="270">
        <f>'Calcs-DMMY'!P$323</f>
        <v>0</v>
      </c>
      <c r="Q34" s="270">
        <f>'Calcs-DMMY'!Q$323</f>
        <v>0</v>
      </c>
      <c r="R34" s="270">
        <f>'Calcs-DMMY'!R$323</f>
        <v>0</v>
      </c>
    </row>
    <row r="35" spans="1:18" s="92" customFormat="1" x14ac:dyDescent="0.25">
      <c r="A35" s="164"/>
      <c r="B35" s="165"/>
      <c r="C35" s="166"/>
      <c r="D35" s="167"/>
      <c r="E35" s="30" t="str">
        <f>'Calcs-DMMY'!E$324</f>
        <v>Revenue adjustment total - real - DMMY</v>
      </c>
      <c r="F35" s="248"/>
      <c r="G35" s="248" t="str">
        <f>'Calcs-DMMY'!G$324</f>
        <v>£m</v>
      </c>
      <c r="H35" s="270">
        <f>'Calcs-DMMY'!H$324</f>
        <v>0</v>
      </c>
      <c r="I35" s="270"/>
      <c r="J35" s="270">
        <f>'Calcs-DMMY'!J$324</f>
        <v>0</v>
      </c>
      <c r="K35" s="270">
        <f>'Calcs-DMMY'!K$324</f>
        <v>0</v>
      </c>
      <c r="L35" s="270">
        <f>'Calcs-DMMY'!L$324</f>
        <v>0</v>
      </c>
      <c r="M35" s="270">
        <f>'Calcs-DMMY'!M$324</f>
        <v>0</v>
      </c>
      <c r="N35" s="270">
        <f>'Calcs-DMMY'!N$324</f>
        <v>0</v>
      </c>
      <c r="O35" s="270">
        <f>'Calcs-DMMY'!O$324</f>
        <v>0</v>
      </c>
      <c r="P35" s="270">
        <f>'Calcs-DMMY'!P$324</f>
        <v>0</v>
      </c>
      <c r="Q35" s="270">
        <f>'Calcs-DMMY'!Q$324</f>
        <v>0</v>
      </c>
      <c r="R35" s="270">
        <f>'Calcs-DMMY'!R$324</f>
        <v>0</v>
      </c>
    </row>
    <row r="36" spans="1:18" s="92" customFormat="1" x14ac:dyDescent="0.25">
      <c r="A36" s="164"/>
      <c r="B36" s="165"/>
      <c r="C36" s="166"/>
      <c r="D36" s="167"/>
      <c r="E36" s="30"/>
      <c r="F36" s="248"/>
      <c r="G36" s="248"/>
      <c r="H36" s="270"/>
      <c r="I36" s="270"/>
      <c r="J36" s="270"/>
      <c r="K36" s="270"/>
      <c r="L36" s="270"/>
      <c r="M36" s="270"/>
      <c r="N36" s="270"/>
      <c r="O36" s="270"/>
      <c r="P36" s="270"/>
      <c r="Q36" s="270"/>
      <c r="R36" s="270"/>
    </row>
    <row r="37" spans="1:18" x14ac:dyDescent="0.3">
      <c r="A37" s="10" t="s">
        <v>62</v>
      </c>
      <c r="B37" s="1"/>
      <c r="C37" s="1"/>
      <c r="D37" s="1"/>
      <c r="E37" s="1"/>
      <c r="F37" s="1"/>
      <c r="G37" s="1"/>
      <c r="H37" s="1"/>
      <c r="I37" s="1"/>
      <c r="J37" s="1"/>
      <c r="K37" s="1"/>
      <c r="L37" s="1"/>
      <c r="M37" s="1"/>
      <c r="N37" s="1"/>
      <c r="O37" s="1"/>
      <c r="P37" s="1"/>
      <c r="Q37" s="1"/>
      <c r="R37" s="1"/>
    </row>
    <row r="38" spans="1:18" x14ac:dyDescent="0.25"/>
    <row r="39" spans="1:18" hidden="1" x14ac:dyDescent="0.25">
      <c r="J39" s="270"/>
      <c r="K39" s="270"/>
      <c r="L39" s="270"/>
      <c r="M39" s="270"/>
      <c r="N39" s="270"/>
      <c r="O39" s="270"/>
      <c r="P39" s="270"/>
      <c r="Q39" s="270"/>
      <c r="R39" s="270"/>
    </row>
    <row r="40" spans="1:18" hidden="1" x14ac:dyDescent="0.25">
      <c r="J40" s="270"/>
      <c r="K40" s="270"/>
      <c r="L40" s="270"/>
      <c r="M40" s="270"/>
      <c r="N40" s="270"/>
      <c r="O40" s="270"/>
      <c r="P40" s="270"/>
      <c r="Q40" s="270"/>
      <c r="R40" s="270"/>
    </row>
    <row r="41" spans="1:18" hidden="1" x14ac:dyDescent="0.25">
      <c r="J41" s="270"/>
      <c r="K41" s="270"/>
      <c r="L41" s="270"/>
      <c r="M41" s="270"/>
      <c r="N41" s="270"/>
      <c r="O41" s="270"/>
      <c r="P41" s="270"/>
      <c r="Q41" s="270"/>
      <c r="R41" s="270"/>
    </row>
  </sheetData>
  <conditionalFormatting sqref="F2">
    <cfRule type="cellIs" dxfId="13" priority="4" stopIfTrue="1" operator="notEqual">
      <formula>0</formula>
    </cfRule>
    <cfRule type="cellIs" dxfId="12" priority="5" stopIfTrue="1" operator="equal">
      <formula>""</formula>
    </cfRule>
  </conditionalFormatting>
  <conditionalFormatting sqref="J3:Z3">
    <cfRule type="cellIs" dxfId="11" priority="8" operator="equal">
      <formula>"Post-Fcst"</formula>
    </cfRule>
    <cfRule type="cellIs" dxfId="10" priority="9" operator="equal">
      <formula>"Forecast"</formula>
    </cfRule>
    <cfRule type="cellIs" dxfId="9" priority="10" operator="equal">
      <formula>"Pre Fcst"</formula>
    </cfRule>
  </conditionalFormatting>
  <pageMargins left="0.70866141732283472" right="0.70866141732283472" top="0.74803149606299213" bottom="0.74803149606299213" header="0.31496062992125984" footer="0.31496062992125984"/>
  <pageSetup paperSize="8" scale="71" fitToHeight="0" orientation="landscape" r:id="rId1"/>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46DED-B9CD-434C-8F82-1C3E23C8C726}">
  <sheetPr codeName="Sheet9">
    <tabColor rgb="FFCCFFFF"/>
    <outlinePr summaryBelow="0" summaryRight="0"/>
    <pageSetUpPr fitToPage="1"/>
  </sheetPr>
  <dimension ref="A1:CA23"/>
  <sheetViews>
    <sheetView showGridLines="0" zoomScale="80" zoomScaleNormal="80" workbookViewId="0"/>
  </sheetViews>
  <sheetFormatPr defaultColWidth="0" defaultRowHeight="13" zeroHeight="1" x14ac:dyDescent="0.25"/>
  <cols>
    <col min="1" max="1" width="1.453125" style="5" customWidth="1"/>
    <col min="2" max="3" width="1.453125" style="9" customWidth="1"/>
    <col min="4" max="4" width="1.453125" style="6" customWidth="1"/>
    <col min="5" max="5" width="48" style="7" bestFit="1" customWidth="1"/>
    <col min="6" max="6" width="12.54296875" style="7" customWidth="1"/>
    <col min="7" max="8" width="11.54296875" style="7" customWidth="1"/>
    <col min="9" max="9" width="2.54296875" style="7" customWidth="1"/>
    <col min="10" max="18" width="11.54296875" style="7" customWidth="1"/>
    <col min="19" max="79" width="11.54296875" style="7" hidden="1" customWidth="1"/>
    <col min="80" max="16384" width="0" style="7" hidden="1"/>
  </cols>
  <sheetData>
    <row r="1" spans="1:26" s="122" customFormat="1" ht="25" x14ac:dyDescent="0.5">
      <c r="A1" s="118" t="str">
        <f ca="1" xml:space="preserve"> RIGHT(CELL("filename", $A$1), LEN(CELL("filename", $A$1)) - SEARCH("]", CELL("filename", $A$1)))</f>
        <v>Checks</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t="str">
        <f>Time!E$11</f>
        <v>Model column counter</v>
      </c>
      <c r="F5" s="5" t="s">
        <v>186</v>
      </c>
      <c r="G5" s="5" t="s">
        <v>121</v>
      </c>
      <c r="H5" s="5" t="s">
        <v>289</v>
      </c>
      <c r="I5" s="21"/>
      <c r="J5" s="21">
        <f>Time!J$11</f>
        <v>1</v>
      </c>
      <c r="K5" s="21">
        <f>Time!K$11</f>
        <v>2</v>
      </c>
      <c r="L5" s="21">
        <f>Time!L$11</f>
        <v>3</v>
      </c>
      <c r="M5" s="21">
        <f>Time!M$11</f>
        <v>4</v>
      </c>
      <c r="N5" s="21">
        <f>Time!N$11</f>
        <v>5</v>
      </c>
      <c r="O5" s="21">
        <f>Time!O$11</f>
        <v>6</v>
      </c>
      <c r="P5" s="21">
        <f>Time!P$11</f>
        <v>7</v>
      </c>
      <c r="Q5" s="21">
        <f>Time!Q$11</f>
        <v>8</v>
      </c>
      <c r="R5" s="21">
        <f>Time!R$11</f>
        <v>9</v>
      </c>
      <c r="S5" s="21"/>
      <c r="T5" s="21"/>
      <c r="U5" s="21"/>
      <c r="V5" s="21"/>
      <c r="W5" s="21"/>
      <c r="X5" s="21"/>
      <c r="Y5" s="21"/>
      <c r="Z5" s="21"/>
    </row>
    <row r="6" spans="1:26" x14ac:dyDescent="0.25"/>
    <row r="7" spans="1:26" x14ac:dyDescent="0.25">
      <c r="A7" s="5" t="s">
        <v>583</v>
      </c>
    </row>
    <row r="8" spans="1:26" x14ac:dyDescent="0.25"/>
    <row r="9" spans="1:26" x14ac:dyDescent="0.25">
      <c r="E9" s="7" t="s">
        <v>584</v>
      </c>
      <c r="F9" s="29">
        <f>SUM(F11:F20)</f>
        <v>0</v>
      </c>
      <c r="G9" s="7" t="s">
        <v>585</v>
      </c>
    </row>
    <row r="10" spans="1:26" x14ac:dyDescent="0.25"/>
    <row r="11" spans="1:26" s="12" customFormat="1" x14ac:dyDescent="0.25">
      <c r="A11" s="15"/>
      <c r="B11" s="14"/>
      <c r="C11" s="14"/>
      <c r="D11" s="13"/>
      <c r="E11" s="12" t="s">
        <v>586</v>
      </c>
      <c r="F11" s="12" t="s">
        <v>587</v>
      </c>
    </row>
    <row r="12" spans="1:26" x14ac:dyDescent="0.25"/>
    <row r="13" spans="1:26" x14ac:dyDescent="0.25">
      <c r="E13" s="7" t="str">
        <f xml:space="preserve"> Time!E$78</f>
        <v>Modelling Period Check</v>
      </c>
      <c r="F13" s="33">
        <f xml:space="preserve"> Time!F$78</f>
        <v>0</v>
      </c>
      <c r="G13" s="7" t="str">
        <f xml:space="preserve"> Time!G$78</f>
        <v>check</v>
      </c>
    </row>
    <row r="14" spans="1:26" x14ac:dyDescent="0.25">
      <c r="E14" s="7" t="str">
        <f>'Calcs-WR'!E$166 &amp; "-WR"</f>
        <v>True-up correctly calculates revenue adjustment-WR</v>
      </c>
      <c r="F14" s="33">
        <f>'Calcs-WR'!F$166</f>
        <v>0</v>
      </c>
      <c r="G14" s="7" t="str">
        <f>'Calcs-WR'!G$166</f>
        <v>check</v>
      </c>
    </row>
    <row r="15" spans="1:26" x14ac:dyDescent="0.25">
      <c r="E15" s="7" t="str">
        <f>'Calcs-WN'!E$166 &amp; "-WN"</f>
        <v>True-up correctly calculates revenue adjustment-WN</v>
      </c>
      <c r="F15" s="33">
        <f>'Calcs-WN'!F$166</f>
        <v>0</v>
      </c>
      <c r="G15" s="7" t="str">
        <f>'Calcs-WN'!G$166</f>
        <v>check</v>
      </c>
    </row>
    <row r="16" spans="1:26" x14ac:dyDescent="0.25">
      <c r="E16" s="7" t="str">
        <f>'Calcs-WWN'!E$166 &amp; "-WWN"</f>
        <v>True-up correctly calculates revenue adjustment-WWN</v>
      </c>
      <c r="F16" s="33">
        <f>'Calcs-WWN'!F$166</f>
        <v>0</v>
      </c>
      <c r="G16" s="7" t="str">
        <f>'Calcs-WWN'!G$166</f>
        <v>check</v>
      </c>
    </row>
    <row r="17" spans="1:7" x14ac:dyDescent="0.25">
      <c r="E17" s="7" t="str">
        <f>'Calcs-BR'!E$166 &amp; "-BR"</f>
        <v>True-up correctly calculates revenue adjustment-BR</v>
      </c>
      <c r="F17" s="33">
        <f>'Calcs-BR'!F$166</f>
        <v>0</v>
      </c>
      <c r="G17" s="7" t="str">
        <f>'Calcs-BR'!G$166</f>
        <v>check</v>
      </c>
    </row>
    <row r="18" spans="1:7" x14ac:dyDescent="0.25">
      <c r="E18" s="7" t="str">
        <f>'Calcs-DMMY'!E$166 &amp; "-DMMY"</f>
        <v>True-up correctly calculates revenue adjustment-DMMY</v>
      </c>
      <c r="F18" s="33">
        <f>'Calcs-DMMY'!F$166</f>
        <v>0</v>
      </c>
      <c r="G18" s="7" t="str">
        <f>'Calcs-DMMY'!G$166</f>
        <v>check</v>
      </c>
    </row>
    <row r="19" spans="1:7" x14ac:dyDescent="0.25"/>
    <row r="20" spans="1:7" s="12" customFormat="1" x14ac:dyDescent="0.25">
      <c r="A20" s="15"/>
      <c r="B20" s="14"/>
      <c r="C20" s="14"/>
      <c r="D20" s="13"/>
      <c r="E20" s="12" t="s">
        <v>586</v>
      </c>
      <c r="F20" s="12" t="s">
        <v>588</v>
      </c>
    </row>
    <row r="21" spans="1:7" x14ac:dyDescent="0.25"/>
    <row r="22" spans="1:7" s="1" customFormat="1" x14ac:dyDescent="0.3">
      <c r="A22" s="10" t="s">
        <v>62</v>
      </c>
    </row>
    <row r="23" spans="1:7" x14ac:dyDescent="0.25"/>
  </sheetData>
  <conditionalFormatting sqref="F2">
    <cfRule type="cellIs" dxfId="8" priority="12" stopIfTrue="1" operator="notEqual">
      <formula>0</formula>
    </cfRule>
    <cfRule type="cellIs" dxfId="7" priority="13" stopIfTrue="1" operator="equal">
      <formula>""</formula>
    </cfRule>
  </conditionalFormatting>
  <conditionalFormatting sqref="F9">
    <cfRule type="cellIs" dxfId="6" priority="26" stopIfTrue="1" operator="notEqual">
      <formula>0</formula>
    </cfRule>
    <cfRule type="cellIs" dxfId="5" priority="27" stopIfTrue="1" operator="equal">
      <formula>""</formula>
    </cfRule>
  </conditionalFormatting>
  <conditionalFormatting sqref="F13:F18">
    <cfRule type="cellIs" dxfId="4" priority="1" stopIfTrue="1" operator="notEqual">
      <formula>0</formula>
    </cfRule>
    <cfRule type="cellIs" dxfId="3" priority="2" stopIfTrue="1" operator="equal">
      <formula>""</formula>
    </cfRule>
  </conditionalFormatting>
  <conditionalFormatting sqref="J3:Z3">
    <cfRule type="cellIs" dxfId="2" priority="16" operator="equal">
      <formula>"Post-Fcst"</formula>
    </cfRule>
    <cfRule type="cellIs" dxfId="1" priority="17" operator="equal">
      <formula>"Forecast"</formula>
    </cfRule>
    <cfRule type="cellIs" dxfId="0" priority="18" operator="equal">
      <formula>"Pre Fcst"</formula>
    </cfRule>
  </conditionalFormatting>
  <pageMargins left="0.70866141732283472" right="0.70866141732283472" top="0.74803149606299213" bottom="0.74803149606299213" header="0.31496062992125984" footer="0.31496062992125984"/>
  <pageSetup paperSize="8" scale="75" fitToHeight="0" orientation="landscape" r:id="rId1"/>
  <headerFooter>
    <oddHeader>&amp;L&amp;F&amp;CSheet: &amp;A&amp;ROFFICIAL</oddHeader>
    <oddFooter>&amp;LPrinted on &amp;D at &amp;T&amp;CPage &amp;P of &amp;N&amp;ROfwat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C5490-A5EB-4E18-9F3F-0A92298251B9}">
  <sheetPr>
    <tabColor rgb="FF99CCFF"/>
    <pageSetUpPr fitToPage="1"/>
  </sheetPr>
  <dimension ref="A1:F19"/>
  <sheetViews>
    <sheetView zoomScale="80" zoomScaleNormal="80" workbookViewId="0"/>
  </sheetViews>
  <sheetFormatPr defaultColWidth="9" defaultRowHeight="14" x14ac:dyDescent="0.3"/>
  <cols>
    <col min="1" max="1" width="10.453125" style="281" bestFit="1" customWidth="1"/>
    <col min="2" max="2" width="38.54296875" style="281" bestFit="1" customWidth="1"/>
    <col min="3" max="3" width="89.453125" style="281" bestFit="1" customWidth="1"/>
    <col min="4" max="4" width="5" style="281" bestFit="1" customWidth="1"/>
    <col min="5" max="5" width="18.7265625" style="281" customWidth="1"/>
    <col min="6" max="6" width="15.7265625" style="281" bestFit="1" customWidth="1"/>
    <col min="7" max="8" width="9" style="281"/>
    <col min="9" max="9" width="11.81640625" style="281" customWidth="1"/>
    <col min="10" max="16384" width="9" style="281"/>
  </cols>
  <sheetData>
    <row r="1" spans="1:6" ht="14.5" x14ac:dyDescent="0.35">
      <c r="B1"/>
      <c r="C1" s="282" t="s">
        <v>589</v>
      </c>
      <c r="D1"/>
      <c r="E1" s="282" t="s">
        <v>590</v>
      </c>
      <c r="F1"/>
    </row>
    <row r="2" spans="1:6" ht="14.5" x14ac:dyDescent="0.35">
      <c r="A2" s="283" t="s">
        <v>82</v>
      </c>
      <c r="B2" s="283" t="s">
        <v>119</v>
      </c>
      <c r="C2" s="283" t="s">
        <v>120</v>
      </c>
      <c r="D2" s="283" t="s">
        <v>121</v>
      </c>
      <c r="E2" s="283" t="s">
        <v>122</v>
      </c>
      <c r="F2" s="283" t="s">
        <v>130</v>
      </c>
    </row>
    <row r="4" spans="1:6" x14ac:dyDescent="0.3">
      <c r="B4" s="281" t="s">
        <v>591</v>
      </c>
      <c r="C4" s="281" t="s">
        <v>592</v>
      </c>
      <c r="D4" s="281" t="s">
        <v>361</v>
      </c>
      <c r="E4" s="281" t="s">
        <v>134</v>
      </c>
      <c r="F4" s="308" t="str">
        <f t="shared" ref="F4" ca="1" si="0">CONCATENATE("[…]", TEXT(NOW(),"dd/mm/yyy hh:mm:ss"))</f>
        <v>[…]25/09/2025 10:59:13</v>
      </c>
    </row>
    <row r="5" spans="1:6" s="284" customFormat="1" ht="14.5" x14ac:dyDescent="0.3">
      <c r="A5" s="281"/>
      <c r="B5" s="281" t="s">
        <v>593</v>
      </c>
      <c r="C5" s="281" t="s">
        <v>594</v>
      </c>
      <c r="D5" s="281" t="s">
        <v>361</v>
      </c>
      <c r="E5" s="281" t="s">
        <v>134</v>
      </c>
      <c r="F5" s="309" t="str">
        <f t="shared" ref="F5" ca="1" si="1">MID(CELL("filename"),SEARCH("[",CELL("filename"))+1,SEARCH("]",CELL("filename"))-SEARCH("[",CELL("filename"))-1)</f>
        <v>BYR2024-25DD_PR24 PD17 RPI-CPIH wedge model - South East Water.xlsx</v>
      </c>
    </row>
    <row r="6" spans="1:6" s="284" customFormat="1" ht="14.5" x14ac:dyDescent="0.3">
      <c r="A6" s="281"/>
      <c r="B6" s="281" t="s">
        <v>595</v>
      </c>
      <c r="C6" s="281" t="s">
        <v>596</v>
      </c>
      <c r="D6" s="281" t="s">
        <v>361</v>
      </c>
      <c r="E6" s="281" t="s">
        <v>134</v>
      </c>
      <c r="F6" s="310" t="str">
        <f>F_Inputs!$E$1</f>
        <v>Run on 13 Aug 2025 14:50</v>
      </c>
    </row>
    <row r="7" spans="1:6" x14ac:dyDescent="0.3">
      <c r="B7" s="281" t="s">
        <v>597</v>
      </c>
      <c r="C7" s="281" t="s">
        <v>598</v>
      </c>
      <c r="D7" s="281" t="s">
        <v>133</v>
      </c>
      <c r="E7" s="281" t="s">
        <v>134</v>
      </c>
      <c r="F7" s="311">
        <f>IF(SUM(InpOverride!$F$4:$M$27)&gt;0,1,0)</f>
        <v>0</v>
      </c>
    </row>
    <row r="8" spans="1:6" s="284" customFormat="1" ht="14.5" x14ac:dyDescent="0.3">
      <c r="A8" s="281"/>
      <c r="B8" s="281" t="s">
        <v>599</v>
      </c>
      <c r="C8" s="281" t="s">
        <v>600</v>
      </c>
      <c r="D8" s="281" t="s">
        <v>238</v>
      </c>
      <c r="E8" s="281" t="s">
        <v>134</v>
      </c>
      <c r="F8" s="355">
        <f>Adjustments!$Q$8</f>
        <v>0.89706073318253843</v>
      </c>
    </row>
    <row r="9" spans="1:6" s="284" customFormat="1" ht="14.5" x14ac:dyDescent="0.3">
      <c r="A9" s="281"/>
      <c r="B9" s="281" t="s">
        <v>601</v>
      </c>
      <c r="C9" s="281" t="s">
        <v>602</v>
      </c>
      <c r="D9" s="281" t="s">
        <v>238</v>
      </c>
      <c r="E9" s="281" t="s">
        <v>134</v>
      </c>
      <c r="F9" s="355">
        <f>Adjustments!$Q$14</f>
        <v>16.858923759878621</v>
      </c>
    </row>
    <row r="10" spans="1:6" x14ac:dyDescent="0.3">
      <c r="B10" s="281" t="s">
        <v>603</v>
      </c>
      <c r="C10" s="281" t="s">
        <v>604</v>
      </c>
      <c r="D10" s="281" t="s">
        <v>238</v>
      </c>
      <c r="E10" s="281" t="s">
        <v>134</v>
      </c>
      <c r="F10" s="355">
        <f>Adjustments!$Q$20</f>
        <v>0</v>
      </c>
    </row>
    <row r="11" spans="1:6" s="284" customFormat="1" ht="14.5" x14ac:dyDescent="0.3">
      <c r="A11" s="281"/>
      <c r="B11" s="281" t="s">
        <v>605</v>
      </c>
      <c r="C11" s="281" t="s">
        <v>606</v>
      </c>
      <c r="D11" s="281" t="s">
        <v>238</v>
      </c>
      <c r="E11" s="281" t="s">
        <v>134</v>
      </c>
      <c r="F11" s="355">
        <f>Adjustments!$Q$26</f>
        <v>0</v>
      </c>
    </row>
    <row r="12" spans="1:6" s="284" customFormat="1" ht="14.5" x14ac:dyDescent="0.3">
      <c r="A12" s="281"/>
      <c r="B12" s="281" t="s">
        <v>607</v>
      </c>
      <c r="C12" s="281" t="s">
        <v>608</v>
      </c>
      <c r="D12" s="281" t="s">
        <v>238</v>
      </c>
      <c r="E12" s="281" t="s">
        <v>134</v>
      </c>
      <c r="F12" s="356">
        <f>Adjustments!$Q$32</f>
        <v>0</v>
      </c>
    </row>
    <row r="13" spans="1:6" x14ac:dyDescent="0.3">
      <c r="B13" s="281" t="s">
        <v>609</v>
      </c>
      <c r="C13" s="281" t="s">
        <v>610</v>
      </c>
      <c r="D13" s="281" t="s">
        <v>238</v>
      </c>
      <c r="E13" s="281" t="s">
        <v>134</v>
      </c>
      <c r="F13" s="312"/>
    </row>
    <row r="14" spans="1:6" x14ac:dyDescent="0.3">
      <c r="B14" s="281" t="s">
        <v>611</v>
      </c>
      <c r="C14" s="281" t="s">
        <v>612</v>
      </c>
      <c r="D14" s="281" t="s">
        <v>238</v>
      </c>
      <c r="E14" s="281" t="s">
        <v>134</v>
      </c>
      <c r="F14" s="312">
        <f>Adjustments!$H$11</f>
        <v>0.20513107792136639</v>
      </c>
    </row>
    <row r="15" spans="1:6" x14ac:dyDescent="0.3">
      <c r="B15" s="281" t="s">
        <v>613</v>
      </c>
      <c r="C15" s="281" t="s">
        <v>614</v>
      </c>
      <c r="D15" s="281" t="s">
        <v>238</v>
      </c>
      <c r="E15" s="281" t="s">
        <v>134</v>
      </c>
      <c r="F15" s="312">
        <f>Adjustments!$H$17</f>
        <v>3.9288871574612965</v>
      </c>
    </row>
    <row r="16" spans="1:6" x14ac:dyDescent="0.3">
      <c r="B16" s="281" t="s">
        <v>615</v>
      </c>
      <c r="C16" s="281" t="s">
        <v>616</v>
      </c>
      <c r="D16" s="281" t="s">
        <v>238</v>
      </c>
      <c r="E16" s="281" t="s">
        <v>134</v>
      </c>
      <c r="F16" s="312">
        <f>Adjustments!$H$23</f>
        <v>0</v>
      </c>
    </row>
    <row r="17" spans="2:6" x14ac:dyDescent="0.3">
      <c r="B17" s="281" t="s">
        <v>617</v>
      </c>
      <c r="C17" s="281" t="s">
        <v>618</v>
      </c>
      <c r="D17" s="281" t="s">
        <v>238</v>
      </c>
      <c r="E17" s="281" t="s">
        <v>134</v>
      </c>
      <c r="F17" s="312">
        <f>Adjustments!$H$29</f>
        <v>0</v>
      </c>
    </row>
    <row r="18" spans="2:6" x14ac:dyDescent="0.3">
      <c r="B18" s="281" t="s">
        <v>619</v>
      </c>
      <c r="C18" s="281" t="s">
        <v>620</v>
      </c>
      <c r="D18" s="281" t="s">
        <v>238</v>
      </c>
      <c r="E18" s="281" t="s">
        <v>134</v>
      </c>
      <c r="F18" s="312">
        <f>Adjustments!$H$35</f>
        <v>0</v>
      </c>
    </row>
    <row r="19" spans="2:6" x14ac:dyDescent="0.3">
      <c r="B19" s="281" t="s">
        <v>621</v>
      </c>
      <c r="C19" s="281" t="s">
        <v>622</v>
      </c>
      <c r="D19" s="281" t="s">
        <v>238</v>
      </c>
      <c r="E19" s="281" t="s">
        <v>134</v>
      </c>
      <c r="F19" s="312"/>
    </row>
  </sheetData>
  <phoneticPr fontId="48" type="noConversion"/>
  <pageMargins left="0.70866141732283472" right="0.70866141732283472" top="0.74803149606299213" bottom="0.74803149606299213" header="0.31496062992125984" footer="0.31496062992125984"/>
  <pageSetup paperSize="8" scale="87"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BCCFF-B86A-43ED-B036-2AAC9ED5B19F}">
  <sheetPr codeName="Sheet2">
    <pageSetUpPr fitToPage="1"/>
  </sheetPr>
  <dimension ref="A1:XFC65"/>
  <sheetViews>
    <sheetView showGridLines="0" zoomScale="80" zoomScaleNormal="80" workbookViewId="0"/>
  </sheetViews>
  <sheetFormatPr defaultColWidth="0" defaultRowHeight="12.5" zeroHeight="1" x14ac:dyDescent="0.25"/>
  <cols>
    <col min="1" max="4" width="2.54296875" customWidth="1"/>
    <col min="5" max="5" width="36.81640625" bestFit="1" customWidth="1"/>
    <col min="6" max="6" width="5.54296875" customWidth="1"/>
    <col min="7" max="8" width="9.1796875" customWidth="1"/>
    <col min="9" max="9" width="94.1796875" customWidth="1"/>
    <col min="10" max="16383" width="9.1796875" hidden="1"/>
    <col min="16384" max="16384" width="12.453125" hidden="1" customWidth="1"/>
  </cols>
  <sheetData>
    <row r="1" spans="1:9" s="122" customFormat="1" ht="25" x14ac:dyDescent="0.5">
      <c r="A1" s="118" t="str">
        <f ca="1" xml:space="preserve"> RIGHT(CELL("filename", $A$1), LEN(CELL("filename", $A$1)) - SEARCH("]", CELL("filename", $A$1)))</f>
        <v>Style Guide</v>
      </c>
    </row>
    <row r="2" spans="1:9" x14ac:dyDescent="0.25"/>
    <row r="3" spans="1:9" x14ac:dyDescent="0.25"/>
    <row r="4" spans="1:9" ht="13" x14ac:dyDescent="0.25">
      <c r="A4" s="139" t="s">
        <v>3</v>
      </c>
      <c r="B4" s="139"/>
      <c r="C4" s="140"/>
      <c r="D4" s="141"/>
      <c r="E4" s="139"/>
      <c r="F4" s="139"/>
      <c r="G4" s="139"/>
      <c r="H4" s="139"/>
      <c r="I4" s="139"/>
    </row>
    <row r="5" spans="1:9" ht="13" x14ac:dyDescent="0.25">
      <c r="A5" s="5"/>
      <c r="B5" s="5"/>
      <c r="C5" s="9"/>
      <c r="D5" s="6"/>
      <c r="E5" s="7"/>
      <c r="F5" s="7"/>
      <c r="G5" s="7"/>
      <c r="H5" s="7"/>
      <c r="I5" s="7"/>
    </row>
    <row r="6" spans="1:9" ht="13" x14ac:dyDescent="0.25">
      <c r="A6" s="5"/>
      <c r="B6" s="5"/>
      <c r="C6" s="9"/>
      <c r="D6" s="6"/>
      <c r="E6" s="142" t="s">
        <v>4</v>
      </c>
      <c r="F6" s="7"/>
      <c r="G6" s="7" t="s">
        <v>5</v>
      </c>
      <c r="H6" s="7"/>
      <c r="I6" s="7"/>
    </row>
    <row r="7" spans="1:9" ht="13" x14ac:dyDescent="0.25">
      <c r="A7" s="5"/>
      <c r="B7" s="5"/>
      <c r="C7" s="9"/>
      <c r="D7" s="6"/>
      <c r="E7" s="143"/>
      <c r="F7" s="7"/>
      <c r="G7" s="7"/>
      <c r="H7" s="7"/>
      <c r="I7" s="7"/>
    </row>
    <row r="8" spans="1:9" ht="13" x14ac:dyDescent="0.25">
      <c r="A8" s="5"/>
      <c r="B8" s="5"/>
      <c r="C8" s="9"/>
      <c r="D8" s="6"/>
      <c r="E8" s="144" t="s">
        <v>6</v>
      </c>
      <c r="F8" s="7"/>
      <c r="G8" s="7" t="s">
        <v>7</v>
      </c>
      <c r="H8" s="7"/>
      <c r="I8" s="7"/>
    </row>
    <row r="9" spans="1:9" ht="13" x14ac:dyDescent="0.25">
      <c r="A9" s="5"/>
      <c r="B9" s="5"/>
      <c r="C9" s="9"/>
      <c r="D9" s="6"/>
      <c r="E9" s="143"/>
      <c r="F9" s="7"/>
      <c r="G9" s="7"/>
      <c r="H9" s="7"/>
      <c r="I9" s="7"/>
    </row>
    <row r="10" spans="1:9" ht="13" x14ac:dyDescent="0.25">
      <c r="A10" s="5"/>
      <c r="B10" s="5"/>
      <c r="C10" s="9"/>
      <c r="D10" s="6"/>
      <c r="E10" s="145" t="s">
        <v>8</v>
      </c>
      <c r="F10" s="7"/>
      <c r="G10" s="7" t="s">
        <v>9</v>
      </c>
      <c r="H10" s="7"/>
      <c r="I10" s="7"/>
    </row>
    <row r="11" spans="1:9" ht="13" x14ac:dyDescent="0.25">
      <c r="A11" s="5"/>
      <c r="B11" s="5"/>
      <c r="C11" s="9"/>
      <c r="D11" s="6"/>
      <c r="E11" s="143"/>
      <c r="F11" s="7"/>
      <c r="G11" s="7"/>
      <c r="H11" s="7"/>
      <c r="I11" s="7"/>
    </row>
    <row r="12" spans="1:9" ht="13" x14ac:dyDescent="0.25">
      <c r="A12" s="5"/>
      <c r="B12" s="5"/>
      <c r="C12" s="9"/>
      <c r="D12" s="6"/>
      <c r="E12" s="146" t="s">
        <v>10</v>
      </c>
      <c r="F12" s="7"/>
      <c r="G12" s="7" t="s">
        <v>11</v>
      </c>
      <c r="H12" s="7"/>
      <c r="I12" s="7"/>
    </row>
    <row r="13" spans="1:9" ht="13" x14ac:dyDescent="0.25">
      <c r="A13" s="5"/>
      <c r="B13" s="5"/>
      <c r="C13" s="9"/>
      <c r="D13" s="6"/>
      <c r="E13" s="143"/>
      <c r="F13" s="7"/>
      <c r="G13" s="7"/>
      <c r="H13" s="7"/>
      <c r="I13" s="7"/>
    </row>
    <row r="14" spans="1:9" ht="13" x14ac:dyDescent="0.25">
      <c r="A14" s="5"/>
      <c r="B14" s="5"/>
      <c r="C14" s="9"/>
      <c r="D14" s="6"/>
      <c r="E14" s="147" t="s">
        <v>12</v>
      </c>
      <c r="F14" s="7"/>
      <c r="G14" s="7" t="s">
        <v>13</v>
      </c>
      <c r="H14" s="7"/>
      <c r="I14" s="7"/>
    </row>
    <row r="15" spans="1:9" ht="13" x14ac:dyDescent="0.25">
      <c r="A15" s="5"/>
      <c r="B15" s="5"/>
      <c r="C15" s="9"/>
      <c r="D15" s="6"/>
      <c r="E15" s="7"/>
      <c r="F15" s="7"/>
      <c r="G15" s="7"/>
      <c r="H15" s="7"/>
      <c r="I15" s="7"/>
    </row>
    <row r="16" spans="1:9" ht="13" x14ac:dyDescent="0.25">
      <c r="A16" s="5"/>
      <c r="B16" s="5"/>
      <c r="C16" s="9"/>
      <c r="D16" s="6"/>
      <c r="E16" s="7"/>
      <c r="F16" s="7"/>
      <c r="G16" s="7"/>
      <c r="H16" s="7"/>
      <c r="I16" s="7"/>
    </row>
    <row r="17" spans="1:9" ht="13" x14ac:dyDescent="0.25">
      <c r="A17" s="139" t="s">
        <v>14</v>
      </c>
      <c r="B17" s="139"/>
      <c r="C17" s="140"/>
      <c r="D17" s="141"/>
      <c r="E17" s="139"/>
      <c r="F17" s="139"/>
      <c r="G17" s="139"/>
      <c r="H17" s="139"/>
      <c r="I17" s="139"/>
    </row>
    <row r="18" spans="1:9" ht="13" x14ac:dyDescent="0.25">
      <c r="A18" s="5"/>
      <c r="B18" s="5"/>
      <c r="C18" s="9"/>
      <c r="D18" s="6"/>
      <c r="E18" s="7"/>
      <c r="F18" s="7"/>
      <c r="G18" s="7"/>
      <c r="H18" s="7"/>
      <c r="I18" s="7"/>
    </row>
    <row r="19" spans="1:9" ht="13" x14ac:dyDescent="0.25">
      <c r="A19" s="5"/>
      <c r="B19" s="5" t="s">
        <v>15</v>
      </c>
      <c r="C19" s="9"/>
      <c r="D19" s="6"/>
      <c r="E19" s="7"/>
      <c r="F19" s="7"/>
      <c r="G19" s="7"/>
      <c r="H19" s="7"/>
      <c r="I19" s="7"/>
    </row>
    <row r="20" spans="1:9" ht="13" x14ac:dyDescent="0.25">
      <c r="A20" s="5"/>
      <c r="B20" s="5"/>
      <c r="C20" s="9"/>
      <c r="D20" s="6"/>
      <c r="E20" s="37" t="s">
        <v>16</v>
      </c>
      <c r="F20" s="7"/>
      <c r="G20" s="7" t="s">
        <v>17</v>
      </c>
      <c r="H20" s="7"/>
      <c r="I20" s="7"/>
    </row>
    <row r="21" spans="1:9" ht="13" x14ac:dyDescent="0.25">
      <c r="A21" s="5"/>
      <c r="B21" s="5"/>
      <c r="C21" s="9"/>
      <c r="D21" s="6"/>
      <c r="E21" s="7"/>
      <c r="F21" s="7"/>
      <c r="G21" s="7"/>
      <c r="H21" s="7"/>
      <c r="I21" s="7"/>
    </row>
    <row r="22" spans="1:9" ht="13" x14ac:dyDescent="0.25">
      <c r="A22" s="5"/>
      <c r="B22" s="5"/>
      <c r="C22" s="9"/>
      <c r="D22" s="6"/>
      <c r="E22" s="2" t="s">
        <v>18</v>
      </c>
      <c r="F22" s="7"/>
      <c r="G22" s="7" t="s">
        <v>19</v>
      </c>
      <c r="H22" s="7"/>
      <c r="I22" s="7"/>
    </row>
    <row r="23" spans="1:9" ht="13" x14ac:dyDescent="0.25">
      <c r="A23" s="5"/>
      <c r="B23" s="5"/>
      <c r="C23" s="9"/>
      <c r="D23" s="6"/>
      <c r="E23" s="7"/>
      <c r="F23" s="7"/>
      <c r="G23" s="7"/>
      <c r="H23" s="7"/>
      <c r="I23" s="7"/>
    </row>
    <row r="24" spans="1:9" ht="13" x14ac:dyDescent="0.25">
      <c r="A24" s="5"/>
      <c r="B24" s="5"/>
      <c r="C24" s="9"/>
      <c r="D24" s="6"/>
      <c r="E24" s="7" t="s">
        <v>20</v>
      </c>
      <c r="F24" s="7"/>
      <c r="G24" s="7" t="s">
        <v>21</v>
      </c>
      <c r="H24" s="7"/>
      <c r="I24" s="7"/>
    </row>
    <row r="25" spans="1:9" ht="13" x14ac:dyDescent="0.25">
      <c r="A25" s="5"/>
      <c r="B25" s="5"/>
      <c r="C25" s="9"/>
      <c r="D25" s="6"/>
      <c r="E25" s="7"/>
      <c r="F25" s="7"/>
      <c r="G25" s="7"/>
      <c r="H25" s="7"/>
      <c r="I25" s="7"/>
    </row>
    <row r="26" spans="1:9" ht="13" x14ac:dyDescent="0.25">
      <c r="A26" s="5"/>
      <c r="B26" s="5" t="s">
        <v>22</v>
      </c>
      <c r="C26" s="9"/>
      <c r="D26" s="6"/>
      <c r="E26" s="7"/>
      <c r="F26" s="7"/>
      <c r="G26" s="7"/>
      <c r="H26" s="7"/>
      <c r="I26" s="7"/>
    </row>
    <row r="27" spans="1:9" ht="13" x14ac:dyDescent="0.25">
      <c r="A27" s="5"/>
      <c r="B27" s="5"/>
      <c r="C27" s="9"/>
      <c r="D27" s="6"/>
      <c r="E27" s="148" t="s">
        <v>23</v>
      </c>
      <c r="F27" s="7"/>
      <c r="G27" s="7" t="s">
        <v>24</v>
      </c>
      <c r="H27" s="7"/>
      <c r="I27" s="7"/>
    </row>
    <row r="28" spans="1:9" ht="13" x14ac:dyDescent="0.25">
      <c r="A28" s="5"/>
      <c r="B28" s="5"/>
      <c r="C28" s="9"/>
      <c r="D28" s="6"/>
      <c r="E28" s="7"/>
      <c r="F28" s="7"/>
      <c r="G28" s="7"/>
      <c r="H28" s="7"/>
      <c r="I28" s="7"/>
    </row>
    <row r="29" spans="1:9" ht="13" x14ac:dyDescent="0.25">
      <c r="A29" s="5"/>
      <c r="B29" s="5"/>
      <c r="C29" s="9"/>
      <c r="D29" s="6"/>
      <c r="E29" s="149" t="s">
        <v>25</v>
      </c>
      <c r="F29" s="7"/>
      <c r="G29" s="7" t="s">
        <v>26</v>
      </c>
      <c r="H29" s="7"/>
      <c r="I29" s="7"/>
    </row>
    <row r="30" spans="1:9" ht="13" x14ac:dyDescent="0.25">
      <c r="A30" s="5"/>
      <c r="B30" s="5"/>
      <c r="C30" s="9"/>
      <c r="D30" s="6"/>
      <c r="E30" s="7"/>
      <c r="F30" s="7"/>
      <c r="G30" s="7"/>
      <c r="H30" s="7"/>
      <c r="I30" s="7"/>
    </row>
    <row r="31" spans="1:9" ht="13" x14ac:dyDescent="0.25">
      <c r="A31" s="5"/>
      <c r="B31" s="5"/>
      <c r="C31" s="9"/>
      <c r="D31" s="6"/>
      <c r="E31" s="150" t="s">
        <v>27</v>
      </c>
      <c r="F31" s="7"/>
      <c r="G31" s="7" t="s">
        <v>28</v>
      </c>
      <c r="H31" s="7"/>
      <c r="I31" s="7"/>
    </row>
    <row r="32" spans="1:9" ht="13" x14ac:dyDescent="0.25">
      <c r="A32" s="5"/>
      <c r="B32" s="5"/>
      <c r="C32" s="9"/>
      <c r="D32" s="6"/>
      <c r="E32" s="7"/>
      <c r="F32" s="7"/>
      <c r="G32" s="7"/>
      <c r="H32" s="7"/>
      <c r="I32" s="7"/>
    </row>
    <row r="33" spans="1:9" ht="13" x14ac:dyDescent="0.25">
      <c r="A33" s="5"/>
      <c r="B33" s="5"/>
      <c r="C33" s="9"/>
      <c r="D33" s="6"/>
      <c r="E33" s="149" t="s">
        <v>29</v>
      </c>
      <c r="F33" s="7"/>
      <c r="G33" s="7" t="s">
        <v>30</v>
      </c>
      <c r="H33" s="7"/>
      <c r="I33" s="7"/>
    </row>
    <row r="34" spans="1:9" ht="13" x14ac:dyDescent="0.25">
      <c r="A34" s="5"/>
      <c r="B34" s="5"/>
      <c r="C34" s="9"/>
      <c r="D34" s="6"/>
      <c r="E34" s="7"/>
      <c r="F34" s="7"/>
      <c r="G34" s="7"/>
      <c r="H34" s="7"/>
      <c r="I34" s="7"/>
    </row>
    <row r="35" spans="1:9" ht="13" x14ac:dyDescent="0.25">
      <c r="A35" s="5"/>
      <c r="B35" s="5" t="s">
        <v>31</v>
      </c>
      <c r="C35" s="9"/>
      <c r="D35" s="6"/>
      <c r="E35" s="7"/>
      <c r="F35" s="7"/>
      <c r="G35" s="7"/>
      <c r="H35" s="7"/>
      <c r="I35" s="7"/>
    </row>
    <row r="36" spans="1:9" ht="13" x14ac:dyDescent="0.25">
      <c r="A36" s="5"/>
      <c r="B36" s="5"/>
      <c r="C36" s="9"/>
      <c r="D36" s="6"/>
      <c r="E36" s="151" t="s">
        <v>32</v>
      </c>
      <c r="F36" s="7"/>
      <c r="G36" s="7" t="s">
        <v>33</v>
      </c>
      <c r="H36" s="7"/>
      <c r="I36" s="7"/>
    </row>
    <row r="37" spans="1:9" ht="13" x14ac:dyDescent="0.25">
      <c r="A37" s="5"/>
      <c r="B37" s="5"/>
      <c r="C37" s="9"/>
      <c r="D37" s="6"/>
      <c r="E37" s="7"/>
      <c r="F37" s="7"/>
      <c r="G37" s="7"/>
      <c r="H37" s="7"/>
      <c r="I37" s="7"/>
    </row>
    <row r="38" spans="1:9" ht="13" x14ac:dyDescent="0.25">
      <c r="A38" s="5"/>
      <c r="B38" s="5"/>
      <c r="C38" s="9"/>
      <c r="D38" s="6"/>
      <c r="E38" s="3" t="s">
        <v>34</v>
      </c>
      <c r="F38" s="7"/>
      <c r="G38" s="7" t="s">
        <v>35</v>
      </c>
      <c r="H38" s="7"/>
      <c r="I38" s="7"/>
    </row>
    <row r="39" spans="1:9" ht="13" x14ac:dyDescent="0.25">
      <c r="A39" s="5"/>
      <c r="B39" s="5"/>
      <c r="C39" s="9"/>
      <c r="D39" s="6"/>
      <c r="E39" s="7"/>
      <c r="F39" s="7"/>
      <c r="G39" s="7"/>
      <c r="H39" s="7"/>
      <c r="I39" s="7"/>
    </row>
    <row r="40" spans="1:9" ht="13" x14ac:dyDescent="0.25">
      <c r="A40" s="5"/>
      <c r="B40" s="5"/>
      <c r="C40" s="9"/>
      <c r="D40" s="6"/>
      <c r="E40" s="152" t="s">
        <v>36</v>
      </c>
      <c r="F40" s="7"/>
      <c r="G40" s="7" t="s">
        <v>37</v>
      </c>
      <c r="H40" s="7"/>
      <c r="I40" s="7"/>
    </row>
    <row r="41" spans="1:9" ht="13" x14ac:dyDescent="0.25">
      <c r="A41" s="5"/>
      <c r="B41" s="5"/>
      <c r="C41" s="9"/>
      <c r="D41" s="6"/>
      <c r="E41" s="7"/>
      <c r="F41" s="7"/>
      <c r="G41" s="7"/>
      <c r="H41" s="7"/>
      <c r="I41" s="7"/>
    </row>
    <row r="42" spans="1:9" ht="13" x14ac:dyDescent="0.25">
      <c r="A42" s="5"/>
      <c r="B42" s="5"/>
      <c r="C42" s="9"/>
      <c r="D42" s="6"/>
      <c r="E42" s="8" t="s">
        <v>38</v>
      </c>
      <c r="F42" s="7"/>
      <c r="G42" s="7" t="s">
        <v>39</v>
      </c>
      <c r="H42" s="7"/>
      <c r="I42" s="7"/>
    </row>
    <row r="43" spans="1:9" ht="13" x14ac:dyDescent="0.25">
      <c r="A43" s="5"/>
      <c r="B43" s="5"/>
      <c r="C43" s="9"/>
      <c r="D43" s="6"/>
      <c r="E43" s="7"/>
      <c r="F43" s="7"/>
      <c r="G43" s="7"/>
      <c r="H43" s="7"/>
      <c r="I43" s="7"/>
    </row>
    <row r="44" spans="1:9" ht="13" x14ac:dyDescent="0.25">
      <c r="A44" s="5"/>
      <c r="B44" s="5"/>
      <c r="C44" s="9"/>
      <c r="D44" s="6"/>
      <c r="E44" s="153" t="s">
        <v>40</v>
      </c>
      <c r="F44" s="7"/>
      <c r="G44" s="7" t="s">
        <v>41</v>
      </c>
      <c r="H44" s="7"/>
      <c r="I44" s="7"/>
    </row>
    <row r="45" spans="1:9" ht="13" x14ac:dyDescent="0.25">
      <c r="A45" s="5"/>
      <c r="B45" s="5"/>
      <c r="C45" s="9"/>
      <c r="D45" s="6"/>
      <c r="E45" s="7"/>
      <c r="F45" s="7"/>
      <c r="G45" s="7"/>
      <c r="H45" s="7"/>
      <c r="I45" s="7"/>
    </row>
    <row r="46" spans="1:9" ht="13" x14ac:dyDescent="0.25">
      <c r="A46" s="5"/>
      <c r="B46" s="5" t="s">
        <v>42</v>
      </c>
      <c r="C46" s="9"/>
      <c r="D46" s="6"/>
      <c r="E46" s="7"/>
      <c r="F46" s="7"/>
      <c r="G46" s="7"/>
      <c r="H46" s="7"/>
      <c r="I46" s="7"/>
    </row>
    <row r="47" spans="1:9" ht="13" x14ac:dyDescent="0.25">
      <c r="A47" s="5"/>
      <c r="B47" s="5"/>
      <c r="C47" s="9"/>
      <c r="D47" s="6"/>
      <c r="E47" s="154" t="s">
        <v>43</v>
      </c>
      <c r="F47" s="7"/>
      <c r="G47" s="7" t="s">
        <v>44</v>
      </c>
      <c r="H47" s="7"/>
      <c r="I47" s="7"/>
    </row>
    <row r="48" spans="1:9" ht="13" x14ac:dyDescent="0.25">
      <c r="A48" s="5"/>
      <c r="B48" s="5"/>
      <c r="C48" s="9"/>
      <c r="D48" s="6"/>
      <c r="E48" s="7"/>
      <c r="F48" s="7"/>
      <c r="G48" s="7"/>
      <c r="H48" s="7"/>
      <c r="I48" s="7"/>
    </row>
    <row r="49" spans="1:9" ht="13" x14ac:dyDescent="0.25">
      <c r="A49" s="5"/>
      <c r="B49" s="5"/>
      <c r="C49" s="9"/>
      <c r="D49" s="6"/>
      <c r="E49" s="155" t="s">
        <v>45</v>
      </c>
      <c r="F49" s="7"/>
      <c r="G49" s="7" t="s">
        <v>46</v>
      </c>
      <c r="H49" s="7"/>
      <c r="I49" s="7"/>
    </row>
    <row r="50" spans="1:9" ht="13" x14ac:dyDescent="0.25">
      <c r="A50" s="5"/>
      <c r="B50" s="5"/>
      <c r="C50" s="9"/>
      <c r="D50" s="6"/>
      <c r="E50" s="7"/>
      <c r="F50" s="7"/>
      <c r="G50" s="7"/>
      <c r="H50" s="7"/>
      <c r="I50" s="7"/>
    </row>
    <row r="51" spans="1:9" ht="13" x14ac:dyDescent="0.25">
      <c r="A51" s="5"/>
      <c r="B51" s="5"/>
      <c r="C51" s="9"/>
      <c r="D51" s="6"/>
      <c r="E51" s="156" t="s">
        <v>47</v>
      </c>
      <c r="F51" s="7"/>
      <c r="G51" s="7" t="s">
        <v>48</v>
      </c>
      <c r="H51" s="7"/>
      <c r="I51" s="7"/>
    </row>
    <row r="52" spans="1:9" ht="13" x14ac:dyDescent="0.25">
      <c r="A52" s="5"/>
      <c r="B52" s="5"/>
      <c r="C52" s="9"/>
      <c r="D52" s="6"/>
      <c r="E52" s="7"/>
      <c r="F52" s="7"/>
      <c r="G52" s="7"/>
      <c r="H52" s="7"/>
      <c r="I52" s="7"/>
    </row>
    <row r="53" spans="1:9" ht="13" x14ac:dyDescent="0.25">
      <c r="A53" s="5"/>
      <c r="B53" s="5"/>
      <c r="C53" s="9"/>
      <c r="D53" s="7"/>
      <c r="E53" s="7"/>
      <c r="F53" s="7"/>
      <c r="G53" s="7"/>
      <c r="H53" s="7"/>
      <c r="I53" s="7"/>
    </row>
    <row r="54" spans="1:9" ht="13" x14ac:dyDescent="0.25">
      <c r="A54" s="139" t="s">
        <v>49</v>
      </c>
      <c r="B54" s="139"/>
      <c r="C54" s="140"/>
      <c r="D54" s="141"/>
      <c r="E54" s="139"/>
      <c r="F54" s="139"/>
      <c r="G54" s="139"/>
      <c r="H54" s="139"/>
      <c r="I54" s="139"/>
    </row>
    <row r="55" spans="1:9" ht="13" x14ac:dyDescent="0.25">
      <c r="A55" s="5"/>
      <c r="B55" s="5"/>
      <c r="C55" s="9"/>
      <c r="D55" s="6"/>
      <c r="E55" s="7"/>
      <c r="F55" s="7"/>
      <c r="G55" s="7"/>
      <c r="H55" s="7"/>
      <c r="I55" s="7"/>
    </row>
    <row r="56" spans="1:9" ht="13" x14ac:dyDescent="0.25">
      <c r="A56" s="5"/>
      <c r="B56" s="5"/>
      <c r="C56" s="9"/>
      <c r="D56" s="6"/>
      <c r="E56" s="7" t="s">
        <v>50</v>
      </c>
      <c r="F56" s="7"/>
      <c r="G56" s="7" t="s">
        <v>51</v>
      </c>
      <c r="H56" s="7"/>
      <c r="I56" s="7"/>
    </row>
    <row r="57" spans="1:9" ht="13" x14ac:dyDescent="0.25">
      <c r="A57" s="5"/>
      <c r="B57" s="5"/>
      <c r="C57" s="9"/>
      <c r="D57" s="6"/>
      <c r="E57" s="7" t="s">
        <v>52</v>
      </c>
      <c r="F57" s="7"/>
      <c r="G57" s="7" t="s">
        <v>53</v>
      </c>
      <c r="H57" s="7"/>
      <c r="I57" s="7"/>
    </row>
    <row r="58" spans="1:9" ht="13" x14ac:dyDescent="0.25">
      <c r="A58" s="5"/>
      <c r="B58" s="5"/>
      <c r="C58" s="9"/>
      <c r="D58" s="6"/>
      <c r="E58" s="7" t="s">
        <v>54</v>
      </c>
      <c r="F58" s="7"/>
      <c r="G58" s="7" t="s">
        <v>55</v>
      </c>
      <c r="H58" s="7"/>
      <c r="I58" s="7"/>
    </row>
    <row r="59" spans="1:9" ht="13" x14ac:dyDescent="0.25">
      <c r="A59" s="5"/>
      <c r="B59" s="5"/>
      <c r="C59" s="9"/>
      <c r="D59" s="6"/>
      <c r="E59" s="7" t="s">
        <v>56</v>
      </c>
      <c r="F59" s="7"/>
      <c r="G59" s="7" t="s">
        <v>57</v>
      </c>
      <c r="H59" s="7"/>
      <c r="I59" s="7"/>
    </row>
    <row r="60" spans="1:9" ht="13" x14ac:dyDescent="0.25">
      <c r="A60" s="5"/>
      <c r="B60" s="5"/>
      <c r="C60" s="9"/>
      <c r="D60" s="6"/>
      <c r="E60" s="7" t="s">
        <v>58</v>
      </c>
      <c r="F60" s="7"/>
      <c r="G60" s="7" t="s">
        <v>59</v>
      </c>
      <c r="H60" s="7"/>
      <c r="I60" s="7"/>
    </row>
    <row r="61" spans="1:9" ht="13" x14ac:dyDescent="0.25">
      <c r="A61" s="5"/>
      <c r="B61" s="5"/>
      <c r="C61" s="9"/>
      <c r="D61" s="6"/>
      <c r="E61" s="7" t="s">
        <v>60</v>
      </c>
      <c r="F61" s="7"/>
      <c r="G61" s="7" t="s">
        <v>61</v>
      </c>
      <c r="H61" s="7"/>
      <c r="I61" s="7"/>
    </row>
    <row r="62" spans="1:9" ht="13" x14ac:dyDescent="0.25">
      <c r="A62" s="5"/>
      <c r="B62" s="5"/>
      <c r="C62" s="9"/>
      <c r="D62" s="6"/>
      <c r="E62" s="7"/>
      <c r="F62" s="7"/>
      <c r="G62" s="7"/>
      <c r="H62" s="7"/>
      <c r="I62" s="7"/>
    </row>
    <row r="63" spans="1:9" ht="13" x14ac:dyDescent="0.25">
      <c r="A63" s="5"/>
      <c r="B63" s="5"/>
      <c r="C63" s="9"/>
      <c r="D63" s="6"/>
      <c r="E63" s="7"/>
      <c r="F63" s="7"/>
      <c r="G63" s="7"/>
      <c r="H63" s="7"/>
      <c r="I63" s="7"/>
    </row>
    <row r="64" spans="1:9" s="1" customFormat="1" ht="13" x14ac:dyDescent="0.3">
      <c r="A64" s="10" t="s">
        <v>62</v>
      </c>
    </row>
    <row r="65" x14ac:dyDescent="0.2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392A-0067-4F2A-889B-862FE6ADCA2F}">
  <sheetPr codeName="Sheet3">
    <pageSetUpPr fitToPage="1"/>
  </sheetPr>
  <dimension ref="A1:K79"/>
  <sheetViews>
    <sheetView showGridLines="0" zoomScale="80" zoomScaleNormal="80" workbookViewId="0"/>
  </sheetViews>
  <sheetFormatPr defaultColWidth="0" defaultRowHeight="12.5" zeroHeight="1" x14ac:dyDescent="0.25"/>
  <cols>
    <col min="1" max="1" width="2.54296875" customWidth="1"/>
    <col min="2" max="2" width="36.54296875" bestFit="1" customWidth="1"/>
    <col min="3" max="3" width="3.453125" customWidth="1"/>
    <col min="4" max="4" width="54.81640625" customWidth="1"/>
    <col min="5" max="5" width="3.1796875" customWidth="1"/>
    <col min="6" max="6" width="40.54296875" customWidth="1"/>
    <col min="7" max="7" width="3.1796875" customWidth="1"/>
    <col min="8" max="8" width="40.54296875" customWidth="1"/>
    <col min="9" max="9" width="27.81640625" customWidth="1"/>
    <col min="10" max="10" width="63.1796875" hidden="1" customWidth="1"/>
    <col min="11" max="16384" width="9.1796875" hidden="1"/>
  </cols>
  <sheetData>
    <row r="1" spans="1:11" s="123" customFormat="1" ht="25" x14ac:dyDescent="0.5">
      <c r="A1" s="118" t="str">
        <f ca="1" xml:space="preserve"> RIGHT(CELL("filename", $A$1), LEN(CELL("filename", $A$1)) - SEARCH("]", CELL("filename", $A$1)))</f>
        <v>ToC</v>
      </c>
      <c r="B1" s="122"/>
      <c r="C1" s="122"/>
      <c r="D1" s="122"/>
      <c r="E1" s="122"/>
      <c r="F1" s="122"/>
      <c r="G1" s="122"/>
      <c r="H1" s="122"/>
      <c r="I1" s="122"/>
      <c r="J1" s="122"/>
      <c r="K1" s="122"/>
    </row>
    <row r="2" spans="1:11" x14ac:dyDescent="0.25"/>
    <row r="3" spans="1:11" x14ac:dyDescent="0.25">
      <c r="B3" t="s">
        <v>63</v>
      </c>
      <c r="D3" t="s">
        <v>64</v>
      </c>
      <c r="F3" t="s">
        <v>65</v>
      </c>
      <c r="H3" t="s">
        <v>66</v>
      </c>
    </row>
    <row r="4" spans="1:11" x14ac:dyDescent="0.25"/>
    <row r="5" spans="1:11" x14ac:dyDescent="0.25">
      <c r="B5" s="104" t="str">
        <f ca="1">Cover!$A$1</f>
        <v>Cover</v>
      </c>
      <c r="D5" s="104" t="str">
        <f ca="1">Time!A$1</f>
        <v>Time</v>
      </c>
      <c r="F5" s="255" t="str">
        <f ca="1">Adjustments!$A$1</f>
        <v>Adjustments</v>
      </c>
      <c r="H5" s="105" t="str">
        <f ca="1">Checks!$A$1</f>
        <v>Checks</v>
      </c>
    </row>
    <row r="6" spans="1:11" x14ac:dyDescent="0.25">
      <c r="B6" t="s">
        <v>67</v>
      </c>
      <c r="D6" t="s">
        <v>68</v>
      </c>
      <c r="F6" t="s">
        <v>69</v>
      </c>
      <c r="H6" t="s">
        <v>51</v>
      </c>
    </row>
    <row r="7" spans="1:11" x14ac:dyDescent="0.25">
      <c r="D7" s="37"/>
    </row>
    <row r="8" spans="1:11" x14ac:dyDescent="0.25">
      <c r="B8" s="104" t="str">
        <f ca="1">'Style Guide'!$A$1</f>
        <v>Style Guide</v>
      </c>
      <c r="D8" s="104" t="str">
        <f ca="1">Index!$A$1</f>
        <v>Index</v>
      </c>
    </row>
    <row r="9" spans="1:11" x14ac:dyDescent="0.25">
      <c r="B9" t="s">
        <v>70</v>
      </c>
      <c r="D9" t="s">
        <v>71</v>
      </c>
    </row>
    <row r="10" spans="1:11" x14ac:dyDescent="0.25"/>
    <row r="11" spans="1:11" x14ac:dyDescent="0.25">
      <c r="B11" s="106" t="str">
        <f ca="1">$A$1</f>
        <v>ToC</v>
      </c>
      <c r="D11" s="104" t="str">
        <f ca="1">'Calcs-WR'!$A$1</f>
        <v>Calcs-WR</v>
      </c>
    </row>
    <row r="12" spans="1:11" x14ac:dyDescent="0.25">
      <c r="B12" t="s">
        <v>72</v>
      </c>
      <c r="D12" t="s">
        <v>73</v>
      </c>
    </row>
    <row r="13" spans="1:11" x14ac:dyDescent="0.25"/>
    <row r="14" spans="1:11" x14ac:dyDescent="0.25">
      <c r="B14" s="292" t="s">
        <v>74</v>
      </c>
      <c r="D14" s="104" t="str">
        <f ca="1">'Calcs-WN'!$A$1</f>
        <v>Calcs-WN</v>
      </c>
    </row>
    <row r="15" spans="1:11" x14ac:dyDescent="0.25">
      <c r="B15" s="291" t="s">
        <v>75</v>
      </c>
      <c r="D15" t="s">
        <v>76</v>
      </c>
    </row>
    <row r="16" spans="1:11" x14ac:dyDescent="0.25"/>
    <row r="17" spans="1:4" x14ac:dyDescent="0.25">
      <c r="B17" s="103" t="str">
        <f ca="1">InpR!$A$1</f>
        <v>InpR</v>
      </c>
      <c r="D17" s="104" t="str">
        <f ca="1">'Calcs-WWN'!$A$1</f>
        <v>Calcs-WWN</v>
      </c>
    </row>
    <row r="18" spans="1:4" x14ac:dyDescent="0.25">
      <c r="B18" t="s">
        <v>77</v>
      </c>
      <c r="D18" t="s">
        <v>78</v>
      </c>
    </row>
    <row r="19" spans="1:4" x14ac:dyDescent="0.25"/>
    <row r="20" spans="1:4" x14ac:dyDescent="0.25">
      <c r="D20" s="104" t="str">
        <f ca="1">'Calcs-BR'!$A$1</f>
        <v>Calcs-BR</v>
      </c>
    </row>
    <row r="21" spans="1:4" x14ac:dyDescent="0.25">
      <c r="D21" t="s">
        <v>79</v>
      </c>
    </row>
    <row r="22" spans="1:4" x14ac:dyDescent="0.25"/>
    <row r="23" spans="1:4" x14ac:dyDescent="0.25">
      <c r="D23" s="104" t="str">
        <f ca="1">'Calcs-DMMY'!$A$1</f>
        <v>Calcs-DMMY</v>
      </c>
    </row>
    <row r="24" spans="1:4" x14ac:dyDescent="0.25">
      <c r="D24" t="s">
        <v>80</v>
      </c>
    </row>
    <row r="25" spans="1:4" x14ac:dyDescent="0.25"/>
    <row r="26" spans="1:4" x14ac:dyDescent="0.25"/>
    <row r="27" spans="1:4" x14ac:dyDescent="0.25"/>
    <row r="28" spans="1:4" x14ac:dyDescent="0.25"/>
    <row r="29" spans="1:4" s="1" customFormat="1" ht="13" x14ac:dyDescent="0.3">
      <c r="A29" s="10" t="s">
        <v>62</v>
      </c>
    </row>
    <row r="30" spans="1:4" x14ac:dyDescent="0.25"/>
    <row r="79" spans="2:2" hidden="1" x14ac:dyDescent="0.25">
      <c r="B79" s="299"/>
    </row>
  </sheetData>
  <pageMargins left="0.70866141732283472" right="0.70866141732283472" top="0.74803149606299213" bottom="0.74803149606299213" header="0.31496062992125984" footer="0.31496062992125984"/>
  <pageSetup paperSize="8" scale="92"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B872A-7A20-4F95-8D4E-52570BEDCBE9}">
  <sheetPr>
    <tabColor theme="5"/>
    <pageSetUpPr fitToPage="1"/>
  </sheetPr>
  <dimension ref="A1:C24"/>
  <sheetViews>
    <sheetView showGridLines="0" zoomScale="80" zoomScaleNormal="80" workbookViewId="0"/>
  </sheetViews>
  <sheetFormatPr defaultColWidth="0" defaultRowHeight="12.5" zeroHeight="1" x14ac:dyDescent="0.25"/>
  <cols>
    <col min="1" max="1" width="18.7265625" bestFit="1" customWidth="1"/>
    <col min="2" max="2" width="16.81640625" bestFit="1" customWidth="1"/>
    <col min="3" max="3" width="8.7265625" customWidth="1"/>
    <col min="4" max="16384" width="8.7265625" hidden="1"/>
  </cols>
  <sheetData>
    <row r="1" spans="1:2" s="123" customFormat="1" ht="25" x14ac:dyDescent="0.5">
      <c r="A1" s="118" t="str">
        <f ca="1" xml:space="preserve"> RIGHT(CELL("filename", $A$1), LEN(CELL("filename", $A$1)) - SEARCH("]", CELL("filename", $A$1)))</f>
        <v>Validation</v>
      </c>
      <c r="B1" s="122"/>
    </row>
    <row r="2" spans="1:2" x14ac:dyDescent="0.25">
      <c r="A2" s="293"/>
      <c r="B2" s="293"/>
    </row>
    <row r="3" spans="1:2" x14ac:dyDescent="0.25">
      <c r="A3" s="294" t="s">
        <v>81</v>
      </c>
      <c r="B3" s="294" t="s">
        <v>82</v>
      </c>
    </row>
    <row r="4" spans="1:2" x14ac:dyDescent="0.25">
      <c r="A4" s="295" t="s">
        <v>83</v>
      </c>
      <c r="B4" s="296" t="s">
        <v>83</v>
      </c>
    </row>
    <row r="5" spans="1:2" x14ac:dyDescent="0.25">
      <c r="A5" s="295" t="s">
        <v>84</v>
      </c>
      <c r="B5" s="295" t="s">
        <v>85</v>
      </c>
    </row>
    <row r="6" spans="1:2" x14ac:dyDescent="0.25">
      <c r="A6" s="295" t="s">
        <v>86</v>
      </c>
      <c r="B6" s="295" t="s">
        <v>87</v>
      </c>
    </row>
    <row r="7" spans="1:2" x14ac:dyDescent="0.25">
      <c r="A7" s="295" t="s">
        <v>88</v>
      </c>
      <c r="B7" s="295" t="s">
        <v>89</v>
      </c>
    </row>
    <row r="8" spans="1:2" x14ac:dyDescent="0.25">
      <c r="A8" s="295" t="s">
        <v>90</v>
      </c>
      <c r="B8" s="295" t="s">
        <v>91</v>
      </c>
    </row>
    <row r="9" spans="1:2" x14ac:dyDescent="0.25">
      <c r="A9" s="295" t="s">
        <v>92</v>
      </c>
      <c r="B9" s="295" t="s">
        <v>93</v>
      </c>
    </row>
    <row r="10" spans="1:2" x14ac:dyDescent="0.25">
      <c r="A10" s="295" t="s">
        <v>94</v>
      </c>
      <c r="B10" s="295" t="s">
        <v>95</v>
      </c>
    </row>
    <row r="11" spans="1:2" x14ac:dyDescent="0.25">
      <c r="A11" s="295" t="s">
        <v>96</v>
      </c>
      <c r="B11" s="295" t="s">
        <v>97</v>
      </c>
    </row>
    <row r="12" spans="1:2" x14ac:dyDescent="0.25">
      <c r="A12" s="295" t="s">
        <v>98</v>
      </c>
      <c r="B12" s="295" t="s">
        <v>99</v>
      </c>
    </row>
    <row r="13" spans="1:2" x14ac:dyDescent="0.25">
      <c r="A13" s="295" t="s">
        <v>100</v>
      </c>
      <c r="B13" s="295" t="s">
        <v>101</v>
      </c>
    </row>
    <row r="14" spans="1:2" x14ac:dyDescent="0.25">
      <c r="A14" s="295" t="s">
        <v>102</v>
      </c>
      <c r="B14" s="295" t="s">
        <v>103</v>
      </c>
    </row>
    <row r="15" spans="1:2" x14ac:dyDescent="0.25">
      <c r="A15" s="295" t="s">
        <v>104</v>
      </c>
      <c r="B15" s="295" t="s">
        <v>105</v>
      </c>
    </row>
    <row r="16" spans="1:2" x14ac:dyDescent="0.25">
      <c r="A16" s="295" t="s">
        <v>106</v>
      </c>
      <c r="B16" s="295" t="s">
        <v>107</v>
      </c>
    </row>
    <row r="17" spans="1:2" x14ac:dyDescent="0.25">
      <c r="A17" s="295" t="s">
        <v>108</v>
      </c>
      <c r="B17" s="295" t="s">
        <v>109</v>
      </c>
    </row>
    <row r="18" spans="1:2" x14ac:dyDescent="0.25">
      <c r="A18" s="295" t="s">
        <v>110</v>
      </c>
      <c r="B18" s="295" t="s">
        <v>111</v>
      </c>
    </row>
    <row r="19" spans="1:2" x14ac:dyDescent="0.25">
      <c r="A19" s="295" t="s">
        <v>112</v>
      </c>
      <c r="B19" s="295" t="s">
        <v>113</v>
      </c>
    </row>
    <row r="20" spans="1:2" x14ac:dyDescent="0.25">
      <c r="A20" s="295" t="s">
        <v>114</v>
      </c>
      <c r="B20" s="295" t="s">
        <v>115</v>
      </c>
    </row>
    <row r="21" spans="1:2" x14ac:dyDescent="0.25">
      <c r="A21" s="295" t="s">
        <v>116</v>
      </c>
      <c r="B21" s="295" t="s">
        <v>117</v>
      </c>
    </row>
    <row r="22" spans="1:2" x14ac:dyDescent="0.25">
      <c r="A22" s="293"/>
      <c r="B22" s="293"/>
    </row>
    <row r="23" spans="1:2" ht="14" x14ac:dyDescent="0.3">
      <c r="A23" s="297"/>
      <c r="B23" s="298"/>
    </row>
    <row r="24" spans="1:2" x14ac:dyDescent="0.2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0"/>
  <sheetViews>
    <sheetView showGridLines="0" zoomScale="80" zoomScaleNormal="80" workbookViewId="0"/>
  </sheetViews>
  <sheetFormatPr defaultColWidth="0" defaultRowHeight="12.5" zeroHeight="1" x14ac:dyDescent="0.25"/>
  <cols>
    <col min="1" max="1" width="8.453125" bestFit="1" customWidth="1"/>
    <col min="2" max="2" width="28.1796875" bestFit="1" customWidth="1"/>
    <col min="3" max="3" width="89.26953125" bestFit="1" customWidth="1"/>
    <col min="4" max="4" width="4.6328125" bestFit="1" customWidth="1"/>
    <col min="5" max="5" width="22.54296875" bestFit="1" customWidth="1"/>
    <col min="6" max="13" width="7.453125" bestFit="1" customWidth="1"/>
    <col min="14" max="14" width="8.7265625" customWidth="1"/>
    <col min="15" max="16384" width="8.7265625" hidden="1"/>
  </cols>
  <sheetData>
    <row r="1" spans="1:13" ht="14.5" x14ac:dyDescent="0.35">
      <c r="C1" s="367" t="s">
        <v>118</v>
      </c>
      <c r="E1" s="367" t="s">
        <v>623</v>
      </c>
    </row>
    <row r="2" spans="1:13" ht="14.5" x14ac:dyDescent="0.35">
      <c r="A2" s="366" t="s">
        <v>82</v>
      </c>
      <c r="B2" s="366" t="s">
        <v>119</v>
      </c>
      <c r="C2" s="366" t="s">
        <v>120</v>
      </c>
      <c r="D2" s="366" t="s">
        <v>121</v>
      </c>
      <c r="E2" s="366" t="s">
        <v>122</v>
      </c>
      <c r="F2" s="366" t="s">
        <v>123</v>
      </c>
      <c r="G2" s="366" t="s">
        <v>124</v>
      </c>
      <c r="H2" s="366" t="s">
        <v>125</v>
      </c>
      <c r="I2" s="366" t="s">
        <v>126</v>
      </c>
      <c r="J2" s="366" t="s">
        <v>127</v>
      </c>
      <c r="K2" s="366" t="s">
        <v>128</v>
      </c>
      <c r="L2" s="366" t="s">
        <v>129</v>
      </c>
      <c r="M2" s="366" t="s">
        <v>130</v>
      </c>
    </row>
    <row r="3" spans="1:13" x14ac:dyDescent="0.25"/>
    <row r="4" spans="1:13" x14ac:dyDescent="0.25">
      <c r="A4" t="s">
        <v>115</v>
      </c>
      <c r="B4" t="s">
        <v>131</v>
      </c>
      <c r="C4" t="s">
        <v>132</v>
      </c>
      <c r="D4" t="s">
        <v>133</v>
      </c>
      <c r="E4" t="s">
        <v>134</v>
      </c>
      <c r="F4" s="300">
        <v>270.60000000000002</v>
      </c>
      <c r="G4" s="300">
        <v>279.7</v>
      </c>
      <c r="H4" s="300">
        <v>288.2</v>
      </c>
      <c r="I4" s="300">
        <v>292.60000000000002</v>
      </c>
      <c r="J4" s="300">
        <v>301.10000000000002</v>
      </c>
      <c r="K4" s="300">
        <v>334.6</v>
      </c>
      <c r="L4" s="300">
        <v>372.8</v>
      </c>
      <c r="M4" s="300">
        <v>385</v>
      </c>
    </row>
    <row r="5" spans="1:13" x14ac:dyDescent="0.25">
      <c r="A5" t="s">
        <v>115</v>
      </c>
      <c r="B5" t="s">
        <v>135</v>
      </c>
      <c r="C5" t="s">
        <v>136</v>
      </c>
      <c r="D5" t="s">
        <v>133</v>
      </c>
      <c r="E5" t="s">
        <v>134</v>
      </c>
      <c r="F5" s="300">
        <v>271.7</v>
      </c>
      <c r="G5" s="300">
        <v>280.7</v>
      </c>
      <c r="H5" s="300">
        <v>289.2</v>
      </c>
      <c r="I5" s="300">
        <v>292.2</v>
      </c>
      <c r="J5" s="300">
        <v>301.89999999999998</v>
      </c>
      <c r="K5" s="300">
        <v>337.1</v>
      </c>
      <c r="L5" s="300">
        <v>375.3</v>
      </c>
      <c r="M5" s="300">
        <v>386.4</v>
      </c>
    </row>
    <row r="6" spans="1:13" x14ac:dyDescent="0.25">
      <c r="A6" t="s">
        <v>115</v>
      </c>
      <c r="B6" t="s">
        <v>137</v>
      </c>
      <c r="C6" t="s">
        <v>138</v>
      </c>
      <c r="D6" t="s">
        <v>133</v>
      </c>
      <c r="E6" t="s">
        <v>134</v>
      </c>
      <c r="F6" s="300">
        <v>272.3</v>
      </c>
      <c r="G6" s="300">
        <v>281.5</v>
      </c>
      <c r="H6" s="300">
        <v>289.60000000000002</v>
      </c>
      <c r="I6" s="300">
        <v>292.7</v>
      </c>
      <c r="J6" s="300">
        <v>304</v>
      </c>
      <c r="K6" s="300">
        <v>340</v>
      </c>
      <c r="L6" s="300">
        <v>376.4</v>
      </c>
      <c r="M6" s="300">
        <v>387.3</v>
      </c>
    </row>
    <row r="7" spans="1:13" x14ac:dyDescent="0.25">
      <c r="A7" t="s">
        <v>115</v>
      </c>
      <c r="B7" t="s">
        <v>139</v>
      </c>
      <c r="C7" t="s">
        <v>140</v>
      </c>
      <c r="D7" t="s">
        <v>133</v>
      </c>
      <c r="E7" t="s">
        <v>134</v>
      </c>
      <c r="F7" s="300">
        <v>272.89999999999998</v>
      </c>
      <c r="G7" s="300">
        <v>281.7</v>
      </c>
      <c r="H7" s="300">
        <v>289.5</v>
      </c>
      <c r="I7" s="300">
        <v>294.2</v>
      </c>
      <c r="J7" s="300">
        <v>305.5</v>
      </c>
      <c r="K7" s="300">
        <v>343.2</v>
      </c>
      <c r="L7" s="300">
        <v>374.2</v>
      </c>
      <c r="M7" s="300">
        <v>387.5</v>
      </c>
    </row>
    <row r="8" spans="1:13" x14ac:dyDescent="0.25">
      <c r="A8" t="s">
        <v>115</v>
      </c>
      <c r="B8" t="s">
        <v>141</v>
      </c>
      <c r="C8" t="s">
        <v>142</v>
      </c>
      <c r="D8" t="s">
        <v>133</v>
      </c>
      <c r="E8" t="s">
        <v>134</v>
      </c>
      <c r="F8" s="300">
        <v>274.7</v>
      </c>
      <c r="G8" s="300">
        <v>284.2</v>
      </c>
      <c r="H8" s="300">
        <v>291.7</v>
      </c>
      <c r="I8" s="300">
        <v>293.3</v>
      </c>
      <c r="J8" s="300">
        <v>307.39999999999998</v>
      </c>
      <c r="K8" s="300">
        <v>345.2</v>
      </c>
      <c r="L8" s="300">
        <v>376.6</v>
      </c>
      <c r="M8" s="300">
        <v>389.9</v>
      </c>
    </row>
    <row r="9" spans="1:13" x14ac:dyDescent="0.25">
      <c r="A9" t="s">
        <v>115</v>
      </c>
      <c r="B9" t="s">
        <v>143</v>
      </c>
      <c r="C9" t="s">
        <v>144</v>
      </c>
      <c r="D9" t="s">
        <v>133</v>
      </c>
      <c r="E9" t="s">
        <v>134</v>
      </c>
      <c r="F9" s="300">
        <v>275.10000000000002</v>
      </c>
      <c r="G9" s="300">
        <v>284.10000000000002</v>
      </c>
      <c r="H9" s="300">
        <v>291</v>
      </c>
      <c r="I9" s="300">
        <v>294.3</v>
      </c>
      <c r="J9" s="300">
        <v>308.60000000000002</v>
      </c>
      <c r="K9" s="300">
        <v>347.6</v>
      </c>
      <c r="L9" s="300">
        <v>378.4</v>
      </c>
      <c r="M9" s="300">
        <v>388.6</v>
      </c>
    </row>
    <row r="10" spans="1:13" x14ac:dyDescent="0.25">
      <c r="A10" t="s">
        <v>115</v>
      </c>
      <c r="B10" t="s">
        <v>145</v>
      </c>
      <c r="C10" t="s">
        <v>146</v>
      </c>
      <c r="D10" t="s">
        <v>133</v>
      </c>
      <c r="E10" t="s">
        <v>134</v>
      </c>
      <c r="F10" s="300">
        <v>275.3</v>
      </c>
      <c r="G10" s="300">
        <v>284.5</v>
      </c>
      <c r="H10" s="300">
        <v>290.39999999999998</v>
      </c>
      <c r="I10" s="300">
        <v>294.3</v>
      </c>
      <c r="J10" s="300">
        <v>312</v>
      </c>
      <c r="K10" s="300">
        <v>356.2</v>
      </c>
      <c r="L10" s="300">
        <v>377.8</v>
      </c>
      <c r="M10" s="300">
        <v>390.7</v>
      </c>
    </row>
    <row r="11" spans="1:13" x14ac:dyDescent="0.25">
      <c r="A11" t="s">
        <v>115</v>
      </c>
      <c r="B11" t="s">
        <v>147</v>
      </c>
      <c r="C11" t="s">
        <v>148</v>
      </c>
      <c r="D11" t="s">
        <v>133</v>
      </c>
      <c r="E11" t="s">
        <v>134</v>
      </c>
      <c r="F11" s="300">
        <v>275.8</v>
      </c>
      <c r="G11" s="300">
        <v>284.60000000000002</v>
      </c>
      <c r="H11" s="300">
        <v>291</v>
      </c>
      <c r="I11" s="300">
        <v>293.5</v>
      </c>
      <c r="J11" s="300">
        <v>314.3</v>
      </c>
      <c r="K11" s="300">
        <v>358.3</v>
      </c>
      <c r="L11" s="300">
        <v>377.3</v>
      </c>
      <c r="M11" s="300">
        <v>390.9</v>
      </c>
    </row>
    <row r="12" spans="1:13" x14ac:dyDescent="0.25">
      <c r="A12" t="s">
        <v>115</v>
      </c>
      <c r="B12" t="s">
        <v>149</v>
      </c>
      <c r="C12" t="s">
        <v>150</v>
      </c>
      <c r="D12" t="s">
        <v>133</v>
      </c>
      <c r="E12" t="s">
        <v>134</v>
      </c>
      <c r="F12" s="300">
        <v>278.10000000000002</v>
      </c>
      <c r="G12" s="300">
        <v>285.60000000000002</v>
      </c>
      <c r="H12" s="300">
        <v>291.89999999999998</v>
      </c>
      <c r="I12" s="300">
        <v>295.39999999999998</v>
      </c>
      <c r="J12" s="300">
        <v>317.7</v>
      </c>
      <c r="K12" s="300">
        <v>360.4</v>
      </c>
      <c r="L12" s="300">
        <v>379</v>
      </c>
      <c r="M12" s="300">
        <v>392.1</v>
      </c>
    </row>
    <row r="13" spans="1:13" x14ac:dyDescent="0.25">
      <c r="A13" t="s">
        <v>115</v>
      </c>
      <c r="B13" t="s">
        <v>151</v>
      </c>
      <c r="C13" t="s">
        <v>152</v>
      </c>
      <c r="D13" t="s">
        <v>133</v>
      </c>
      <c r="E13" t="s">
        <v>134</v>
      </c>
      <c r="F13" s="300">
        <v>276</v>
      </c>
      <c r="G13" s="300">
        <v>283</v>
      </c>
      <c r="H13" s="300">
        <v>290.60000000000002</v>
      </c>
      <c r="I13" s="300">
        <v>294.60000000000002</v>
      </c>
      <c r="J13" s="300">
        <v>317.7</v>
      </c>
      <c r="K13" s="300">
        <v>360.3</v>
      </c>
      <c r="L13" s="300">
        <v>378</v>
      </c>
      <c r="M13" s="300">
        <v>391.7</v>
      </c>
    </row>
    <row r="14" spans="1:13" x14ac:dyDescent="0.25">
      <c r="A14" t="s">
        <v>115</v>
      </c>
      <c r="B14" t="s">
        <v>153</v>
      </c>
      <c r="C14" t="s">
        <v>154</v>
      </c>
      <c r="D14" t="s">
        <v>133</v>
      </c>
      <c r="E14" t="s">
        <v>134</v>
      </c>
      <c r="F14" s="300">
        <v>278.10000000000002</v>
      </c>
      <c r="G14" s="300">
        <v>285</v>
      </c>
      <c r="H14" s="300">
        <v>292</v>
      </c>
      <c r="I14" s="300">
        <v>296</v>
      </c>
      <c r="J14" s="300">
        <v>320.2</v>
      </c>
      <c r="K14" s="300">
        <v>364.5</v>
      </c>
      <c r="L14" s="300">
        <v>381</v>
      </c>
      <c r="M14" s="300">
        <v>394</v>
      </c>
    </row>
    <row r="15" spans="1:13" x14ac:dyDescent="0.25">
      <c r="A15" t="s">
        <v>115</v>
      </c>
      <c r="B15" t="s">
        <v>155</v>
      </c>
      <c r="C15" t="s">
        <v>156</v>
      </c>
      <c r="D15" t="s">
        <v>133</v>
      </c>
      <c r="E15" t="s">
        <v>134</v>
      </c>
      <c r="F15" s="300">
        <v>278.3</v>
      </c>
      <c r="G15" s="300">
        <v>285.10000000000002</v>
      </c>
      <c r="H15" s="300">
        <v>292.60000000000002</v>
      </c>
      <c r="I15" s="300">
        <v>296.89999999999998</v>
      </c>
      <c r="J15" s="300">
        <v>323.5</v>
      </c>
      <c r="K15" s="300">
        <v>367.2</v>
      </c>
      <c r="L15" s="300">
        <v>383</v>
      </c>
      <c r="M15" s="300">
        <v>395.3</v>
      </c>
    </row>
    <row r="16" spans="1:13" x14ac:dyDescent="0.25">
      <c r="A16" t="s">
        <v>115</v>
      </c>
      <c r="B16" t="s">
        <v>157</v>
      </c>
      <c r="C16" t="s">
        <v>158</v>
      </c>
      <c r="D16" t="s">
        <v>133</v>
      </c>
      <c r="E16" t="s">
        <v>134</v>
      </c>
      <c r="F16" s="300">
        <v>103.2</v>
      </c>
      <c r="G16" s="300">
        <v>105.5</v>
      </c>
      <c r="H16" s="300">
        <v>107.6</v>
      </c>
      <c r="I16" s="300">
        <v>108.6</v>
      </c>
      <c r="J16" s="300">
        <v>110.4</v>
      </c>
      <c r="K16" s="300">
        <v>119</v>
      </c>
      <c r="L16" s="300">
        <v>128.30000000000001</v>
      </c>
      <c r="M16" s="300">
        <v>132.19999999999999</v>
      </c>
    </row>
    <row r="17" spans="1:13" x14ac:dyDescent="0.25">
      <c r="A17" t="s">
        <v>115</v>
      </c>
      <c r="B17" t="s">
        <v>159</v>
      </c>
      <c r="C17" t="s">
        <v>160</v>
      </c>
      <c r="D17" t="s">
        <v>133</v>
      </c>
      <c r="E17" t="s">
        <v>134</v>
      </c>
      <c r="F17" s="300">
        <v>103.5</v>
      </c>
      <c r="G17" s="300">
        <v>105.9</v>
      </c>
      <c r="H17" s="300">
        <v>107.9</v>
      </c>
      <c r="I17" s="300">
        <v>108.6</v>
      </c>
      <c r="J17" s="300">
        <v>111</v>
      </c>
      <c r="K17" s="300">
        <v>119.7</v>
      </c>
      <c r="L17" s="300">
        <v>129.1</v>
      </c>
      <c r="M17" s="300">
        <v>132.69999999999999</v>
      </c>
    </row>
    <row r="18" spans="1:13" x14ac:dyDescent="0.25">
      <c r="A18" t="s">
        <v>115</v>
      </c>
      <c r="B18" t="s">
        <v>161</v>
      </c>
      <c r="C18" t="s">
        <v>162</v>
      </c>
      <c r="D18" t="s">
        <v>133</v>
      </c>
      <c r="E18" t="s">
        <v>134</v>
      </c>
      <c r="F18" s="300">
        <v>103.5</v>
      </c>
      <c r="G18" s="300">
        <v>105.9</v>
      </c>
      <c r="H18" s="300">
        <v>107.9</v>
      </c>
      <c r="I18" s="300">
        <v>108.8</v>
      </c>
      <c r="J18" s="300">
        <v>111.4</v>
      </c>
      <c r="K18" s="300">
        <v>120.5</v>
      </c>
      <c r="L18" s="300">
        <v>129.4</v>
      </c>
      <c r="M18" s="300">
        <v>133</v>
      </c>
    </row>
    <row r="19" spans="1:13" x14ac:dyDescent="0.25">
      <c r="A19" t="s">
        <v>115</v>
      </c>
      <c r="B19" t="s">
        <v>163</v>
      </c>
      <c r="C19" t="s">
        <v>164</v>
      </c>
      <c r="D19" t="s">
        <v>133</v>
      </c>
      <c r="E19" t="s">
        <v>134</v>
      </c>
      <c r="F19" s="300">
        <v>103.5</v>
      </c>
      <c r="G19" s="300">
        <v>105.9</v>
      </c>
      <c r="H19" s="300">
        <v>108</v>
      </c>
      <c r="I19" s="300">
        <v>109.2</v>
      </c>
      <c r="J19" s="300">
        <v>111.4</v>
      </c>
      <c r="K19" s="300">
        <v>121.2</v>
      </c>
      <c r="L19" s="300">
        <v>129</v>
      </c>
      <c r="M19" s="300">
        <v>132.9</v>
      </c>
    </row>
    <row r="20" spans="1:13" x14ac:dyDescent="0.25">
      <c r="A20" t="s">
        <v>115</v>
      </c>
      <c r="B20" t="s">
        <v>165</v>
      </c>
      <c r="C20" t="s">
        <v>166</v>
      </c>
      <c r="D20" t="s">
        <v>133</v>
      </c>
      <c r="E20" t="s">
        <v>134</v>
      </c>
      <c r="F20" s="300">
        <v>104</v>
      </c>
      <c r="G20" s="300">
        <v>106.5</v>
      </c>
      <c r="H20" s="300">
        <v>108.3</v>
      </c>
      <c r="I20" s="300">
        <v>108.8</v>
      </c>
      <c r="J20" s="300">
        <v>112.1</v>
      </c>
      <c r="K20" s="300">
        <v>121.8</v>
      </c>
      <c r="L20" s="300">
        <v>129.4</v>
      </c>
      <c r="M20" s="300">
        <v>133.4</v>
      </c>
    </row>
    <row r="21" spans="1:13" x14ac:dyDescent="0.25">
      <c r="A21" t="s">
        <v>115</v>
      </c>
      <c r="B21" t="s">
        <v>167</v>
      </c>
      <c r="C21" t="s">
        <v>168</v>
      </c>
      <c r="D21" t="s">
        <v>133</v>
      </c>
      <c r="E21" t="s">
        <v>134</v>
      </c>
      <c r="F21" s="300">
        <v>104.3</v>
      </c>
      <c r="G21" s="300">
        <v>106.6</v>
      </c>
      <c r="H21" s="300">
        <v>108.4</v>
      </c>
      <c r="I21" s="300">
        <v>109.2</v>
      </c>
      <c r="J21" s="300">
        <v>112.4</v>
      </c>
      <c r="K21" s="300">
        <v>122.3</v>
      </c>
      <c r="L21" s="300">
        <v>130.1</v>
      </c>
      <c r="M21" s="300">
        <v>133.5</v>
      </c>
    </row>
    <row r="22" spans="1:13" x14ac:dyDescent="0.25">
      <c r="A22" t="s">
        <v>115</v>
      </c>
      <c r="B22" t="s">
        <v>169</v>
      </c>
      <c r="C22" t="s">
        <v>170</v>
      </c>
      <c r="D22" t="s">
        <v>133</v>
      </c>
      <c r="E22" t="s">
        <v>134</v>
      </c>
      <c r="F22" s="300">
        <v>104.4</v>
      </c>
      <c r="G22" s="300">
        <v>106.7</v>
      </c>
      <c r="H22" s="300">
        <v>108.3</v>
      </c>
      <c r="I22" s="300">
        <v>109.2</v>
      </c>
      <c r="J22" s="300">
        <v>113.4</v>
      </c>
      <c r="K22" s="300">
        <v>124.3</v>
      </c>
      <c r="L22" s="300">
        <v>130.19999999999999</v>
      </c>
      <c r="M22" s="300">
        <v>134.30000000000001</v>
      </c>
    </row>
    <row r="23" spans="1:13" x14ac:dyDescent="0.25">
      <c r="A23" t="s">
        <v>115</v>
      </c>
      <c r="B23" t="s">
        <v>171</v>
      </c>
      <c r="C23" t="s">
        <v>172</v>
      </c>
      <c r="D23" t="s">
        <v>133</v>
      </c>
      <c r="E23" t="s">
        <v>134</v>
      </c>
      <c r="F23" s="300">
        <v>104.7</v>
      </c>
      <c r="G23" s="300">
        <v>106.9</v>
      </c>
      <c r="H23" s="300">
        <v>108.5</v>
      </c>
      <c r="I23" s="300">
        <v>109.1</v>
      </c>
      <c r="J23" s="300">
        <v>114.1</v>
      </c>
      <c r="K23" s="300">
        <v>124.8</v>
      </c>
      <c r="L23" s="300">
        <v>130</v>
      </c>
      <c r="M23" s="300">
        <v>134.6</v>
      </c>
    </row>
    <row r="24" spans="1:13" x14ac:dyDescent="0.25">
      <c r="A24" t="s">
        <v>115</v>
      </c>
      <c r="B24" t="s">
        <v>173</v>
      </c>
      <c r="C24" t="s">
        <v>174</v>
      </c>
      <c r="D24" t="s">
        <v>133</v>
      </c>
      <c r="E24" t="s">
        <v>134</v>
      </c>
      <c r="F24" s="300">
        <v>105</v>
      </c>
      <c r="G24" s="300">
        <v>107.1</v>
      </c>
      <c r="H24" s="300">
        <v>108.5</v>
      </c>
      <c r="I24" s="300">
        <v>109.4</v>
      </c>
      <c r="J24" s="300">
        <v>114.7</v>
      </c>
      <c r="K24" s="300">
        <v>125.3</v>
      </c>
      <c r="L24" s="300">
        <v>130.5</v>
      </c>
      <c r="M24" s="300">
        <v>135.1</v>
      </c>
    </row>
    <row r="25" spans="1:13" x14ac:dyDescent="0.25">
      <c r="A25" t="s">
        <v>115</v>
      </c>
      <c r="B25" t="s">
        <v>175</v>
      </c>
      <c r="C25" t="s">
        <v>176</v>
      </c>
      <c r="D25" t="s">
        <v>133</v>
      </c>
      <c r="E25" t="s">
        <v>134</v>
      </c>
      <c r="F25" s="300">
        <v>104.5</v>
      </c>
      <c r="G25" s="300">
        <v>106.4</v>
      </c>
      <c r="H25" s="300">
        <v>108.3</v>
      </c>
      <c r="I25" s="300">
        <v>109.3</v>
      </c>
      <c r="J25" s="300">
        <v>114.6</v>
      </c>
      <c r="K25" s="300">
        <v>124.8</v>
      </c>
      <c r="L25" s="300">
        <v>130</v>
      </c>
      <c r="M25" s="300">
        <v>135.1</v>
      </c>
    </row>
    <row r="26" spans="1:13" x14ac:dyDescent="0.25">
      <c r="A26" t="s">
        <v>115</v>
      </c>
      <c r="B26" t="s">
        <v>177</v>
      </c>
      <c r="C26" t="s">
        <v>178</v>
      </c>
      <c r="D26" t="s">
        <v>133</v>
      </c>
      <c r="E26" t="s">
        <v>134</v>
      </c>
      <c r="F26" s="300">
        <v>104.9</v>
      </c>
      <c r="G26" s="300">
        <v>106.8</v>
      </c>
      <c r="H26" s="300">
        <v>108.6</v>
      </c>
      <c r="I26" s="300">
        <v>109.4</v>
      </c>
      <c r="J26" s="300">
        <v>115.4</v>
      </c>
      <c r="K26" s="300">
        <v>126</v>
      </c>
      <c r="L26" s="300">
        <v>130.80000000000001</v>
      </c>
      <c r="M26" s="300">
        <v>135.6</v>
      </c>
    </row>
    <row r="27" spans="1:13" x14ac:dyDescent="0.25">
      <c r="A27" t="s">
        <v>115</v>
      </c>
      <c r="B27" t="s">
        <v>179</v>
      </c>
      <c r="C27" t="s">
        <v>180</v>
      </c>
      <c r="D27" t="s">
        <v>133</v>
      </c>
      <c r="E27" t="s">
        <v>134</v>
      </c>
      <c r="F27" s="300">
        <v>105.1</v>
      </c>
      <c r="G27" s="300">
        <v>107</v>
      </c>
      <c r="H27" s="300">
        <v>108.6</v>
      </c>
      <c r="I27" s="300">
        <v>109.7</v>
      </c>
      <c r="J27" s="300">
        <v>116.5</v>
      </c>
      <c r="K27" s="300">
        <v>126.8</v>
      </c>
      <c r="L27" s="300">
        <v>131.6</v>
      </c>
      <c r="M27" s="300">
        <v>136.1</v>
      </c>
    </row>
    <row r="28" spans="1:13" x14ac:dyDescent="0.25"/>
    <row r="29" spans="1:13" x14ac:dyDescent="0.25"/>
    <row r="30" spans="1:13" x14ac:dyDescent="0.25"/>
  </sheetData>
  <pageMargins left="0.70866141732283472" right="0.70866141732283472" top="0.74803149606299213" bottom="0.74803149606299213" header="0.31496062992125984" footer="0.31496062992125984"/>
  <pageSetup paperSize="8" scale="92"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AF46-9D26-4EE2-B460-596A7E221F20}">
  <sheetPr>
    <pageSetUpPr fitToPage="1"/>
  </sheetPr>
  <dimension ref="A1:Q30"/>
  <sheetViews>
    <sheetView showGridLines="0" zoomScale="80" zoomScaleNormal="80" workbookViewId="0"/>
  </sheetViews>
  <sheetFormatPr defaultColWidth="0" defaultRowHeight="12.5" zeroHeight="1" x14ac:dyDescent="0.25"/>
  <cols>
    <col min="1" max="1" width="20.453125" bestFit="1" customWidth="1"/>
    <col min="2" max="2" width="28.1796875" bestFit="1" customWidth="1"/>
    <col min="3" max="3" width="94.90625" bestFit="1" customWidth="1"/>
    <col min="4" max="4" width="4.7265625" bestFit="1" customWidth="1"/>
    <col min="5" max="5" width="16.90625" bestFit="1" customWidth="1"/>
    <col min="6" max="13" width="8" bestFit="1" customWidth="1"/>
    <col min="14" max="14" width="15.26953125" bestFit="1" customWidth="1"/>
    <col min="15" max="15" width="19.6328125" bestFit="1" customWidth="1"/>
    <col min="16" max="16" width="18.90625" bestFit="1" customWidth="1"/>
    <col min="17" max="17" width="8.7265625" customWidth="1"/>
    <col min="18" max="16384" width="8.7265625" hidden="1"/>
  </cols>
  <sheetData>
    <row r="1" spans="1:16" ht="25" x14ac:dyDescent="0.5">
      <c r="A1" s="123" t="str">
        <f ca="1" xml:space="preserve"> RIGHT(CELL("filename", $A$1), LEN(CELL("filename", $A$1)) - SEARCH("]", CELL("filename", $A$1)))</f>
        <v>InpOverride</v>
      </c>
      <c r="C1" s="324"/>
      <c r="E1" s="324"/>
    </row>
    <row r="2" spans="1:16" ht="29" x14ac:dyDescent="0.35">
      <c r="A2" s="325" t="s">
        <v>82</v>
      </c>
      <c r="B2" s="325" t="s">
        <v>119</v>
      </c>
      <c r="C2" s="325" t="s">
        <v>120</v>
      </c>
      <c r="D2" s="325" t="s">
        <v>121</v>
      </c>
      <c r="E2" s="325" t="s">
        <v>122</v>
      </c>
      <c r="F2" s="325" t="s">
        <v>123</v>
      </c>
      <c r="G2" s="325" t="s">
        <v>124</v>
      </c>
      <c r="H2" s="325" t="s">
        <v>125</v>
      </c>
      <c r="I2" s="325" t="s">
        <v>126</v>
      </c>
      <c r="J2" s="325" t="s">
        <v>127</v>
      </c>
      <c r="K2" s="325" t="s">
        <v>128</v>
      </c>
      <c r="L2" s="325" t="s">
        <v>129</v>
      </c>
      <c r="M2" s="325" t="s">
        <v>130</v>
      </c>
      <c r="N2" s="301" t="s">
        <v>181</v>
      </c>
      <c r="O2" s="301" t="s">
        <v>182</v>
      </c>
      <c r="P2" s="302" t="s">
        <v>183</v>
      </c>
    </row>
    <row r="3" spans="1:16" x14ac:dyDescent="0.25">
      <c r="N3" s="303"/>
      <c r="O3" s="303"/>
      <c r="P3" s="304"/>
    </row>
    <row r="4" spans="1:16" x14ac:dyDescent="0.25">
      <c r="A4" t="str">
        <f xml:space="preserve"> F_Inputs!A4</f>
        <v>SEW</v>
      </c>
      <c r="B4" t="str">
        <f xml:space="preserve"> F_Inputs!B4</f>
        <v>C_PR24FM01_BB3805AL_PR24</v>
      </c>
      <c r="C4" t="str">
        <f xml:space="preserve"> F_Inputs!C4</f>
        <v>Retail price index - for April</v>
      </c>
      <c r="D4" t="str">
        <f xml:space="preserve"> F_Inputs!D4</f>
        <v>nr</v>
      </c>
      <c r="E4" t="str">
        <f xml:space="preserve"> F_Inputs!E4</f>
        <v>Price Review 2024</v>
      </c>
      <c r="F4" s="300"/>
      <c r="G4" s="300"/>
      <c r="H4" s="300"/>
      <c r="I4" s="300"/>
      <c r="J4" s="300"/>
      <c r="K4" s="300"/>
      <c r="L4" s="300"/>
      <c r="M4" s="300"/>
      <c r="N4" s="305"/>
      <c r="O4" s="305"/>
      <c r="P4" s="306"/>
    </row>
    <row r="5" spans="1:16" x14ac:dyDescent="0.25">
      <c r="A5" t="str">
        <f xml:space="preserve"> F_Inputs!A5</f>
        <v>SEW</v>
      </c>
      <c r="B5" t="str">
        <f xml:space="preserve"> F_Inputs!B5</f>
        <v>C_PR24FM01_BB3805MY_PR24</v>
      </c>
      <c r="C5" t="str">
        <f xml:space="preserve"> F_Inputs!C5</f>
        <v>Retail price index - for May</v>
      </c>
      <c r="D5" t="str">
        <f xml:space="preserve"> F_Inputs!D5</f>
        <v>nr</v>
      </c>
      <c r="E5" t="str">
        <f xml:space="preserve"> F_Inputs!E5</f>
        <v>Price Review 2024</v>
      </c>
      <c r="F5" s="300"/>
      <c r="G5" s="300"/>
      <c r="H5" s="300"/>
      <c r="I5" s="300"/>
      <c r="J5" s="300"/>
      <c r="K5" s="300"/>
      <c r="L5" s="300"/>
      <c r="M5" s="300"/>
      <c r="N5" s="305"/>
      <c r="O5" s="305"/>
      <c r="P5" s="306"/>
    </row>
    <row r="6" spans="1:16" x14ac:dyDescent="0.25">
      <c r="A6" t="str">
        <f xml:space="preserve"> F_Inputs!A6</f>
        <v>SEW</v>
      </c>
      <c r="B6" t="str">
        <f xml:space="preserve"> F_Inputs!B6</f>
        <v>C_PR24FM01_BB3805JN_PR24</v>
      </c>
      <c r="C6" t="str">
        <f xml:space="preserve"> F_Inputs!C6</f>
        <v>Retail price index - for June</v>
      </c>
      <c r="D6" t="str">
        <f xml:space="preserve"> F_Inputs!D6</f>
        <v>nr</v>
      </c>
      <c r="E6" t="str">
        <f xml:space="preserve"> F_Inputs!E6</f>
        <v>Price Review 2024</v>
      </c>
      <c r="F6" s="300"/>
      <c r="G6" s="300"/>
      <c r="H6" s="300"/>
      <c r="I6" s="300"/>
      <c r="J6" s="300"/>
      <c r="K6" s="300"/>
      <c r="L6" s="300"/>
      <c r="M6" s="300"/>
      <c r="N6" s="305"/>
      <c r="O6" s="305"/>
      <c r="P6" s="306"/>
    </row>
    <row r="7" spans="1:16" x14ac:dyDescent="0.25">
      <c r="A7" t="str">
        <f xml:space="preserve"> F_Inputs!A7</f>
        <v>SEW</v>
      </c>
      <c r="B7" t="str">
        <f xml:space="preserve"> F_Inputs!B7</f>
        <v>C_PR24FM01_BB3805JL_PR24</v>
      </c>
      <c r="C7" t="str">
        <f xml:space="preserve"> F_Inputs!C7</f>
        <v>Retail price index - for July</v>
      </c>
      <c r="D7" t="str">
        <f xml:space="preserve"> F_Inputs!D7</f>
        <v>nr</v>
      </c>
      <c r="E7" t="str">
        <f xml:space="preserve"> F_Inputs!E7</f>
        <v>Price Review 2024</v>
      </c>
      <c r="F7" s="307"/>
      <c r="G7" s="307"/>
      <c r="H7" s="307"/>
      <c r="I7" s="307"/>
      <c r="J7" s="307"/>
      <c r="K7" s="307"/>
      <c r="L7" s="307"/>
      <c r="M7" s="307"/>
      <c r="N7" s="305"/>
      <c r="O7" s="305"/>
      <c r="P7" s="306"/>
    </row>
    <row r="8" spans="1:16" x14ac:dyDescent="0.25">
      <c r="A8" t="str">
        <f xml:space="preserve"> F_Inputs!A8</f>
        <v>SEW</v>
      </c>
      <c r="B8" t="str">
        <f xml:space="preserve"> F_Inputs!B8</f>
        <v>C_PR24FM01_BB3805AT_PR24</v>
      </c>
      <c r="C8" t="str">
        <f xml:space="preserve"> F_Inputs!C8</f>
        <v>Retail price index - for August</v>
      </c>
      <c r="D8" t="str">
        <f xml:space="preserve"> F_Inputs!D8</f>
        <v>nr</v>
      </c>
      <c r="E8" t="str">
        <f xml:space="preserve"> F_Inputs!E8</f>
        <v>Price Review 2024</v>
      </c>
      <c r="F8" s="307"/>
      <c r="G8" s="307"/>
      <c r="H8" s="307"/>
      <c r="I8" s="307"/>
      <c r="J8" s="307"/>
      <c r="K8" s="307"/>
      <c r="L8" s="307"/>
      <c r="M8" s="307"/>
      <c r="N8" s="305"/>
      <c r="O8" s="305"/>
      <c r="P8" s="306"/>
    </row>
    <row r="9" spans="1:16" x14ac:dyDescent="0.25">
      <c r="A9" t="str">
        <f xml:space="preserve"> F_Inputs!A9</f>
        <v>SEW</v>
      </c>
      <c r="B9" t="str">
        <f xml:space="preserve"> F_Inputs!B9</f>
        <v>C_PR24FM01_BB3805SR_PR24</v>
      </c>
      <c r="C9" t="str">
        <f xml:space="preserve"> F_Inputs!C9</f>
        <v>Retail price index - for September</v>
      </c>
      <c r="D9" t="str">
        <f xml:space="preserve"> F_Inputs!D9</f>
        <v>nr</v>
      </c>
      <c r="E9" t="str">
        <f xml:space="preserve"> F_Inputs!E9</f>
        <v>Price Review 2024</v>
      </c>
      <c r="F9" s="307"/>
      <c r="G9" s="307"/>
      <c r="H9" s="307"/>
      <c r="I9" s="307"/>
      <c r="J9" s="307"/>
      <c r="K9" s="307"/>
      <c r="L9" s="307"/>
      <c r="M9" s="307"/>
      <c r="N9" s="305"/>
      <c r="O9" s="305"/>
      <c r="P9" s="306"/>
    </row>
    <row r="10" spans="1:16" x14ac:dyDescent="0.25">
      <c r="A10" t="str">
        <f xml:space="preserve"> F_Inputs!A10</f>
        <v>SEW</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07"/>
      <c r="G10" s="307"/>
      <c r="H10" s="307"/>
      <c r="I10" s="307"/>
      <c r="J10" s="307"/>
      <c r="K10" s="307"/>
      <c r="L10" s="307"/>
      <c r="M10" s="307"/>
      <c r="N10" s="305"/>
      <c r="O10" s="305"/>
      <c r="P10" s="306"/>
    </row>
    <row r="11" spans="1:16" x14ac:dyDescent="0.25">
      <c r="A11" t="str">
        <f xml:space="preserve"> F_Inputs!A11</f>
        <v>SEW</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07"/>
      <c r="G11" s="307"/>
      <c r="H11" s="307"/>
      <c r="I11" s="307"/>
      <c r="J11" s="307"/>
      <c r="K11" s="307"/>
      <c r="L11" s="307"/>
      <c r="M11" s="307"/>
      <c r="N11" s="305"/>
      <c r="O11" s="305"/>
      <c r="P11" s="306"/>
    </row>
    <row r="12" spans="1:16" x14ac:dyDescent="0.25">
      <c r="A12" t="str">
        <f xml:space="preserve"> F_Inputs!A12</f>
        <v>SEW</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07"/>
      <c r="G12" s="307"/>
      <c r="H12" s="307"/>
      <c r="I12" s="307"/>
      <c r="J12" s="307"/>
      <c r="K12" s="307"/>
      <c r="L12" s="307"/>
      <c r="M12" s="307"/>
      <c r="N12" s="305"/>
      <c r="O12" s="305"/>
      <c r="P12" s="306"/>
    </row>
    <row r="13" spans="1:16" x14ac:dyDescent="0.25">
      <c r="A13" t="str">
        <f xml:space="preserve"> F_Inputs!A13</f>
        <v>SEW</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07"/>
      <c r="G13" s="307"/>
      <c r="H13" s="307"/>
      <c r="I13" s="307"/>
      <c r="J13" s="307"/>
      <c r="K13" s="307"/>
      <c r="L13" s="307"/>
      <c r="M13" s="307"/>
      <c r="N13" s="305"/>
      <c r="O13" s="305"/>
      <c r="P13" s="306"/>
    </row>
    <row r="14" spans="1:16" x14ac:dyDescent="0.25">
      <c r="A14" t="str">
        <f xml:space="preserve"> F_Inputs!A14</f>
        <v>SEW</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07"/>
      <c r="G14" s="307"/>
      <c r="H14" s="307"/>
      <c r="I14" s="307"/>
      <c r="J14" s="307"/>
      <c r="K14" s="307"/>
      <c r="L14" s="307"/>
      <c r="M14" s="307"/>
      <c r="N14" s="305"/>
      <c r="O14" s="305"/>
      <c r="P14" s="306"/>
    </row>
    <row r="15" spans="1:16" x14ac:dyDescent="0.25">
      <c r="A15" t="str">
        <f xml:space="preserve"> F_Inputs!A15</f>
        <v>SEW</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07"/>
      <c r="G15" s="307"/>
      <c r="H15" s="307"/>
      <c r="I15" s="307"/>
      <c r="J15" s="307"/>
      <c r="K15" s="307"/>
      <c r="L15" s="307"/>
      <c r="M15" s="307"/>
      <c r="N15" s="305"/>
      <c r="O15" s="305"/>
      <c r="P15" s="306"/>
    </row>
    <row r="16" spans="1:16" x14ac:dyDescent="0.25">
      <c r="A16" t="str">
        <f xml:space="preserve"> F_Inputs!A16</f>
        <v>SEW</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07"/>
      <c r="G16" s="307"/>
      <c r="H16" s="307"/>
      <c r="I16" s="307"/>
      <c r="J16" s="307"/>
      <c r="K16" s="307"/>
      <c r="L16" s="307"/>
      <c r="M16" s="307"/>
      <c r="N16" s="305"/>
      <c r="O16" s="305"/>
      <c r="P16" s="306"/>
    </row>
    <row r="17" spans="1:16" x14ac:dyDescent="0.25">
      <c r="A17" t="str">
        <f xml:space="preserve"> F_Inputs!A17</f>
        <v>SEW</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07"/>
      <c r="G17" s="307"/>
      <c r="H17" s="307"/>
      <c r="I17" s="307"/>
      <c r="J17" s="307"/>
      <c r="K17" s="307"/>
      <c r="L17" s="307"/>
      <c r="M17" s="307"/>
      <c r="N17" s="305"/>
      <c r="O17" s="305"/>
      <c r="P17" s="306"/>
    </row>
    <row r="18" spans="1:16" x14ac:dyDescent="0.25">
      <c r="A18" t="str">
        <f xml:space="preserve"> F_Inputs!A18</f>
        <v>SEW</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07"/>
      <c r="G18" s="307"/>
      <c r="H18" s="307"/>
      <c r="I18" s="307"/>
      <c r="J18" s="307"/>
      <c r="K18" s="307"/>
      <c r="L18" s="307"/>
      <c r="M18" s="307"/>
      <c r="N18" s="305"/>
      <c r="O18" s="305"/>
      <c r="P18" s="306"/>
    </row>
    <row r="19" spans="1:16" x14ac:dyDescent="0.25">
      <c r="A19" t="str">
        <f xml:space="preserve"> F_Inputs!A19</f>
        <v>SEW</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07"/>
      <c r="G19" s="307"/>
      <c r="H19" s="307"/>
      <c r="I19" s="307"/>
      <c r="J19" s="307"/>
      <c r="K19" s="307"/>
      <c r="L19" s="307"/>
      <c r="M19" s="307"/>
      <c r="N19" s="305"/>
      <c r="O19" s="305"/>
      <c r="P19" s="306"/>
    </row>
    <row r="20" spans="1:16" x14ac:dyDescent="0.25">
      <c r="A20" t="str">
        <f xml:space="preserve"> F_Inputs!A20</f>
        <v>SEW</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07"/>
      <c r="G20" s="307"/>
      <c r="H20" s="307"/>
      <c r="I20" s="307"/>
      <c r="J20" s="307"/>
      <c r="K20" s="307"/>
      <c r="L20" s="307"/>
      <c r="M20" s="307"/>
      <c r="N20" s="305"/>
      <c r="O20" s="305"/>
      <c r="P20" s="306"/>
    </row>
    <row r="21" spans="1:16" x14ac:dyDescent="0.25">
      <c r="A21" t="str">
        <f xml:space="preserve"> F_Inputs!A21</f>
        <v>SEW</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07"/>
      <c r="G21" s="307"/>
      <c r="H21" s="307"/>
      <c r="I21" s="307"/>
      <c r="J21" s="307"/>
      <c r="K21" s="307"/>
      <c r="L21" s="307"/>
      <c r="M21" s="307"/>
      <c r="N21" s="305"/>
      <c r="O21" s="305"/>
      <c r="P21" s="306"/>
    </row>
    <row r="22" spans="1:16" x14ac:dyDescent="0.25">
      <c r="A22" t="str">
        <f xml:space="preserve"> F_Inputs!A22</f>
        <v>SEW</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07"/>
      <c r="G22" s="307"/>
      <c r="H22" s="307"/>
      <c r="I22" s="307"/>
      <c r="J22" s="307"/>
      <c r="K22" s="307"/>
      <c r="L22" s="307"/>
      <c r="M22" s="307"/>
      <c r="N22" s="305"/>
      <c r="O22" s="305"/>
      <c r="P22" s="306"/>
    </row>
    <row r="23" spans="1:16" x14ac:dyDescent="0.25">
      <c r="A23" t="str">
        <f xml:space="preserve"> F_Inputs!A23</f>
        <v>SEW</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07"/>
      <c r="G23" s="307"/>
      <c r="H23" s="307"/>
      <c r="I23" s="307"/>
      <c r="J23" s="307"/>
      <c r="K23" s="307"/>
      <c r="L23" s="307"/>
      <c r="M23" s="307"/>
      <c r="N23" s="305"/>
      <c r="O23" s="305"/>
      <c r="P23" s="306"/>
    </row>
    <row r="24" spans="1:16" x14ac:dyDescent="0.25">
      <c r="A24" t="str">
        <f xml:space="preserve"> F_Inputs!A24</f>
        <v>SEW</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07"/>
      <c r="G24" s="307"/>
      <c r="H24" s="307"/>
      <c r="I24" s="307"/>
      <c r="J24" s="307"/>
      <c r="K24" s="307"/>
      <c r="L24" s="307"/>
      <c r="M24" s="307"/>
      <c r="N24" s="305"/>
      <c r="O24" s="305"/>
      <c r="P24" s="306"/>
    </row>
    <row r="25" spans="1:16" x14ac:dyDescent="0.25">
      <c r="A25" t="str">
        <f xml:space="preserve"> F_Inputs!A25</f>
        <v>SEW</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07"/>
      <c r="G25" s="307"/>
      <c r="H25" s="307"/>
      <c r="I25" s="307"/>
      <c r="J25" s="307"/>
      <c r="K25" s="307"/>
      <c r="L25" s="307"/>
      <c r="M25" s="307"/>
      <c r="N25" s="305"/>
      <c r="O25" s="305"/>
      <c r="P25" s="306"/>
    </row>
    <row r="26" spans="1:16" x14ac:dyDescent="0.25">
      <c r="A26" t="str">
        <f xml:space="preserve"> F_Inputs!A26</f>
        <v>SEW</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07"/>
      <c r="G26" s="307"/>
      <c r="H26" s="307"/>
      <c r="I26" s="307"/>
      <c r="J26" s="307"/>
      <c r="K26" s="307"/>
      <c r="L26" s="307"/>
      <c r="M26" s="307"/>
      <c r="N26" s="305"/>
      <c r="O26" s="305"/>
      <c r="P26" s="306"/>
    </row>
    <row r="27" spans="1:16" x14ac:dyDescent="0.25">
      <c r="A27" t="str">
        <f xml:space="preserve"> F_Inputs!A27</f>
        <v>SEW</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07"/>
      <c r="G27" s="307"/>
      <c r="H27" s="307"/>
      <c r="I27" s="307"/>
      <c r="J27" s="307"/>
      <c r="K27" s="307"/>
      <c r="L27" s="307"/>
      <c r="M27" s="307"/>
      <c r="N27" s="305"/>
      <c r="O27" s="305"/>
      <c r="P27" s="306"/>
    </row>
    <row r="28" spans="1:16" x14ac:dyDescent="0.25"/>
    <row r="29" spans="1:16" x14ac:dyDescent="0.25"/>
    <row r="30" spans="1:16" x14ac:dyDescent="0.25"/>
  </sheetData>
  <pageMargins left="0.70866141732283472" right="0.70866141732283472" top="0.74803149606299213" bottom="0.74803149606299213" header="0.31496062992125984" footer="0.31496062992125984"/>
  <pageSetup paperSize="8" scale="69" fitToHeight="0" orientation="landscape"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7531-9343-445F-91EA-A259724017B7}">
  <sheetPr>
    <pageSetUpPr fitToPage="1"/>
  </sheetPr>
  <dimension ref="A1:N30"/>
  <sheetViews>
    <sheetView showGridLines="0" zoomScale="80" zoomScaleNormal="80" workbookViewId="0"/>
  </sheetViews>
  <sheetFormatPr defaultColWidth="0" defaultRowHeight="12.5" zeroHeight="1" x14ac:dyDescent="0.25"/>
  <cols>
    <col min="1" max="1" width="28.7265625" bestFit="1" customWidth="1"/>
    <col min="2" max="2" width="28.1796875" bestFit="1" customWidth="1"/>
    <col min="3" max="3" width="94.90625" bestFit="1" customWidth="1"/>
    <col min="4" max="4" width="4.7265625" bestFit="1" customWidth="1"/>
    <col min="5" max="5" width="16.90625" bestFit="1" customWidth="1"/>
    <col min="6" max="13" width="8" bestFit="1" customWidth="1"/>
    <col min="14" max="14" width="8.7265625" customWidth="1"/>
    <col min="15" max="16384" width="8.7265625" hidden="1"/>
  </cols>
  <sheetData>
    <row r="1" spans="1:13" ht="25" x14ac:dyDescent="0.5">
      <c r="A1" s="123" t="str">
        <f ca="1" xml:space="preserve"> RIGHT(CELL("filename", $A$1), LEN(CELL("filename", $A$1)) - SEARCH("]", CELL("filename", $A$1)))</f>
        <v>Inp_active PR24</v>
      </c>
      <c r="C1" s="324"/>
      <c r="E1" s="324"/>
    </row>
    <row r="2" spans="1:13" ht="14.5" x14ac:dyDescent="0.35">
      <c r="A2" s="325" t="s">
        <v>82</v>
      </c>
      <c r="B2" s="325" t="s">
        <v>119</v>
      </c>
      <c r="C2" s="325" t="s">
        <v>120</v>
      </c>
      <c r="D2" s="325" t="s">
        <v>121</v>
      </c>
      <c r="E2" s="325" t="s">
        <v>122</v>
      </c>
      <c r="F2" s="325" t="s">
        <v>123</v>
      </c>
      <c r="G2" s="325" t="s">
        <v>124</v>
      </c>
      <c r="H2" s="325" t="s">
        <v>125</v>
      </c>
      <c r="I2" s="325" t="s">
        <v>126</v>
      </c>
      <c r="J2" s="325" t="s">
        <v>127</v>
      </c>
      <c r="K2" s="325" t="s">
        <v>128</v>
      </c>
      <c r="L2" s="325" t="s">
        <v>129</v>
      </c>
      <c r="M2" s="325" t="s">
        <v>130</v>
      </c>
    </row>
    <row r="3" spans="1:13" x14ac:dyDescent="0.25"/>
    <row r="4" spans="1:13" x14ac:dyDescent="0.25">
      <c r="A4" t="str">
        <f xml:space="preserve"> IF(InpOverride!A4 = 0, F_Inputs!A4, InpOverride!A4)</f>
        <v>SEW</v>
      </c>
      <c r="B4" t="str">
        <f xml:space="preserve"> F_Inputs!B4</f>
        <v>C_PR24FM01_BB3805AL_PR24</v>
      </c>
      <c r="C4" t="str">
        <f xml:space="preserve"> F_Inputs!C4</f>
        <v>Retail price index - for April</v>
      </c>
      <c r="D4" t="str">
        <f xml:space="preserve"> F_Inputs!D4</f>
        <v>nr</v>
      </c>
      <c r="E4" t="str">
        <f xml:space="preserve"> F_Inputs!E4</f>
        <v>Price Review 2024</v>
      </c>
      <c r="F4" s="300">
        <f xml:space="preserve"> IF(InpOverride!F4 = 0, F_Inputs!F4, InpOverride!F4)</f>
        <v>270.60000000000002</v>
      </c>
      <c r="G4" s="300">
        <f xml:space="preserve"> IF(InpOverride!G4 = 0, F_Inputs!G4, InpOverride!G4)</f>
        <v>279.7</v>
      </c>
      <c r="H4" s="300">
        <f xml:space="preserve"> IF(InpOverride!H4 = 0, F_Inputs!H4, InpOverride!H4)</f>
        <v>288.2</v>
      </c>
      <c r="I4" s="300">
        <f xml:space="preserve"> IF(InpOverride!I4 = 0, F_Inputs!I4, InpOverride!I4)</f>
        <v>292.60000000000002</v>
      </c>
      <c r="J4" s="300">
        <f xml:space="preserve"> IF(InpOverride!J4 = 0, F_Inputs!J4, InpOverride!J4)</f>
        <v>301.10000000000002</v>
      </c>
      <c r="K4" s="300">
        <f xml:space="preserve"> IF(InpOverride!K4 = 0, F_Inputs!K4, InpOverride!K4)</f>
        <v>334.6</v>
      </c>
      <c r="L4" s="300">
        <f xml:space="preserve"> IF(InpOverride!L4 = 0, F_Inputs!L4, InpOverride!L4)</f>
        <v>372.8</v>
      </c>
      <c r="M4" s="300">
        <f xml:space="preserve"> IF(InpOverride!M4 = 0, F_Inputs!M4, InpOverride!M4)</f>
        <v>385</v>
      </c>
    </row>
    <row r="5" spans="1:13" x14ac:dyDescent="0.25">
      <c r="A5" t="str">
        <f xml:space="preserve"> IF(InpOverride!A5 = 0, F_Inputs!A5, InpOverride!A5)</f>
        <v>SEW</v>
      </c>
      <c r="B5" t="str">
        <f xml:space="preserve"> F_Inputs!B5</f>
        <v>C_PR24FM01_BB3805MY_PR24</v>
      </c>
      <c r="C5" t="str">
        <f xml:space="preserve"> F_Inputs!C5</f>
        <v>Retail price index - for May</v>
      </c>
      <c r="D5" t="str">
        <f xml:space="preserve"> F_Inputs!D5</f>
        <v>nr</v>
      </c>
      <c r="E5" t="str">
        <f xml:space="preserve"> F_Inputs!E5</f>
        <v>Price Review 2024</v>
      </c>
      <c r="F5" s="300">
        <f xml:space="preserve"> IF(InpOverride!F5 = 0, F_Inputs!F5, InpOverride!F5)</f>
        <v>271.7</v>
      </c>
      <c r="G5" s="300">
        <f xml:space="preserve"> IF(InpOverride!G5 = 0, F_Inputs!G5, InpOverride!G5)</f>
        <v>280.7</v>
      </c>
      <c r="H5" s="300">
        <f xml:space="preserve"> IF(InpOverride!H5 = 0, F_Inputs!H5, InpOverride!H5)</f>
        <v>289.2</v>
      </c>
      <c r="I5" s="300">
        <f xml:space="preserve"> IF(InpOverride!I5 = 0, F_Inputs!I5, InpOverride!I5)</f>
        <v>292.2</v>
      </c>
      <c r="J5" s="300">
        <f xml:space="preserve"> IF(InpOverride!J5 = 0, F_Inputs!J5, InpOverride!J5)</f>
        <v>301.89999999999998</v>
      </c>
      <c r="K5" s="300">
        <f xml:space="preserve"> IF(InpOverride!K5 = 0, F_Inputs!K5, InpOverride!K5)</f>
        <v>337.1</v>
      </c>
      <c r="L5" s="300">
        <f xml:space="preserve"> IF(InpOverride!L5 = 0, F_Inputs!L5, InpOverride!L5)</f>
        <v>375.3</v>
      </c>
      <c r="M5" s="300">
        <f xml:space="preserve"> IF(InpOverride!M5 = 0, F_Inputs!M5, InpOverride!M5)</f>
        <v>386.4</v>
      </c>
    </row>
    <row r="6" spans="1:13" x14ac:dyDescent="0.25">
      <c r="A6" t="str">
        <f xml:space="preserve"> IF(InpOverride!A6 = 0, F_Inputs!A6, InpOverride!A6)</f>
        <v>SEW</v>
      </c>
      <c r="B6" t="str">
        <f xml:space="preserve"> F_Inputs!B6</f>
        <v>C_PR24FM01_BB3805JN_PR24</v>
      </c>
      <c r="C6" t="str">
        <f xml:space="preserve"> F_Inputs!C6</f>
        <v>Retail price index - for June</v>
      </c>
      <c r="D6" t="str">
        <f xml:space="preserve"> F_Inputs!D6</f>
        <v>nr</v>
      </c>
      <c r="E6" t="str">
        <f xml:space="preserve"> F_Inputs!E6</f>
        <v>Price Review 2024</v>
      </c>
      <c r="F6" s="300">
        <f xml:space="preserve"> IF(InpOverride!F6 = 0, F_Inputs!F6, InpOverride!F6)</f>
        <v>272.3</v>
      </c>
      <c r="G6" s="300">
        <f xml:space="preserve"> IF(InpOverride!G6 = 0, F_Inputs!G6, InpOverride!G6)</f>
        <v>281.5</v>
      </c>
      <c r="H6" s="300">
        <f xml:space="preserve"> IF(InpOverride!H6 = 0, F_Inputs!H6, InpOverride!H6)</f>
        <v>289.60000000000002</v>
      </c>
      <c r="I6" s="300">
        <f xml:space="preserve"> IF(InpOverride!I6 = 0, F_Inputs!I6, InpOverride!I6)</f>
        <v>292.7</v>
      </c>
      <c r="J6" s="300">
        <f xml:space="preserve"> IF(InpOverride!J6 = 0, F_Inputs!J6, InpOverride!J6)</f>
        <v>304</v>
      </c>
      <c r="K6" s="300">
        <f xml:space="preserve"> IF(InpOverride!K6 = 0, F_Inputs!K6, InpOverride!K6)</f>
        <v>340</v>
      </c>
      <c r="L6" s="300">
        <f xml:space="preserve"> IF(InpOverride!L6 = 0, F_Inputs!L6, InpOverride!L6)</f>
        <v>376.4</v>
      </c>
      <c r="M6" s="300">
        <f xml:space="preserve"> IF(InpOverride!M6 = 0, F_Inputs!M6, InpOverride!M6)</f>
        <v>387.3</v>
      </c>
    </row>
    <row r="7" spans="1:13" x14ac:dyDescent="0.25">
      <c r="A7" t="str">
        <f xml:space="preserve"> IF(InpOverride!A7 = 0, F_Inputs!A7, InpOverride!A7)</f>
        <v>SEW</v>
      </c>
      <c r="B7" t="str">
        <f xml:space="preserve"> F_Inputs!B7</f>
        <v>C_PR24FM01_BB3805JL_PR24</v>
      </c>
      <c r="C7" t="str">
        <f xml:space="preserve"> F_Inputs!C7</f>
        <v>Retail price index - for July</v>
      </c>
      <c r="D7" t="str">
        <f xml:space="preserve"> F_Inputs!D7</f>
        <v>nr</v>
      </c>
      <c r="E7" t="str">
        <f xml:space="preserve"> F_Inputs!E7</f>
        <v>Price Review 2024</v>
      </c>
      <c r="F7" s="300">
        <f xml:space="preserve"> IF(InpOverride!F7 = 0, F_Inputs!F7, InpOverride!F7)</f>
        <v>272.89999999999998</v>
      </c>
      <c r="G7" s="300">
        <f xml:space="preserve"> IF(InpOverride!G7 = 0, F_Inputs!G7, InpOverride!G7)</f>
        <v>281.7</v>
      </c>
      <c r="H7" s="300">
        <f xml:space="preserve"> IF(InpOverride!H7 = 0, F_Inputs!H7, InpOverride!H7)</f>
        <v>289.5</v>
      </c>
      <c r="I7" s="300">
        <f xml:space="preserve"> IF(InpOverride!I7 = 0, F_Inputs!I7, InpOverride!I7)</f>
        <v>294.2</v>
      </c>
      <c r="J7" s="300">
        <f xml:space="preserve"> IF(InpOverride!J7 = 0, F_Inputs!J7, InpOverride!J7)</f>
        <v>305.5</v>
      </c>
      <c r="K7" s="300">
        <f xml:space="preserve"> IF(InpOverride!K7 = 0, F_Inputs!K7, InpOverride!K7)</f>
        <v>343.2</v>
      </c>
      <c r="L7" s="300">
        <f xml:space="preserve"> IF(InpOverride!L7 = 0, F_Inputs!L7, InpOverride!L7)</f>
        <v>374.2</v>
      </c>
      <c r="M7" s="300">
        <f xml:space="preserve"> IF(InpOverride!M7 = 0, F_Inputs!M7, InpOverride!M7)</f>
        <v>387.5</v>
      </c>
    </row>
    <row r="8" spans="1:13" x14ac:dyDescent="0.25">
      <c r="A8" t="str">
        <f xml:space="preserve"> IF(InpOverride!A8 = 0, F_Inputs!A8, InpOverride!A8)</f>
        <v>SEW</v>
      </c>
      <c r="B8" t="str">
        <f xml:space="preserve"> F_Inputs!B8</f>
        <v>C_PR24FM01_BB3805AT_PR24</v>
      </c>
      <c r="C8" t="str">
        <f xml:space="preserve"> F_Inputs!C8</f>
        <v>Retail price index - for August</v>
      </c>
      <c r="D8" t="str">
        <f xml:space="preserve"> F_Inputs!D8</f>
        <v>nr</v>
      </c>
      <c r="E8" t="str">
        <f xml:space="preserve"> F_Inputs!E8</f>
        <v>Price Review 2024</v>
      </c>
      <c r="F8" s="300">
        <f xml:space="preserve"> IF(InpOverride!F8 = 0, F_Inputs!F8, InpOverride!F8)</f>
        <v>274.7</v>
      </c>
      <c r="G8" s="300">
        <f xml:space="preserve"> IF(InpOverride!G8 = 0, F_Inputs!G8, InpOverride!G8)</f>
        <v>284.2</v>
      </c>
      <c r="H8" s="300">
        <f xml:space="preserve"> IF(InpOverride!H8 = 0, F_Inputs!H8, InpOverride!H8)</f>
        <v>291.7</v>
      </c>
      <c r="I8" s="300">
        <f xml:space="preserve"> IF(InpOverride!I8 = 0, F_Inputs!I8, InpOverride!I8)</f>
        <v>293.3</v>
      </c>
      <c r="J8" s="300">
        <f xml:space="preserve"> IF(InpOverride!J8 = 0, F_Inputs!J8, InpOverride!J8)</f>
        <v>307.39999999999998</v>
      </c>
      <c r="K8" s="300">
        <f xml:space="preserve"> IF(InpOverride!K8 = 0, F_Inputs!K8, InpOverride!K8)</f>
        <v>345.2</v>
      </c>
      <c r="L8" s="300">
        <f xml:space="preserve"> IF(InpOverride!L8 = 0, F_Inputs!L8, InpOverride!L8)</f>
        <v>376.6</v>
      </c>
      <c r="M8" s="300">
        <f xml:space="preserve"> IF(InpOverride!M8 = 0, F_Inputs!M8, InpOverride!M8)</f>
        <v>389.9</v>
      </c>
    </row>
    <row r="9" spans="1:13" x14ac:dyDescent="0.25">
      <c r="A9" t="str">
        <f xml:space="preserve"> IF(InpOverride!A9 = 0, F_Inputs!A9, InpOverride!A9)</f>
        <v>SEW</v>
      </c>
      <c r="B9" t="str">
        <f xml:space="preserve"> F_Inputs!B9</f>
        <v>C_PR24FM01_BB3805SR_PR24</v>
      </c>
      <c r="C9" t="str">
        <f xml:space="preserve"> F_Inputs!C9</f>
        <v>Retail price index - for September</v>
      </c>
      <c r="D9" t="str">
        <f xml:space="preserve"> F_Inputs!D9</f>
        <v>nr</v>
      </c>
      <c r="E9" t="str">
        <f xml:space="preserve"> F_Inputs!E9</f>
        <v>Price Review 2024</v>
      </c>
      <c r="F9" s="300">
        <f xml:space="preserve"> IF(InpOverride!F9 = 0, F_Inputs!F9, InpOverride!F9)</f>
        <v>275.10000000000002</v>
      </c>
      <c r="G9" s="300">
        <f xml:space="preserve"> IF(InpOverride!G9 = 0, F_Inputs!G9, InpOverride!G9)</f>
        <v>284.10000000000002</v>
      </c>
      <c r="H9" s="300">
        <f xml:space="preserve"> IF(InpOverride!H9 = 0, F_Inputs!H9, InpOverride!H9)</f>
        <v>291</v>
      </c>
      <c r="I9" s="300">
        <f xml:space="preserve"> IF(InpOverride!I9 = 0, F_Inputs!I9, InpOverride!I9)</f>
        <v>294.3</v>
      </c>
      <c r="J9" s="300">
        <f xml:space="preserve"> IF(InpOverride!J9 = 0, F_Inputs!J9, InpOverride!J9)</f>
        <v>308.60000000000002</v>
      </c>
      <c r="K9" s="300">
        <f xml:space="preserve"> IF(InpOverride!K9 = 0, F_Inputs!K9, InpOverride!K9)</f>
        <v>347.6</v>
      </c>
      <c r="L9" s="300">
        <f xml:space="preserve"> IF(InpOverride!L9 = 0, F_Inputs!L9, InpOverride!L9)</f>
        <v>378.4</v>
      </c>
      <c r="M9" s="300">
        <f xml:space="preserve"> IF(InpOverride!M9 = 0, F_Inputs!M9, InpOverride!M9)</f>
        <v>388.6</v>
      </c>
    </row>
    <row r="10" spans="1:13" x14ac:dyDescent="0.25">
      <c r="A10" t="str">
        <f xml:space="preserve"> IF(InpOverride!A10 = 0, F_Inputs!A10, InpOverride!A10)</f>
        <v>SEW</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00">
        <f xml:space="preserve"> IF(InpOverride!F10 = 0, F_Inputs!F10, InpOverride!F10)</f>
        <v>275.3</v>
      </c>
      <c r="G10" s="300">
        <f xml:space="preserve"> IF(InpOverride!G10 = 0, F_Inputs!G10, InpOverride!G10)</f>
        <v>284.5</v>
      </c>
      <c r="H10" s="300">
        <f xml:space="preserve"> IF(InpOverride!H10 = 0, F_Inputs!H10, InpOverride!H10)</f>
        <v>290.39999999999998</v>
      </c>
      <c r="I10" s="300">
        <f xml:space="preserve"> IF(InpOverride!I10 = 0, F_Inputs!I10, InpOverride!I10)</f>
        <v>294.3</v>
      </c>
      <c r="J10" s="300">
        <f xml:space="preserve"> IF(InpOverride!J10 = 0, F_Inputs!J10, InpOverride!J10)</f>
        <v>312</v>
      </c>
      <c r="K10" s="300">
        <f xml:space="preserve"> IF(InpOverride!K10 = 0, F_Inputs!K10, InpOverride!K10)</f>
        <v>356.2</v>
      </c>
      <c r="L10" s="300">
        <f xml:space="preserve"> IF(InpOverride!L10 = 0, F_Inputs!L10, InpOverride!L10)</f>
        <v>377.8</v>
      </c>
      <c r="M10" s="300">
        <f xml:space="preserve"> IF(InpOverride!M10 = 0, F_Inputs!M10, InpOverride!M10)</f>
        <v>390.7</v>
      </c>
    </row>
    <row r="11" spans="1:13" x14ac:dyDescent="0.25">
      <c r="A11" t="str">
        <f xml:space="preserve"> IF(InpOverride!A11 = 0, F_Inputs!A11, InpOverride!A11)</f>
        <v>SEW</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00">
        <f xml:space="preserve"> IF(InpOverride!F11 = 0, F_Inputs!F11, InpOverride!F11)</f>
        <v>275.8</v>
      </c>
      <c r="G11" s="300">
        <f xml:space="preserve"> IF(InpOverride!G11 = 0, F_Inputs!G11, InpOverride!G11)</f>
        <v>284.60000000000002</v>
      </c>
      <c r="H11" s="300">
        <f xml:space="preserve"> IF(InpOverride!H11 = 0, F_Inputs!H11, InpOverride!H11)</f>
        <v>291</v>
      </c>
      <c r="I11" s="300">
        <f xml:space="preserve"> IF(InpOverride!I11 = 0, F_Inputs!I11, InpOverride!I11)</f>
        <v>293.5</v>
      </c>
      <c r="J11" s="300">
        <f xml:space="preserve"> IF(InpOverride!J11 = 0, F_Inputs!J11, InpOverride!J11)</f>
        <v>314.3</v>
      </c>
      <c r="K11" s="300">
        <f xml:space="preserve"> IF(InpOverride!K11 = 0, F_Inputs!K11, InpOverride!K11)</f>
        <v>358.3</v>
      </c>
      <c r="L11" s="300">
        <f xml:space="preserve"> IF(InpOverride!L11 = 0, F_Inputs!L11, InpOverride!L11)</f>
        <v>377.3</v>
      </c>
      <c r="M11" s="300">
        <f xml:space="preserve"> IF(InpOverride!M11 = 0, F_Inputs!M11, InpOverride!M11)</f>
        <v>390.9</v>
      </c>
    </row>
    <row r="12" spans="1:13" x14ac:dyDescent="0.25">
      <c r="A12" t="str">
        <f xml:space="preserve"> IF(InpOverride!A12 = 0, F_Inputs!A12, InpOverride!A12)</f>
        <v>SEW</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00">
        <f xml:space="preserve"> IF(InpOverride!F12 = 0, F_Inputs!F12, InpOverride!F12)</f>
        <v>278.10000000000002</v>
      </c>
      <c r="G12" s="300">
        <f xml:space="preserve"> IF(InpOverride!G12 = 0, F_Inputs!G12, InpOverride!G12)</f>
        <v>285.60000000000002</v>
      </c>
      <c r="H12" s="300">
        <f xml:space="preserve"> IF(InpOverride!H12 = 0, F_Inputs!H12, InpOverride!H12)</f>
        <v>291.89999999999998</v>
      </c>
      <c r="I12" s="300">
        <f xml:space="preserve"> IF(InpOverride!I12 = 0, F_Inputs!I12, InpOverride!I12)</f>
        <v>295.39999999999998</v>
      </c>
      <c r="J12" s="300">
        <f xml:space="preserve"> IF(InpOverride!J12 = 0, F_Inputs!J12, InpOverride!J12)</f>
        <v>317.7</v>
      </c>
      <c r="K12" s="300">
        <f xml:space="preserve"> IF(InpOverride!K12 = 0, F_Inputs!K12, InpOverride!K12)</f>
        <v>360.4</v>
      </c>
      <c r="L12" s="300">
        <f xml:space="preserve"> IF(InpOverride!L12 = 0, F_Inputs!L12, InpOverride!L12)</f>
        <v>379</v>
      </c>
      <c r="M12" s="300">
        <f xml:space="preserve"> IF(InpOverride!M12 = 0, F_Inputs!M12, InpOverride!M12)</f>
        <v>392.1</v>
      </c>
    </row>
    <row r="13" spans="1:13" x14ac:dyDescent="0.25">
      <c r="A13" t="str">
        <f xml:space="preserve"> IF(InpOverride!A13 = 0, F_Inputs!A13, InpOverride!A13)</f>
        <v>SEW</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00">
        <f xml:space="preserve"> IF(InpOverride!F13 = 0, F_Inputs!F13, InpOverride!F13)</f>
        <v>276</v>
      </c>
      <c r="G13" s="300">
        <f xml:space="preserve"> IF(InpOverride!G13 = 0, F_Inputs!G13, InpOverride!G13)</f>
        <v>283</v>
      </c>
      <c r="H13" s="300">
        <f xml:space="preserve"> IF(InpOverride!H13 = 0, F_Inputs!H13, InpOverride!H13)</f>
        <v>290.60000000000002</v>
      </c>
      <c r="I13" s="300">
        <f xml:space="preserve"> IF(InpOverride!I13 = 0, F_Inputs!I13, InpOverride!I13)</f>
        <v>294.60000000000002</v>
      </c>
      <c r="J13" s="300">
        <f xml:space="preserve"> IF(InpOverride!J13 = 0, F_Inputs!J13, InpOverride!J13)</f>
        <v>317.7</v>
      </c>
      <c r="K13" s="300">
        <f xml:space="preserve"> IF(InpOverride!K13 = 0, F_Inputs!K13, InpOverride!K13)</f>
        <v>360.3</v>
      </c>
      <c r="L13" s="300">
        <f xml:space="preserve"> IF(InpOverride!L13 = 0, F_Inputs!L13, InpOverride!L13)</f>
        <v>378</v>
      </c>
      <c r="M13" s="300">
        <f xml:space="preserve"> IF(InpOverride!M13 = 0, F_Inputs!M13, InpOverride!M13)</f>
        <v>391.7</v>
      </c>
    </row>
    <row r="14" spans="1:13" x14ac:dyDescent="0.25">
      <c r="A14" t="str">
        <f xml:space="preserve"> IF(InpOverride!A14 = 0, F_Inputs!A14, InpOverride!A14)</f>
        <v>SEW</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00">
        <f xml:space="preserve"> IF(InpOverride!F14 = 0, F_Inputs!F14, InpOverride!F14)</f>
        <v>278.10000000000002</v>
      </c>
      <c r="G14" s="300">
        <f xml:space="preserve"> IF(InpOverride!G14 = 0, F_Inputs!G14, InpOverride!G14)</f>
        <v>285</v>
      </c>
      <c r="H14" s="300">
        <f xml:space="preserve"> IF(InpOverride!H14 = 0, F_Inputs!H14, InpOverride!H14)</f>
        <v>292</v>
      </c>
      <c r="I14" s="300">
        <f xml:space="preserve"> IF(InpOverride!I14 = 0, F_Inputs!I14, InpOverride!I14)</f>
        <v>296</v>
      </c>
      <c r="J14" s="300">
        <f xml:space="preserve"> IF(InpOverride!J14 = 0, F_Inputs!J14, InpOverride!J14)</f>
        <v>320.2</v>
      </c>
      <c r="K14" s="300">
        <f xml:space="preserve"> IF(InpOverride!K14 = 0, F_Inputs!K14, InpOverride!K14)</f>
        <v>364.5</v>
      </c>
      <c r="L14" s="300">
        <f xml:space="preserve"> IF(InpOverride!L14 = 0, F_Inputs!L14, InpOverride!L14)</f>
        <v>381</v>
      </c>
      <c r="M14" s="300">
        <f xml:space="preserve"> IF(InpOverride!M14 = 0, F_Inputs!M14, InpOverride!M14)</f>
        <v>394</v>
      </c>
    </row>
    <row r="15" spans="1:13" x14ac:dyDescent="0.25">
      <c r="A15" t="str">
        <f xml:space="preserve"> IF(InpOverride!A15 = 0, F_Inputs!A15, InpOverride!A15)</f>
        <v>SEW</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00">
        <f xml:space="preserve"> IF(InpOverride!F15 = 0, F_Inputs!F15, InpOverride!F15)</f>
        <v>278.3</v>
      </c>
      <c r="G15" s="300">
        <f xml:space="preserve"> IF(InpOverride!G15 = 0, F_Inputs!G15, InpOverride!G15)</f>
        <v>285.10000000000002</v>
      </c>
      <c r="H15" s="300">
        <f xml:space="preserve"> IF(InpOverride!H15 = 0, F_Inputs!H15, InpOverride!H15)</f>
        <v>292.60000000000002</v>
      </c>
      <c r="I15" s="300">
        <f xml:space="preserve"> IF(InpOverride!I15 = 0, F_Inputs!I15, InpOverride!I15)</f>
        <v>296.89999999999998</v>
      </c>
      <c r="J15" s="300">
        <f xml:space="preserve"> IF(InpOverride!J15 = 0, F_Inputs!J15, InpOverride!J15)</f>
        <v>323.5</v>
      </c>
      <c r="K15" s="300">
        <f xml:space="preserve"> IF(InpOverride!K15 = 0, F_Inputs!K15, InpOverride!K15)</f>
        <v>367.2</v>
      </c>
      <c r="L15" s="300">
        <f xml:space="preserve"> IF(InpOverride!L15 = 0, F_Inputs!L15, InpOverride!L15)</f>
        <v>383</v>
      </c>
      <c r="M15" s="300">
        <f xml:space="preserve"> IF(InpOverride!M15 = 0, F_Inputs!M15, InpOverride!M15)</f>
        <v>395.3</v>
      </c>
    </row>
    <row r="16" spans="1:13" x14ac:dyDescent="0.25">
      <c r="A16" t="str">
        <f xml:space="preserve"> IF(InpOverride!A16 = 0, F_Inputs!A16, InpOverride!A16)</f>
        <v>SEW</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00">
        <f xml:space="preserve"> IF(InpOverride!F16 = 0, F_Inputs!F16, InpOverride!F16)</f>
        <v>103.2</v>
      </c>
      <c r="G16" s="300">
        <f xml:space="preserve"> IF(InpOverride!G16 = 0, F_Inputs!G16, InpOverride!G16)</f>
        <v>105.5</v>
      </c>
      <c r="H16" s="300">
        <f xml:space="preserve"> IF(InpOverride!H16 = 0, F_Inputs!H16, InpOverride!H16)</f>
        <v>107.6</v>
      </c>
      <c r="I16" s="300">
        <f xml:space="preserve"> IF(InpOverride!I16 = 0, F_Inputs!I16, InpOverride!I16)</f>
        <v>108.6</v>
      </c>
      <c r="J16" s="300">
        <f xml:space="preserve"> IF(InpOverride!J16 = 0, F_Inputs!J16, InpOverride!J16)</f>
        <v>110.4</v>
      </c>
      <c r="K16" s="300">
        <f xml:space="preserve"> IF(InpOverride!K16 = 0, F_Inputs!K16, InpOverride!K16)</f>
        <v>119</v>
      </c>
      <c r="L16" s="300">
        <f xml:space="preserve"> IF(InpOverride!L16 = 0, F_Inputs!L16, InpOverride!L16)</f>
        <v>128.30000000000001</v>
      </c>
      <c r="M16" s="300">
        <f xml:space="preserve"> IF(InpOverride!M16 = 0, F_Inputs!M16, InpOverride!M16)</f>
        <v>132.19999999999999</v>
      </c>
    </row>
    <row r="17" spans="1:13" x14ac:dyDescent="0.25">
      <c r="A17" t="str">
        <f xml:space="preserve"> IF(InpOverride!A17 = 0, F_Inputs!A17, InpOverride!A17)</f>
        <v>SEW</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00">
        <f xml:space="preserve"> IF(InpOverride!F17 = 0, F_Inputs!F17, InpOverride!F17)</f>
        <v>103.5</v>
      </c>
      <c r="G17" s="300">
        <f xml:space="preserve"> IF(InpOverride!G17 = 0, F_Inputs!G17, InpOverride!G17)</f>
        <v>105.9</v>
      </c>
      <c r="H17" s="300">
        <f xml:space="preserve"> IF(InpOverride!H17 = 0, F_Inputs!H17, InpOverride!H17)</f>
        <v>107.9</v>
      </c>
      <c r="I17" s="300">
        <f xml:space="preserve"> IF(InpOverride!I17 = 0, F_Inputs!I17, InpOverride!I17)</f>
        <v>108.6</v>
      </c>
      <c r="J17" s="300">
        <f xml:space="preserve"> IF(InpOverride!J17 = 0, F_Inputs!J17, InpOverride!J17)</f>
        <v>111</v>
      </c>
      <c r="K17" s="300">
        <f xml:space="preserve"> IF(InpOverride!K17 = 0, F_Inputs!K17, InpOverride!K17)</f>
        <v>119.7</v>
      </c>
      <c r="L17" s="300">
        <f xml:space="preserve"> IF(InpOverride!L17 = 0, F_Inputs!L17, InpOverride!L17)</f>
        <v>129.1</v>
      </c>
      <c r="M17" s="300">
        <f xml:space="preserve"> IF(InpOverride!M17 = 0, F_Inputs!M17, InpOverride!M17)</f>
        <v>132.69999999999999</v>
      </c>
    </row>
    <row r="18" spans="1:13" x14ac:dyDescent="0.25">
      <c r="A18" t="str">
        <f xml:space="preserve"> IF(InpOverride!A18 = 0, F_Inputs!A18, InpOverride!A18)</f>
        <v>SEW</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00">
        <f xml:space="preserve"> IF(InpOverride!F18 = 0, F_Inputs!F18, InpOverride!F18)</f>
        <v>103.5</v>
      </c>
      <c r="G18" s="300">
        <f xml:space="preserve"> IF(InpOverride!G18 = 0, F_Inputs!G18, InpOverride!G18)</f>
        <v>105.9</v>
      </c>
      <c r="H18" s="300">
        <f xml:space="preserve"> IF(InpOverride!H18 = 0, F_Inputs!H18, InpOverride!H18)</f>
        <v>107.9</v>
      </c>
      <c r="I18" s="300">
        <f xml:space="preserve"> IF(InpOverride!I18 = 0, F_Inputs!I18, InpOverride!I18)</f>
        <v>108.8</v>
      </c>
      <c r="J18" s="300">
        <f xml:space="preserve"> IF(InpOverride!J18 = 0, F_Inputs!J18, InpOverride!J18)</f>
        <v>111.4</v>
      </c>
      <c r="K18" s="300">
        <f xml:space="preserve"> IF(InpOverride!K18 = 0, F_Inputs!K18, InpOverride!K18)</f>
        <v>120.5</v>
      </c>
      <c r="L18" s="300">
        <f xml:space="preserve"> IF(InpOverride!L18 = 0, F_Inputs!L18, InpOverride!L18)</f>
        <v>129.4</v>
      </c>
      <c r="M18" s="300">
        <f xml:space="preserve"> IF(InpOverride!M18 = 0, F_Inputs!M18, InpOverride!M18)</f>
        <v>133</v>
      </c>
    </row>
    <row r="19" spans="1:13" x14ac:dyDescent="0.25">
      <c r="A19" t="str">
        <f xml:space="preserve"> IF(InpOverride!A19 = 0, F_Inputs!A19, InpOverride!A19)</f>
        <v>SEW</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00">
        <f xml:space="preserve"> IF(InpOverride!F19 = 0, F_Inputs!F19, InpOverride!F19)</f>
        <v>103.5</v>
      </c>
      <c r="G19" s="300">
        <f xml:space="preserve"> IF(InpOverride!G19 = 0, F_Inputs!G19, InpOverride!G19)</f>
        <v>105.9</v>
      </c>
      <c r="H19" s="300">
        <f xml:space="preserve"> IF(InpOverride!H19 = 0, F_Inputs!H19, InpOverride!H19)</f>
        <v>108</v>
      </c>
      <c r="I19" s="300">
        <f xml:space="preserve"> IF(InpOverride!I19 = 0, F_Inputs!I19, InpOverride!I19)</f>
        <v>109.2</v>
      </c>
      <c r="J19" s="300">
        <f xml:space="preserve"> IF(InpOverride!J19 = 0, F_Inputs!J19, InpOverride!J19)</f>
        <v>111.4</v>
      </c>
      <c r="K19" s="300">
        <f xml:space="preserve"> IF(InpOverride!K19 = 0, F_Inputs!K19, InpOverride!K19)</f>
        <v>121.2</v>
      </c>
      <c r="L19" s="300">
        <f xml:space="preserve"> IF(InpOverride!L19 = 0, F_Inputs!L19, InpOverride!L19)</f>
        <v>129</v>
      </c>
      <c r="M19" s="300">
        <f xml:space="preserve"> IF(InpOverride!M19 = 0, F_Inputs!M19, InpOverride!M19)</f>
        <v>132.9</v>
      </c>
    </row>
    <row r="20" spans="1:13" x14ac:dyDescent="0.25">
      <c r="A20" t="str">
        <f xml:space="preserve"> IF(InpOverride!A20 = 0, F_Inputs!A20, InpOverride!A20)</f>
        <v>SEW</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00">
        <f xml:space="preserve"> IF(InpOverride!F20 = 0, F_Inputs!F20, InpOverride!F20)</f>
        <v>104</v>
      </c>
      <c r="G20" s="300">
        <f xml:space="preserve"> IF(InpOverride!G20 = 0, F_Inputs!G20, InpOverride!G20)</f>
        <v>106.5</v>
      </c>
      <c r="H20" s="300">
        <f xml:space="preserve"> IF(InpOverride!H20 = 0, F_Inputs!H20, InpOverride!H20)</f>
        <v>108.3</v>
      </c>
      <c r="I20" s="300">
        <f xml:space="preserve"> IF(InpOverride!I20 = 0, F_Inputs!I20, InpOverride!I20)</f>
        <v>108.8</v>
      </c>
      <c r="J20" s="300">
        <f xml:space="preserve"> IF(InpOverride!J20 = 0, F_Inputs!J20, InpOverride!J20)</f>
        <v>112.1</v>
      </c>
      <c r="K20" s="300">
        <f xml:space="preserve"> IF(InpOverride!K20 = 0, F_Inputs!K20, InpOverride!K20)</f>
        <v>121.8</v>
      </c>
      <c r="L20" s="300">
        <f xml:space="preserve"> IF(InpOverride!L20 = 0, F_Inputs!L20, InpOverride!L20)</f>
        <v>129.4</v>
      </c>
      <c r="M20" s="300">
        <f xml:space="preserve"> IF(InpOverride!M20 = 0, F_Inputs!M20, InpOverride!M20)</f>
        <v>133.4</v>
      </c>
    </row>
    <row r="21" spans="1:13" x14ac:dyDescent="0.25">
      <c r="A21" t="str">
        <f xml:space="preserve"> IF(InpOverride!A21 = 0, F_Inputs!A21, InpOverride!A21)</f>
        <v>SEW</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00">
        <f xml:space="preserve"> IF(InpOverride!F21 = 0, F_Inputs!F21, InpOverride!F21)</f>
        <v>104.3</v>
      </c>
      <c r="G21" s="300">
        <f xml:space="preserve"> IF(InpOverride!G21 = 0, F_Inputs!G21, InpOverride!G21)</f>
        <v>106.6</v>
      </c>
      <c r="H21" s="300">
        <f xml:space="preserve"> IF(InpOverride!H21 = 0, F_Inputs!H21, InpOverride!H21)</f>
        <v>108.4</v>
      </c>
      <c r="I21" s="300">
        <f xml:space="preserve"> IF(InpOverride!I21 = 0, F_Inputs!I21, InpOverride!I21)</f>
        <v>109.2</v>
      </c>
      <c r="J21" s="300">
        <f xml:space="preserve"> IF(InpOverride!J21 = 0, F_Inputs!J21, InpOverride!J21)</f>
        <v>112.4</v>
      </c>
      <c r="K21" s="300">
        <f xml:space="preserve"> IF(InpOverride!K21 = 0, F_Inputs!K21, InpOverride!K21)</f>
        <v>122.3</v>
      </c>
      <c r="L21" s="300">
        <f xml:space="preserve"> IF(InpOverride!L21 = 0, F_Inputs!L21, InpOverride!L21)</f>
        <v>130.1</v>
      </c>
      <c r="M21" s="300">
        <f xml:space="preserve"> IF(InpOverride!M21 = 0, F_Inputs!M21, InpOverride!M21)</f>
        <v>133.5</v>
      </c>
    </row>
    <row r="22" spans="1:13" x14ac:dyDescent="0.25">
      <c r="A22" t="str">
        <f xml:space="preserve"> IF(InpOverride!A22 = 0, F_Inputs!A22, InpOverride!A22)</f>
        <v>SEW</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00">
        <f xml:space="preserve"> IF(InpOverride!F22 = 0, F_Inputs!F22, InpOverride!F22)</f>
        <v>104.4</v>
      </c>
      <c r="G22" s="300">
        <f xml:space="preserve"> IF(InpOverride!G22 = 0, F_Inputs!G22, InpOverride!G22)</f>
        <v>106.7</v>
      </c>
      <c r="H22" s="300">
        <f xml:space="preserve"> IF(InpOverride!H22 = 0, F_Inputs!H22, InpOverride!H22)</f>
        <v>108.3</v>
      </c>
      <c r="I22" s="300">
        <f xml:space="preserve"> IF(InpOverride!I22 = 0, F_Inputs!I22, InpOverride!I22)</f>
        <v>109.2</v>
      </c>
      <c r="J22" s="300">
        <f xml:space="preserve"> IF(InpOverride!J22 = 0, F_Inputs!J22, InpOverride!J22)</f>
        <v>113.4</v>
      </c>
      <c r="K22" s="300">
        <f xml:space="preserve"> IF(InpOverride!K22 = 0, F_Inputs!K22, InpOverride!K22)</f>
        <v>124.3</v>
      </c>
      <c r="L22" s="300">
        <f xml:space="preserve"> IF(InpOverride!L22 = 0, F_Inputs!L22, InpOverride!L22)</f>
        <v>130.19999999999999</v>
      </c>
      <c r="M22" s="300">
        <f xml:space="preserve"> IF(InpOverride!M22 = 0, F_Inputs!M22, InpOverride!M22)</f>
        <v>134.30000000000001</v>
      </c>
    </row>
    <row r="23" spans="1:13" x14ac:dyDescent="0.25">
      <c r="A23" t="str">
        <f xml:space="preserve"> IF(InpOverride!A23 = 0, F_Inputs!A23, InpOverride!A23)</f>
        <v>SEW</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00">
        <f xml:space="preserve"> IF(InpOverride!F23 = 0, F_Inputs!F23, InpOverride!F23)</f>
        <v>104.7</v>
      </c>
      <c r="G23" s="300">
        <f xml:space="preserve"> IF(InpOverride!G23 = 0, F_Inputs!G23, InpOverride!G23)</f>
        <v>106.9</v>
      </c>
      <c r="H23" s="300">
        <f xml:space="preserve"> IF(InpOverride!H23 = 0, F_Inputs!H23, InpOverride!H23)</f>
        <v>108.5</v>
      </c>
      <c r="I23" s="300">
        <f xml:space="preserve"> IF(InpOverride!I23 = 0, F_Inputs!I23, InpOverride!I23)</f>
        <v>109.1</v>
      </c>
      <c r="J23" s="300">
        <f xml:space="preserve"> IF(InpOverride!J23 = 0, F_Inputs!J23, InpOverride!J23)</f>
        <v>114.1</v>
      </c>
      <c r="K23" s="300">
        <f xml:space="preserve"> IF(InpOverride!K23 = 0, F_Inputs!K23, InpOverride!K23)</f>
        <v>124.8</v>
      </c>
      <c r="L23" s="300">
        <f xml:space="preserve"> IF(InpOverride!L23 = 0, F_Inputs!L23, InpOverride!L23)</f>
        <v>130</v>
      </c>
      <c r="M23" s="300">
        <f xml:space="preserve"> IF(InpOverride!M23 = 0, F_Inputs!M23, InpOverride!M23)</f>
        <v>134.6</v>
      </c>
    </row>
    <row r="24" spans="1:13" x14ac:dyDescent="0.25">
      <c r="A24" t="str">
        <f xml:space="preserve"> IF(InpOverride!A24 = 0, F_Inputs!A24, InpOverride!A24)</f>
        <v>SEW</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00">
        <f xml:space="preserve"> IF(InpOverride!F24 = 0, F_Inputs!F24, InpOverride!F24)</f>
        <v>105</v>
      </c>
      <c r="G24" s="300">
        <f xml:space="preserve"> IF(InpOverride!G24 = 0, F_Inputs!G24, InpOverride!G24)</f>
        <v>107.1</v>
      </c>
      <c r="H24" s="300">
        <f xml:space="preserve"> IF(InpOverride!H24 = 0, F_Inputs!H24, InpOverride!H24)</f>
        <v>108.5</v>
      </c>
      <c r="I24" s="300">
        <f xml:space="preserve"> IF(InpOverride!I24 = 0, F_Inputs!I24, InpOverride!I24)</f>
        <v>109.4</v>
      </c>
      <c r="J24" s="300">
        <f xml:space="preserve"> IF(InpOverride!J24 = 0, F_Inputs!J24, InpOverride!J24)</f>
        <v>114.7</v>
      </c>
      <c r="K24" s="300">
        <f xml:space="preserve"> IF(InpOverride!K24 = 0, F_Inputs!K24, InpOverride!K24)</f>
        <v>125.3</v>
      </c>
      <c r="L24" s="300">
        <f xml:space="preserve"> IF(InpOverride!L24 = 0, F_Inputs!L24, InpOverride!L24)</f>
        <v>130.5</v>
      </c>
      <c r="M24" s="300">
        <f xml:space="preserve"> IF(InpOverride!M24 = 0, F_Inputs!M24, InpOverride!M24)</f>
        <v>135.1</v>
      </c>
    </row>
    <row r="25" spans="1:13" x14ac:dyDescent="0.25">
      <c r="A25" t="str">
        <f xml:space="preserve"> IF(InpOverride!A25 = 0, F_Inputs!A25, InpOverride!A25)</f>
        <v>SEW</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00">
        <f xml:space="preserve"> IF(InpOverride!F25 = 0, F_Inputs!F25, InpOverride!F25)</f>
        <v>104.5</v>
      </c>
      <c r="G25" s="300">
        <f xml:space="preserve"> IF(InpOverride!G25 = 0, F_Inputs!G25, InpOverride!G25)</f>
        <v>106.4</v>
      </c>
      <c r="H25" s="300">
        <f xml:space="preserve"> IF(InpOverride!H25 = 0, F_Inputs!H25, InpOverride!H25)</f>
        <v>108.3</v>
      </c>
      <c r="I25" s="300">
        <f xml:space="preserve"> IF(InpOverride!I25 = 0, F_Inputs!I25, InpOverride!I25)</f>
        <v>109.3</v>
      </c>
      <c r="J25" s="300">
        <f xml:space="preserve"> IF(InpOverride!J25 = 0, F_Inputs!J25, InpOverride!J25)</f>
        <v>114.6</v>
      </c>
      <c r="K25" s="300">
        <f xml:space="preserve"> IF(InpOverride!K25 = 0, F_Inputs!K25, InpOverride!K25)</f>
        <v>124.8</v>
      </c>
      <c r="L25" s="300">
        <f xml:space="preserve"> IF(InpOverride!L25 = 0, F_Inputs!L25, InpOverride!L25)</f>
        <v>130</v>
      </c>
      <c r="M25" s="300">
        <f xml:space="preserve"> IF(InpOverride!M25 = 0, F_Inputs!M25, InpOverride!M25)</f>
        <v>135.1</v>
      </c>
    </row>
    <row r="26" spans="1:13" x14ac:dyDescent="0.25">
      <c r="A26" t="str">
        <f xml:space="preserve"> IF(InpOverride!A26 = 0, F_Inputs!A26, InpOverride!A26)</f>
        <v>SEW</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00">
        <f xml:space="preserve"> IF(InpOverride!F26 = 0, F_Inputs!F26, InpOverride!F26)</f>
        <v>104.9</v>
      </c>
      <c r="G26" s="300">
        <f xml:space="preserve"> IF(InpOverride!G26 = 0, F_Inputs!G26, InpOverride!G26)</f>
        <v>106.8</v>
      </c>
      <c r="H26" s="300">
        <f xml:space="preserve"> IF(InpOverride!H26 = 0, F_Inputs!H26, InpOverride!H26)</f>
        <v>108.6</v>
      </c>
      <c r="I26" s="300">
        <f xml:space="preserve"> IF(InpOverride!I26 = 0, F_Inputs!I26, InpOverride!I26)</f>
        <v>109.4</v>
      </c>
      <c r="J26" s="300">
        <f xml:space="preserve"> IF(InpOverride!J26 = 0, F_Inputs!J26, InpOverride!J26)</f>
        <v>115.4</v>
      </c>
      <c r="K26" s="300">
        <f xml:space="preserve"> IF(InpOverride!K26 = 0, F_Inputs!K26, InpOverride!K26)</f>
        <v>126</v>
      </c>
      <c r="L26" s="300">
        <f xml:space="preserve"> IF(InpOverride!L26 = 0, F_Inputs!L26, InpOverride!L26)</f>
        <v>130.80000000000001</v>
      </c>
      <c r="M26" s="300">
        <f xml:space="preserve"> IF(InpOverride!M26 = 0, F_Inputs!M26, InpOverride!M26)</f>
        <v>135.6</v>
      </c>
    </row>
    <row r="27" spans="1:13" x14ac:dyDescent="0.25">
      <c r="A27" t="str">
        <f xml:space="preserve"> IF(InpOverride!A27 = 0, F_Inputs!A27, InpOverride!A27)</f>
        <v>SEW</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00">
        <f xml:space="preserve"> IF(InpOverride!F27 = 0, F_Inputs!F27, InpOverride!F27)</f>
        <v>105.1</v>
      </c>
      <c r="G27" s="300">
        <f xml:space="preserve"> IF(InpOverride!G27 = 0, F_Inputs!G27, InpOverride!G27)</f>
        <v>107</v>
      </c>
      <c r="H27" s="300">
        <f xml:space="preserve"> IF(InpOverride!H27 = 0, F_Inputs!H27, InpOverride!H27)</f>
        <v>108.6</v>
      </c>
      <c r="I27" s="300">
        <f xml:space="preserve"> IF(InpOverride!I27 = 0, F_Inputs!I27, InpOverride!I27)</f>
        <v>109.7</v>
      </c>
      <c r="J27" s="300">
        <f xml:space="preserve"> IF(InpOverride!J27 = 0, F_Inputs!J27, InpOverride!J27)</f>
        <v>116.5</v>
      </c>
      <c r="K27" s="300">
        <f xml:space="preserve"> IF(InpOverride!K27 = 0, F_Inputs!K27, InpOverride!K27)</f>
        <v>126.8</v>
      </c>
      <c r="L27" s="300">
        <f xml:space="preserve"> IF(InpOverride!L27 = 0, F_Inputs!L27, InpOverride!L27)</f>
        <v>131.6</v>
      </c>
      <c r="M27" s="300">
        <f xml:space="preserve"> IF(InpOverride!M27 = 0, F_Inputs!M27, InpOverride!M27)</f>
        <v>136.1</v>
      </c>
    </row>
    <row r="28" spans="1:13" x14ac:dyDescent="0.25"/>
    <row r="29" spans="1:13" x14ac:dyDescent="0.25"/>
    <row r="30" spans="1:13" x14ac:dyDescent="0.25"/>
  </sheetData>
  <pageMargins left="0.70866141732283472" right="0.70866141732283472" top="0.74803149606299213" bottom="0.74803149606299213" header="0.31496062992125984" footer="0.31496062992125984"/>
  <pageSetup paperSize="8" scale="82"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BFEA2-8AC4-4216-A698-483AC0C670FE}">
  <sheetPr>
    <pageSetUpPr fitToPage="1"/>
  </sheetPr>
  <dimension ref="A1:I110"/>
  <sheetViews>
    <sheetView showGridLines="0" zoomScale="80" zoomScaleNormal="80" workbookViewId="0"/>
  </sheetViews>
  <sheetFormatPr defaultColWidth="0" defaultRowHeight="14" zeroHeight="1" x14ac:dyDescent="0.3"/>
  <cols>
    <col min="1" max="1" width="9.08984375" style="285" bestFit="1" customWidth="1"/>
    <col min="2" max="2" width="62.26953125" style="285" bestFit="1" customWidth="1"/>
    <col min="3" max="3" width="58.08984375" style="285" bestFit="1" customWidth="1"/>
    <col min="4" max="4" width="10.08984375" style="285" bestFit="1" customWidth="1"/>
    <col min="5" max="9" width="9" style="285" bestFit="1" customWidth="1"/>
    <col min="10"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7" t="s">
        <v>187</v>
      </c>
      <c r="C3" s="286" t="s">
        <v>188</v>
      </c>
      <c r="D3" s="288">
        <v>100.14279315168956</v>
      </c>
    </row>
    <row r="4" spans="1:9" x14ac:dyDescent="0.3">
      <c r="A4" s="286" t="s">
        <v>85</v>
      </c>
      <c r="B4" s="287" t="s">
        <v>189</v>
      </c>
      <c r="C4" s="286" t="s">
        <v>190</v>
      </c>
      <c r="D4" s="288">
        <v>1412.917700349386</v>
      </c>
    </row>
    <row r="5" spans="1:9" x14ac:dyDescent="0.3">
      <c r="A5" s="286" t="s">
        <v>85</v>
      </c>
      <c r="B5" s="287" t="s">
        <v>191</v>
      </c>
      <c r="C5" s="286" t="s">
        <v>192</v>
      </c>
      <c r="D5" s="288">
        <v>2260.3511631556275</v>
      </c>
    </row>
    <row r="6" spans="1:9" x14ac:dyDescent="0.3">
      <c r="A6" s="286" t="s">
        <v>85</v>
      </c>
      <c r="B6" s="287" t="s">
        <v>193</v>
      </c>
      <c r="C6" s="286" t="s">
        <v>194</v>
      </c>
      <c r="D6" s="288">
        <v>166.35833363837622</v>
      </c>
    </row>
    <row r="7" spans="1:9" x14ac:dyDescent="0.3">
      <c r="A7" s="286" t="s">
        <v>85</v>
      </c>
      <c r="B7" s="287" t="s">
        <v>195</v>
      </c>
      <c r="C7" s="286" t="s">
        <v>196</v>
      </c>
      <c r="D7" s="288">
        <v>0</v>
      </c>
    </row>
    <row r="8" spans="1:9" x14ac:dyDescent="0.3"/>
    <row r="9" spans="1:9" x14ac:dyDescent="0.3">
      <c r="A9" s="286" t="s">
        <v>87</v>
      </c>
      <c r="B9" s="287" t="s">
        <v>187</v>
      </c>
      <c r="C9" s="286" t="s">
        <v>188</v>
      </c>
      <c r="D9" s="288">
        <v>101.67373439267088</v>
      </c>
    </row>
    <row r="10" spans="1:9" x14ac:dyDescent="0.3">
      <c r="A10" s="286" t="s">
        <v>87</v>
      </c>
      <c r="B10" s="287" t="s">
        <v>189</v>
      </c>
      <c r="C10" s="286" t="s">
        <v>190</v>
      </c>
      <c r="D10" s="288">
        <v>860.35727519019451</v>
      </c>
    </row>
    <row r="11" spans="1:9" x14ac:dyDescent="0.3">
      <c r="A11" s="286" t="s">
        <v>87</v>
      </c>
      <c r="B11" s="287" t="s">
        <v>191</v>
      </c>
      <c r="C11" s="286" t="s">
        <v>192</v>
      </c>
      <c r="D11" s="288">
        <v>1874.7307090641443</v>
      </c>
    </row>
    <row r="12" spans="1:9" x14ac:dyDescent="0.3">
      <c r="A12" s="286" t="s">
        <v>87</v>
      </c>
      <c r="B12" s="287" t="s">
        <v>193</v>
      </c>
      <c r="C12" s="286" t="s">
        <v>194</v>
      </c>
      <c r="D12" s="288">
        <v>114.56413067011066</v>
      </c>
    </row>
    <row r="13" spans="1:9" x14ac:dyDescent="0.3">
      <c r="A13" s="286" t="s">
        <v>87</v>
      </c>
      <c r="B13" s="287" t="s">
        <v>195</v>
      </c>
      <c r="C13" s="286" t="s">
        <v>196</v>
      </c>
      <c r="D13" s="288">
        <v>0</v>
      </c>
    </row>
    <row r="14" spans="1:9" x14ac:dyDescent="0.3"/>
    <row r="15" spans="1:9" x14ac:dyDescent="0.3">
      <c r="A15" s="286" t="s">
        <v>89</v>
      </c>
      <c r="B15" s="287" t="s">
        <v>187</v>
      </c>
      <c r="C15" s="286" t="s">
        <v>188</v>
      </c>
      <c r="D15" s="288">
        <v>29.244130396136857</v>
      </c>
    </row>
    <row r="16" spans="1:9" x14ac:dyDescent="0.3">
      <c r="A16" s="286" t="s">
        <v>89</v>
      </c>
      <c r="B16" s="287" t="s">
        <v>189</v>
      </c>
      <c r="C16" s="286" t="s">
        <v>190</v>
      </c>
      <c r="D16" s="288">
        <v>7.1918853040036952</v>
      </c>
    </row>
    <row r="17" spans="1:4" x14ac:dyDescent="0.3">
      <c r="A17" s="286" t="s">
        <v>89</v>
      </c>
      <c r="B17" s="287" t="s">
        <v>191</v>
      </c>
      <c r="C17" s="286" t="s">
        <v>192</v>
      </c>
      <c r="D17" s="288">
        <v>0.3483929058972437</v>
      </c>
    </row>
    <row r="18" spans="1:4" x14ac:dyDescent="0.3">
      <c r="A18" s="286" t="s">
        <v>89</v>
      </c>
      <c r="B18" s="287" t="s">
        <v>193</v>
      </c>
      <c r="C18" s="286" t="s">
        <v>194</v>
      </c>
      <c r="D18" s="288">
        <v>0</v>
      </c>
    </row>
    <row r="19" spans="1:4" x14ac:dyDescent="0.3">
      <c r="A19" s="286" t="s">
        <v>89</v>
      </c>
      <c r="B19" s="287" t="s">
        <v>195</v>
      </c>
      <c r="C19" s="286" t="s">
        <v>196</v>
      </c>
      <c r="D19" s="288">
        <v>0</v>
      </c>
    </row>
    <row r="20" spans="1:4" x14ac:dyDescent="0.3"/>
    <row r="21" spans="1:4" x14ac:dyDescent="0.3">
      <c r="A21" s="286" t="s">
        <v>91</v>
      </c>
      <c r="B21" s="287" t="s">
        <v>187</v>
      </c>
      <c r="C21" s="286" t="s">
        <v>188</v>
      </c>
      <c r="D21" s="288">
        <v>156.15683143012828</v>
      </c>
    </row>
    <row r="22" spans="1:4" x14ac:dyDescent="0.3">
      <c r="A22" s="286" t="s">
        <v>91</v>
      </c>
      <c r="B22" s="287" t="s">
        <v>189</v>
      </c>
      <c r="C22" s="286" t="s">
        <v>190</v>
      </c>
      <c r="D22" s="288">
        <v>885.97074589756835</v>
      </c>
    </row>
    <row r="23" spans="1:4" x14ac:dyDescent="0.3">
      <c r="A23" s="286" t="s">
        <v>91</v>
      </c>
      <c r="B23" s="287" t="s">
        <v>191</v>
      </c>
      <c r="C23" s="286" t="s">
        <v>192</v>
      </c>
      <c r="D23" s="288">
        <v>953.83984644932923</v>
      </c>
    </row>
    <row r="24" spans="1:4" x14ac:dyDescent="0.3">
      <c r="A24" s="286" t="s">
        <v>91</v>
      </c>
      <c r="B24" s="287" t="s">
        <v>193</v>
      </c>
      <c r="C24" s="286" t="s">
        <v>194</v>
      </c>
      <c r="D24" s="288">
        <v>71.869584750680133</v>
      </c>
    </row>
    <row r="25" spans="1:4" x14ac:dyDescent="0.3">
      <c r="A25" s="286" t="s">
        <v>91</v>
      </c>
      <c r="B25" s="287" t="s">
        <v>195</v>
      </c>
      <c r="C25" s="286" t="s">
        <v>196</v>
      </c>
      <c r="D25" s="288">
        <v>0</v>
      </c>
    </row>
    <row r="26" spans="1:4" x14ac:dyDescent="0.3"/>
    <row r="27" spans="1:4" x14ac:dyDescent="0.3">
      <c r="A27" s="286" t="s">
        <v>93</v>
      </c>
      <c r="B27" s="287" t="s">
        <v>187</v>
      </c>
      <c r="C27" s="286" t="s">
        <v>188</v>
      </c>
      <c r="D27" s="288">
        <v>196.81050795431895</v>
      </c>
    </row>
    <row r="28" spans="1:4" x14ac:dyDescent="0.3">
      <c r="A28" s="286" t="s">
        <v>93</v>
      </c>
      <c r="B28" s="287" t="s">
        <v>189</v>
      </c>
      <c r="C28" s="286" t="s">
        <v>190</v>
      </c>
      <c r="D28" s="288">
        <v>2143.4777499463653</v>
      </c>
    </row>
    <row r="29" spans="1:4" x14ac:dyDescent="0.3">
      <c r="A29" s="286" t="s">
        <v>93</v>
      </c>
      <c r="B29" s="287" t="s">
        <v>191</v>
      </c>
      <c r="C29" s="286" t="s">
        <v>192</v>
      </c>
      <c r="D29" s="288">
        <v>2047.8244913972812</v>
      </c>
    </row>
    <row r="30" spans="1:4" x14ac:dyDescent="0.3">
      <c r="A30" s="286" t="s">
        <v>93</v>
      </c>
      <c r="B30" s="287" t="s">
        <v>193</v>
      </c>
      <c r="C30" s="286" t="s">
        <v>194</v>
      </c>
      <c r="D30" s="288">
        <v>264.06053413906636</v>
      </c>
    </row>
    <row r="31" spans="1:4" x14ac:dyDescent="0.3">
      <c r="A31" s="286" t="s">
        <v>93</v>
      </c>
      <c r="B31" s="287" t="s">
        <v>195</v>
      </c>
      <c r="C31" s="286" t="s">
        <v>196</v>
      </c>
      <c r="D31" s="288">
        <v>0</v>
      </c>
    </row>
    <row r="32" spans="1:4" x14ac:dyDescent="0.3"/>
    <row r="33" spans="1:4" x14ac:dyDescent="0.3">
      <c r="A33" s="286" t="s">
        <v>97</v>
      </c>
      <c r="B33" s="287" t="s">
        <v>187</v>
      </c>
      <c r="C33" s="286" t="s">
        <v>188</v>
      </c>
      <c r="D33" s="288">
        <v>69.397842562853171</v>
      </c>
    </row>
    <row r="34" spans="1:4" x14ac:dyDescent="0.3">
      <c r="A34" s="286" t="s">
        <v>97</v>
      </c>
      <c r="B34" s="287" t="s">
        <v>189</v>
      </c>
      <c r="C34" s="286" t="s">
        <v>190</v>
      </c>
      <c r="D34" s="288">
        <v>713.63222102093437</v>
      </c>
    </row>
    <row r="35" spans="1:4" x14ac:dyDescent="0.3">
      <c r="A35" s="286" t="s">
        <v>97</v>
      </c>
      <c r="B35" s="287" t="s">
        <v>191</v>
      </c>
      <c r="C35" s="286" t="s">
        <v>192</v>
      </c>
      <c r="D35" s="288">
        <v>857.516860323885</v>
      </c>
    </row>
    <row r="36" spans="1:4" x14ac:dyDescent="0.3">
      <c r="A36" s="286" t="s">
        <v>97</v>
      </c>
      <c r="B36" s="287" t="s">
        <v>193</v>
      </c>
      <c r="C36" s="286" t="s">
        <v>194</v>
      </c>
      <c r="D36" s="288">
        <v>41.895108772290762</v>
      </c>
    </row>
    <row r="37" spans="1:4" x14ac:dyDescent="0.3">
      <c r="A37" s="286" t="s">
        <v>97</v>
      </c>
      <c r="B37" s="287" t="s">
        <v>195</v>
      </c>
      <c r="C37" s="286" t="s">
        <v>196</v>
      </c>
      <c r="D37" s="288">
        <v>0</v>
      </c>
    </row>
    <row r="38" spans="1:4" x14ac:dyDescent="0.3"/>
    <row r="39" spans="1:4" x14ac:dyDescent="0.3">
      <c r="A39" s="286" t="s">
        <v>95</v>
      </c>
      <c r="B39" s="287" t="s">
        <v>187</v>
      </c>
      <c r="C39" s="286" t="s">
        <v>188</v>
      </c>
      <c r="D39" s="288">
        <v>43.795215561555487</v>
      </c>
    </row>
    <row r="40" spans="1:4" x14ac:dyDescent="0.3">
      <c r="A40" s="286" t="s">
        <v>95</v>
      </c>
      <c r="B40" s="287" t="s">
        <v>189</v>
      </c>
      <c r="C40" s="286" t="s">
        <v>190</v>
      </c>
      <c r="D40" s="288">
        <v>501.75510545299852</v>
      </c>
    </row>
    <row r="41" spans="1:4" x14ac:dyDescent="0.3">
      <c r="A41" s="286" t="s">
        <v>95</v>
      </c>
      <c r="B41" s="287" t="s">
        <v>191</v>
      </c>
      <c r="C41" s="286" t="s">
        <v>192</v>
      </c>
      <c r="D41" s="288">
        <v>1851.624733463603</v>
      </c>
    </row>
    <row r="42" spans="1:4" x14ac:dyDescent="0.3">
      <c r="A42" s="286" t="s">
        <v>95</v>
      </c>
      <c r="B42" s="287" t="s">
        <v>193</v>
      </c>
      <c r="C42" s="286" t="s">
        <v>194</v>
      </c>
      <c r="D42" s="288">
        <v>105.66862178224518</v>
      </c>
    </row>
    <row r="43" spans="1:4" x14ac:dyDescent="0.3">
      <c r="A43" s="286" t="s">
        <v>95</v>
      </c>
      <c r="B43" s="287" t="s">
        <v>195</v>
      </c>
      <c r="C43" s="286" t="s">
        <v>196</v>
      </c>
      <c r="D43" s="288">
        <v>0</v>
      </c>
    </row>
    <row r="44" spans="1:4" x14ac:dyDescent="0.3"/>
    <row r="45" spans="1:4" x14ac:dyDescent="0.3">
      <c r="A45" s="286" t="s">
        <v>99</v>
      </c>
      <c r="B45" s="287" t="s">
        <v>187</v>
      </c>
      <c r="C45" s="286" t="s">
        <v>188</v>
      </c>
      <c r="D45" s="288">
        <v>154.53411630374859</v>
      </c>
    </row>
    <row r="46" spans="1:4" x14ac:dyDescent="0.3">
      <c r="A46" s="286" t="s">
        <v>99</v>
      </c>
      <c r="B46" s="287" t="s">
        <v>189</v>
      </c>
      <c r="C46" s="286" t="s">
        <v>190</v>
      </c>
      <c r="D46" s="288">
        <v>3044.3049001496593</v>
      </c>
    </row>
    <row r="47" spans="1:4" x14ac:dyDescent="0.3">
      <c r="A47" s="286" t="s">
        <v>99</v>
      </c>
      <c r="B47" s="287" t="s">
        <v>191</v>
      </c>
      <c r="C47" s="286" t="s">
        <v>192</v>
      </c>
      <c r="D47" s="288">
        <v>2586.4622922651042</v>
      </c>
    </row>
    <row r="48" spans="1:4" x14ac:dyDescent="0.3">
      <c r="A48" s="286" t="s">
        <v>99</v>
      </c>
      <c r="B48" s="287" t="s">
        <v>193</v>
      </c>
      <c r="C48" s="286" t="s">
        <v>194</v>
      </c>
      <c r="D48" s="288">
        <v>786.02466600100399</v>
      </c>
    </row>
    <row r="49" spans="1:4" x14ac:dyDescent="0.3">
      <c r="A49" s="286" t="s">
        <v>99</v>
      </c>
      <c r="B49" s="287" t="s">
        <v>195</v>
      </c>
      <c r="C49" s="286" t="s">
        <v>196</v>
      </c>
      <c r="D49" s="288">
        <v>667.13801270430952</v>
      </c>
    </row>
    <row r="50" spans="1:4" x14ac:dyDescent="0.3"/>
    <row r="51" spans="1:4" x14ac:dyDescent="0.3">
      <c r="A51" s="286" t="s">
        <v>101</v>
      </c>
      <c r="B51" s="287" t="s">
        <v>187</v>
      </c>
      <c r="C51" s="286" t="s">
        <v>188</v>
      </c>
      <c r="D51" s="288">
        <v>311.37807049987555</v>
      </c>
    </row>
    <row r="52" spans="1:4" x14ac:dyDescent="0.3">
      <c r="A52" s="286" t="s">
        <v>101</v>
      </c>
      <c r="B52" s="287" t="s">
        <v>189</v>
      </c>
      <c r="C52" s="286" t="s">
        <v>190</v>
      </c>
      <c r="D52" s="288">
        <v>1764.7679912942431</v>
      </c>
    </row>
    <row r="53" spans="1:4" x14ac:dyDescent="0.3">
      <c r="A53" s="286" t="s">
        <v>101</v>
      </c>
      <c r="B53" s="287" t="s">
        <v>191</v>
      </c>
      <c r="C53" s="286" t="s">
        <v>192</v>
      </c>
      <c r="D53" s="288">
        <v>3569.8765147248641</v>
      </c>
    </row>
    <row r="54" spans="1:4" x14ac:dyDescent="0.3">
      <c r="A54" s="286" t="s">
        <v>101</v>
      </c>
      <c r="B54" s="287" t="s">
        <v>193</v>
      </c>
      <c r="C54" s="286" t="s">
        <v>194</v>
      </c>
      <c r="D54" s="288">
        <v>227.79501084610644</v>
      </c>
    </row>
    <row r="55" spans="1:4" x14ac:dyDescent="0.3">
      <c r="A55" s="286" t="s">
        <v>101</v>
      </c>
      <c r="B55" s="287" t="s">
        <v>195</v>
      </c>
      <c r="C55" s="286" t="s">
        <v>196</v>
      </c>
      <c r="D55" s="288">
        <v>0</v>
      </c>
    </row>
    <row r="56" spans="1:4" x14ac:dyDescent="0.3"/>
    <row r="57" spans="1:4" x14ac:dyDescent="0.3">
      <c r="A57" s="286" t="s">
        <v>103</v>
      </c>
      <c r="B57" s="287" t="s">
        <v>187</v>
      </c>
      <c r="C57" s="286" t="s">
        <v>188</v>
      </c>
      <c r="D57" s="288">
        <v>33.989041389145022</v>
      </c>
    </row>
    <row r="58" spans="1:4" x14ac:dyDescent="0.3">
      <c r="A58" s="286" t="s">
        <v>103</v>
      </c>
      <c r="B58" s="287" t="s">
        <v>189</v>
      </c>
      <c r="C58" s="286" t="s">
        <v>190</v>
      </c>
      <c r="D58" s="288">
        <v>536.74673332378848</v>
      </c>
    </row>
    <row r="59" spans="1:4" x14ac:dyDescent="0.3">
      <c r="A59" s="286" t="s">
        <v>103</v>
      </c>
      <c r="B59" s="287" t="s">
        <v>191</v>
      </c>
      <c r="C59" s="286" t="s">
        <v>192</v>
      </c>
      <c r="D59" s="288">
        <v>961.48477658014474</v>
      </c>
    </row>
    <row r="60" spans="1:4" x14ac:dyDescent="0.3">
      <c r="A60" s="286" t="s">
        <v>103</v>
      </c>
      <c r="B60" s="287" t="s">
        <v>193</v>
      </c>
      <c r="C60" s="286" t="s">
        <v>194</v>
      </c>
      <c r="D60" s="288">
        <v>60.653781606219432</v>
      </c>
    </row>
    <row r="61" spans="1:4" x14ac:dyDescent="0.3">
      <c r="A61" s="286" t="s">
        <v>103</v>
      </c>
      <c r="B61" s="287" t="s">
        <v>195</v>
      </c>
      <c r="C61" s="286" t="s">
        <v>196</v>
      </c>
      <c r="D61" s="288">
        <v>0</v>
      </c>
    </row>
    <row r="62" spans="1:4" x14ac:dyDescent="0.3"/>
    <row r="63" spans="1:4" x14ac:dyDescent="0.3">
      <c r="A63" s="286" t="s">
        <v>105</v>
      </c>
      <c r="B63" s="287" t="s">
        <v>187</v>
      </c>
      <c r="C63" s="286" t="s">
        <v>188</v>
      </c>
      <c r="D63" s="288">
        <v>291.0737575560272</v>
      </c>
    </row>
    <row r="64" spans="1:4" x14ac:dyDescent="0.3">
      <c r="A64" s="286" t="s">
        <v>105</v>
      </c>
      <c r="B64" s="287" t="s">
        <v>189</v>
      </c>
      <c r="C64" s="286" t="s">
        <v>190</v>
      </c>
      <c r="D64" s="288">
        <v>1146.0182885286627</v>
      </c>
    </row>
    <row r="65" spans="1:4" x14ac:dyDescent="0.3">
      <c r="A65" s="286" t="s">
        <v>105</v>
      </c>
      <c r="B65" s="287" t="s">
        <v>191</v>
      </c>
      <c r="C65" s="286" t="s">
        <v>192</v>
      </c>
      <c r="D65" s="288">
        <v>1803.1876473489592</v>
      </c>
    </row>
    <row r="66" spans="1:4" x14ac:dyDescent="0.3">
      <c r="A66" s="286" t="s">
        <v>105</v>
      </c>
      <c r="B66" s="287" t="s">
        <v>193</v>
      </c>
      <c r="C66" s="286" t="s">
        <v>194</v>
      </c>
      <c r="D66" s="288">
        <v>153.29897633677135</v>
      </c>
    </row>
    <row r="67" spans="1:4" x14ac:dyDescent="0.3">
      <c r="A67" s="286" t="s">
        <v>105</v>
      </c>
      <c r="B67" s="287" t="s">
        <v>195</v>
      </c>
      <c r="C67" s="286" t="s">
        <v>196</v>
      </c>
      <c r="D67" s="288">
        <v>0</v>
      </c>
    </row>
    <row r="68" spans="1:4" x14ac:dyDescent="0.3"/>
    <row r="69" spans="1:4" x14ac:dyDescent="0.3">
      <c r="A69" s="286" t="s">
        <v>107</v>
      </c>
      <c r="B69" s="287" t="s">
        <v>187</v>
      </c>
      <c r="C69" s="286" t="s">
        <v>188</v>
      </c>
      <c r="D69" s="288">
        <v>66.00558311414261</v>
      </c>
    </row>
    <row r="70" spans="1:4" x14ac:dyDescent="0.3">
      <c r="A70" s="286" t="s">
        <v>107</v>
      </c>
      <c r="B70" s="287" t="s">
        <v>189</v>
      </c>
      <c r="C70" s="286" t="s">
        <v>190</v>
      </c>
      <c r="D70" s="288">
        <v>540.72802274345452</v>
      </c>
    </row>
    <row r="71" spans="1:4" x14ac:dyDescent="0.3">
      <c r="A71" s="286" t="s">
        <v>107</v>
      </c>
      <c r="B71" s="287" t="s">
        <v>191</v>
      </c>
      <c r="C71" s="286" t="s">
        <v>192</v>
      </c>
      <c r="D71" s="288">
        <v>0</v>
      </c>
    </row>
    <row r="72" spans="1:4" x14ac:dyDescent="0.3">
      <c r="A72" s="286" t="s">
        <v>107</v>
      </c>
      <c r="B72" s="287" t="s">
        <v>193</v>
      </c>
      <c r="C72" s="286" t="s">
        <v>194</v>
      </c>
      <c r="D72" s="288">
        <v>0</v>
      </c>
    </row>
    <row r="73" spans="1:4" x14ac:dyDescent="0.3">
      <c r="A73" s="286" t="s">
        <v>107</v>
      </c>
      <c r="B73" s="287" t="s">
        <v>195</v>
      </c>
      <c r="C73" s="286" t="s">
        <v>196</v>
      </c>
      <c r="D73" s="288">
        <v>0</v>
      </c>
    </row>
    <row r="74" spans="1:4" x14ac:dyDescent="0.3"/>
    <row r="75" spans="1:4" x14ac:dyDescent="0.3">
      <c r="A75" s="286" t="s">
        <v>109</v>
      </c>
      <c r="B75" s="287" t="s">
        <v>187</v>
      </c>
      <c r="C75" s="286" t="s">
        <v>188</v>
      </c>
      <c r="D75" s="288">
        <v>60.481206124897533</v>
      </c>
    </row>
    <row r="76" spans="1:4" x14ac:dyDescent="0.3">
      <c r="A76" s="286" t="s">
        <v>109</v>
      </c>
      <c r="B76" s="287" t="s">
        <v>189</v>
      </c>
      <c r="C76" s="286" t="s">
        <v>190</v>
      </c>
      <c r="D76" s="288">
        <v>213.18178167511095</v>
      </c>
    </row>
    <row r="77" spans="1:4" x14ac:dyDescent="0.3">
      <c r="A77" s="286" t="s">
        <v>109</v>
      </c>
      <c r="B77" s="287" t="s">
        <v>191</v>
      </c>
      <c r="C77" s="286" t="s">
        <v>192</v>
      </c>
      <c r="D77" s="288">
        <v>0</v>
      </c>
    </row>
    <row r="78" spans="1:4" x14ac:dyDescent="0.3">
      <c r="A78" s="286" t="s">
        <v>109</v>
      </c>
      <c r="B78" s="287" t="s">
        <v>193</v>
      </c>
      <c r="C78" s="286" t="s">
        <v>194</v>
      </c>
      <c r="D78" s="288">
        <v>0</v>
      </c>
    </row>
    <row r="79" spans="1:4" x14ac:dyDescent="0.3">
      <c r="A79" s="286" t="s">
        <v>109</v>
      </c>
      <c r="B79" s="287" t="s">
        <v>195</v>
      </c>
      <c r="C79" s="286" t="s">
        <v>196</v>
      </c>
      <c r="D79" s="288">
        <v>0</v>
      </c>
    </row>
    <row r="80" spans="1:4" x14ac:dyDescent="0.3"/>
    <row r="81" spans="1:4" x14ac:dyDescent="0.3">
      <c r="A81" s="286" t="s">
        <v>111</v>
      </c>
      <c r="B81" s="287" t="s">
        <v>187</v>
      </c>
      <c r="C81" s="286" t="s">
        <v>188</v>
      </c>
      <c r="D81" s="288">
        <v>2.3245890862940608</v>
      </c>
    </row>
    <row r="82" spans="1:4" x14ac:dyDescent="0.3">
      <c r="A82" s="286" t="s">
        <v>111</v>
      </c>
      <c r="B82" s="287" t="s">
        <v>189</v>
      </c>
      <c r="C82" s="286" t="s">
        <v>190</v>
      </c>
      <c r="D82" s="288">
        <v>73.560799707246957</v>
      </c>
    </row>
    <row r="83" spans="1:4" x14ac:dyDescent="0.3">
      <c r="A83" s="286" t="s">
        <v>111</v>
      </c>
      <c r="B83" s="287" t="s">
        <v>191</v>
      </c>
      <c r="C83" s="286" t="s">
        <v>192</v>
      </c>
      <c r="D83" s="288">
        <v>0</v>
      </c>
    </row>
    <row r="84" spans="1:4" x14ac:dyDescent="0.3">
      <c r="A84" s="286" t="s">
        <v>111</v>
      </c>
      <c r="B84" s="287" t="s">
        <v>193</v>
      </c>
      <c r="C84" s="286" t="s">
        <v>194</v>
      </c>
      <c r="D84" s="288">
        <v>0</v>
      </c>
    </row>
    <row r="85" spans="1:4" x14ac:dyDescent="0.3">
      <c r="A85" s="286" t="s">
        <v>111</v>
      </c>
      <c r="B85" s="287" t="s">
        <v>195</v>
      </c>
      <c r="C85" s="286" t="s">
        <v>196</v>
      </c>
      <c r="D85" s="288">
        <v>5.2080146007555897E-9</v>
      </c>
    </row>
    <row r="86" spans="1:4" x14ac:dyDescent="0.3"/>
    <row r="87" spans="1:4" x14ac:dyDescent="0.3">
      <c r="A87" s="286" t="s">
        <v>115</v>
      </c>
      <c r="B87" s="287" t="s">
        <v>187</v>
      </c>
      <c r="C87" s="286" t="s">
        <v>188</v>
      </c>
      <c r="D87" s="288">
        <v>34.479747463860264</v>
      </c>
    </row>
    <row r="88" spans="1:4" x14ac:dyDescent="0.3">
      <c r="A88" s="286" t="s">
        <v>115</v>
      </c>
      <c r="B88" s="287" t="s">
        <v>189</v>
      </c>
      <c r="C88" s="286" t="s">
        <v>190</v>
      </c>
      <c r="D88" s="288">
        <v>651.37933061226192</v>
      </c>
    </row>
    <row r="89" spans="1:4" x14ac:dyDescent="0.3">
      <c r="A89" s="286" t="s">
        <v>115</v>
      </c>
      <c r="B89" s="287" t="s">
        <v>191</v>
      </c>
      <c r="C89" s="286" t="s">
        <v>192</v>
      </c>
      <c r="D89" s="288">
        <v>0</v>
      </c>
    </row>
    <row r="90" spans="1:4" x14ac:dyDescent="0.3">
      <c r="A90" s="286" t="s">
        <v>115</v>
      </c>
      <c r="B90" s="287" t="s">
        <v>193</v>
      </c>
      <c r="C90" s="286" t="s">
        <v>194</v>
      </c>
      <c r="D90" s="288">
        <v>0</v>
      </c>
    </row>
    <row r="91" spans="1:4" x14ac:dyDescent="0.3">
      <c r="A91" s="286" t="s">
        <v>115</v>
      </c>
      <c r="B91" s="287" t="s">
        <v>195</v>
      </c>
      <c r="C91" s="286" t="s">
        <v>196</v>
      </c>
      <c r="D91" s="288">
        <v>0</v>
      </c>
    </row>
    <row r="92" spans="1:4" x14ac:dyDescent="0.3"/>
    <row r="93" spans="1:4" x14ac:dyDescent="0.3">
      <c r="A93" s="286" t="s">
        <v>117</v>
      </c>
      <c r="B93" s="287" t="s">
        <v>187</v>
      </c>
      <c r="C93" s="286" t="s">
        <v>188</v>
      </c>
      <c r="D93" s="288">
        <v>7.102396891658155</v>
      </c>
    </row>
    <row r="94" spans="1:4" x14ac:dyDescent="0.3">
      <c r="A94" s="286" t="s">
        <v>117</v>
      </c>
      <c r="B94" s="287" t="s">
        <v>189</v>
      </c>
      <c r="C94" s="286" t="s">
        <v>190</v>
      </c>
      <c r="D94" s="288">
        <v>186.58613499220516</v>
      </c>
    </row>
    <row r="95" spans="1:4" x14ac:dyDescent="0.3">
      <c r="A95" s="286" t="s">
        <v>117</v>
      </c>
      <c r="B95" s="287" t="s">
        <v>191</v>
      </c>
      <c r="C95" s="286" t="s">
        <v>192</v>
      </c>
      <c r="D95" s="288">
        <v>0</v>
      </c>
    </row>
    <row r="96" spans="1:4" x14ac:dyDescent="0.3">
      <c r="A96" s="286" t="s">
        <v>117</v>
      </c>
      <c r="B96" s="287" t="s">
        <v>193</v>
      </c>
      <c r="C96" s="286" t="s">
        <v>194</v>
      </c>
      <c r="D96" s="288">
        <v>0</v>
      </c>
    </row>
    <row r="97" spans="1:4" x14ac:dyDescent="0.3">
      <c r="A97" s="286" t="s">
        <v>117</v>
      </c>
      <c r="B97" s="287" t="s">
        <v>195</v>
      </c>
      <c r="C97" s="286" t="s">
        <v>196</v>
      </c>
      <c r="D97" s="288">
        <v>0</v>
      </c>
    </row>
    <row r="98" spans="1:4" x14ac:dyDescent="0.3"/>
    <row r="99" spans="1:4" x14ac:dyDescent="0.3">
      <c r="A99" s="286" t="s">
        <v>113</v>
      </c>
      <c r="B99" s="287" t="s">
        <v>187</v>
      </c>
      <c r="C99" s="286" t="s">
        <v>188</v>
      </c>
      <c r="D99" s="288">
        <v>6.8404376013101507</v>
      </c>
    </row>
    <row r="100" spans="1:4" x14ac:dyDescent="0.3">
      <c r="A100" s="286" t="s">
        <v>113</v>
      </c>
      <c r="B100" s="287" t="s">
        <v>189</v>
      </c>
      <c r="C100" s="286" t="s">
        <v>190</v>
      </c>
      <c r="D100" s="288">
        <v>123.98967626241405</v>
      </c>
    </row>
    <row r="101" spans="1:4" x14ac:dyDescent="0.3">
      <c r="A101" s="286" t="s">
        <v>113</v>
      </c>
      <c r="B101" s="287" t="s">
        <v>191</v>
      </c>
      <c r="C101" s="286" t="s">
        <v>192</v>
      </c>
      <c r="D101" s="288">
        <v>0</v>
      </c>
    </row>
    <row r="102" spans="1:4" x14ac:dyDescent="0.3">
      <c r="A102" s="286" t="s">
        <v>113</v>
      </c>
      <c r="B102" s="287" t="s">
        <v>193</v>
      </c>
      <c r="C102" s="286" t="s">
        <v>194</v>
      </c>
      <c r="D102" s="288">
        <v>0</v>
      </c>
    </row>
    <row r="103" spans="1:4" x14ac:dyDescent="0.3">
      <c r="A103" s="286" t="s">
        <v>113</v>
      </c>
      <c r="B103" s="287" t="s">
        <v>195</v>
      </c>
      <c r="C103" s="286" t="s">
        <v>196</v>
      </c>
      <c r="D103" s="288">
        <v>0</v>
      </c>
    </row>
    <row r="104" spans="1:4" x14ac:dyDescent="0.3"/>
    <row r="105" spans="1:4" x14ac:dyDescent="0.3"/>
    <row r="106" spans="1:4" x14ac:dyDescent="0.3"/>
    <row r="107" spans="1:4" x14ac:dyDescent="0.3"/>
    <row r="108" spans="1:4" x14ac:dyDescent="0.3"/>
    <row r="109" spans="1:4" x14ac:dyDescent="0.3"/>
    <row r="110" spans="1:4"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bfeb7f4415147e7bd0aa01621d3159d0">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2a6cb2d901a3e654ac4ad29887a43ae2"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45198451-6EC2-4FDA-ACF4-714712F2B43D}"/>
</file>

<file path=customXml/itemProps2.xml><?xml version="1.0" encoding="utf-8"?>
<ds:datastoreItem xmlns:ds="http://schemas.openxmlformats.org/officeDocument/2006/customXml" ds:itemID="{BAFA3A76-8EA3-45A6-A363-C88BD6511B83}"/>
</file>

<file path=customXml/itemProps3.xml><?xml version="1.0" encoding="utf-8"?>
<ds:datastoreItem xmlns:ds="http://schemas.openxmlformats.org/officeDocument/2006/customXml" ds:itemID="{4304A600-67C1-459C-A9BD-D19210A5F244}"/>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24</vt:i4>
      </vt:variant>
      <vt:variant>
        <vt:lpstr>Named Ranges</vt:lpstr>
      </vt:variant>
      <vt:variant>
        <vt:i4>11</vt:i4>
      </vt:variant>
    </vt:vector>
  </HeadingPairs>
  <TitlesOfParts>
    <vt:vector size="35" baseType="lpstr">
      <vt:lpstr>Cover</vt:lpstr>
      <vt:lpstr>ChangeLog</vt:lpstr>
      <vt:lpstr>Style Guide</vt:lpstr>
      <vt:lpstr>ToC</vt:lpstr>
      <vt:lpstr>Validation</vt:lpstr>
      <vt:lpstr>F_Inputs</vt:lpstr>
      <vt:lpstr>InpOverride</vt:lpstr>
      <vt:lpstr>Inp_active PR24</vt:lpstr>
      <vt:lpstr>InitialBalance</vt:lpstr>
      <vt:lpstr>RunOffRate</vt:lpstr>
      <vt:lpstr>RealRPIBasedWACC</vt:lpstr>
      <vt:lpstr>RealCPIHBasedWACC</vt:lpstr>
      <vt:lpstr>BYR</vt:lpstr>
      <vt:lpstr>InpR</vt:lpstr>
      <vt:lpstr>Time</vt:lpstr>
      <vt:lpstr>Index</vt:lpstr>
      <vt:lpstr>Calcs-WR</vt:lpstr>
      <vt:lpstr>Calcs-WN</vt:lpstr>
      <vt:lpstr>Calcs-WWN</vt:lpstr>
      <vt:lpstr>Calcs-BR</vt:lpstr>
      <vt:lpstr>Calcs-DMMY</vt:lpstr>
      <vt:lpstr>Adjustments</vt:lpstr>
      <vt:lpstr>Checks</vt:lpstr>
      <vt:lpstr>F_Outputs</vt:lpstr>
      <vt:lpstr>ChK_Tol</vt:lpstr>
      <vt:lpstr>Adjustments!Print_Titles</vt:lpstr>
      <vt:lpstr>'Calcs-BR'!Print_Titles</vt:lpstr>
      <vt:lpstr>'Calcs-DMMY'!Print_Titles</vt:lpstr>
      <vt:lpstr>'Calcs-WN'!Print_Titles</vt:lpstr>
      <vt:lpstr>'Calcs-WR'!Print_Titles</vt:lpstr>
      <vt:lpstr>'Calcs-WWN'!Print_Titles</vt:lpstr>
      <vt:lpstr>Checks!Print_Titles</vt:lpstr>
      <vt:lpstr>Index!Print_Titles</vt:lpstr>
      <vt:lpstr>InpR!Print_Titles</vt:lpstr>
      <vt:lpstr>Time!Print_Titles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2025-09-25T09:59:52Z</dcterms:created>
  <dcterms:modified xsi:type="dcterms:W3CDTF">2025-09-25T09:59:59Z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Meeting">
    <vt:lpwstr/>
  </property>
  <property fmtid="{D5CDD505-2E9C-101B-9397-08002B2CF9AE}" pid="4" name="MediaServiceImageTags">
    <vt:lpwstr/>
  </property>
  <property fmtid="{D5CDD505-2E9C-101B-9397-08002B2CF9AE}" pid="5" name="Stakeholder 2">
    <vt:lpwstr/>
  </property>
  <property fmtid="{D5CDD505-2E9C-101B-9397-08002B2CF9AE}" pid="6" name="ContentTypeId">
    <vt:lpwstr>0x010100764DD18A57545C43AA1544940FC64A16</vt:lpwstr>
  </property>
  <property fmtid="{D5CDD505-2E9C-101B-9397-08002B2CF9AE}" pid="7" name="Hierarchy">
    <vt:lpwstr/>
  </property>
  <property fmtid="{D5CDD505-2E9C-101B-9397-08002B2CF9AE}" pid="8" name="Collection">
    <vt:lpwstr/>
  </property>
  <property fmtid="{D5CDD505-2E9C-101B-9397-08002B2CF9AE}" pid="9" name="Stakeholder 5">
    <vt:lpwstr/>
  </property>
  <property fmtid="{D5CDD505-2E9C-101B-9397-08002B2CF9AE}" pid="10" name="Project Code">
    <vt:lpwstr>1896;#Company performance monitoring ＆ engagement|3cbb2248-aeb0-4f5e-8833-d72f52afb8f0</vt:lpwstr>
  </property>
  <property fmtid="{D5CDD505-2E9C-101B-9397-08002B2CF9AE}" pid="11" name="Stakeholder 3">
    <vt:lpwstr/>
  </property>
  <property fmtid="{D5CDD505-2E9C-101B-9397-08002B2CF9AE}" pid="12" name="Follow-up">
    <vt:bool>false</vt:bool>
  </property>
  <property fmtid="{D5CDD505-2E9C-101B-9397-08002B2CF9AE}" pid="13" name="Stakeholder">
    <vt:lpwstr>25;#Water and wastewater companies (WaSCs)|1f450446-47d1-4fe9-8d64-c249a3be1897</vt:lpwstr>
  </property>
  <property fmtid="{D5CDD505-2E9C-101B-9397-08002B2CF9AE}" pid="14" name="Security Classification">
    <vt:lpwstr>21;#OFFICIAL|c2540f30-f875-494b-a43f-ebfb5017a6ad</vt:lpwstr>
  </property>
  <property fmtid="{D5CDD505-2E9C-101B-9397-08002B2CF9AE}" pid="15" name="Stakeholder 4">
    <vt:lpwstr/>
  </property>
</Properties>
</file>