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trlProps/ctrlProp1.xml" ContentType="application/vnd.ms-excel.controlproperties+xml"/>
  <Override PartName="/xl/drawings/drawing20.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66925"/>
  <mc:AlternateContent xmlns:mc="http://schemas.openxmlformats.org/markup-compatibility/2006">
    <mc:Choice Requires="x15">
      <x15ac:absPath xmlns:x15ac="http://schemas.microsoft.com/office/spreadsheetml/2010/11/ac" url="C:\Users\Rebecca.clayton\Downloads\"/>
    </mc:Choice>
  </mc:AlternateContent>
  <xr:revisionPtr revIDLastSave="0" documentId="8_{6EC8E4D8-EDC6-46D1-BC5D-A7085DA34405}" xr6:coauthVersionLast="47" xr6:coauthVersionMax="47" xr10:uidLastSave="{00000000-0000-0000-0000-000000000000}"/>
  <workbookProtection workbookAlgorithmName="SHA-512" workbookHashValue="TAlE25G7GHbXJlt1Pa2hqwqd/2pR3glnB4iCyxnW2OCSABIpDRDt+JbCUW4vITH0WEKGdrwNqUrJ12W6sHLixA==" workbookSaltValue="4k0TO9v7t8ICIB11fH2bgw==" workbookSpinCount="100000" lockStructure="1"/>
  <bookViews>
    <workbookView xWindow="-110" yWindow="-110" windowWidth="19420" windowHeight="10300" tabRatio="763" xr2:uid="{61CD7E73-D9E8-4CD0-8065-9412478E12A9}"/>
  </bookViews>
  <sheets>
    <sheet name="Introduction" sheetId="35" r:id="rId1"/>
    <sheet name="Site Details" sheetId="37" r:id="rId2"/>
    <sheet name="Applicant Details" sheetId="40" r:id="rId3"/>
    <sheet name="Objectives" sheetId="39" r:id="rId4"/>
    <sheet name="Biodiversity &amp; Geology" sheetId="36" r:id="rId5"/>
    <sheet name="Landscape" sheetId="86" r:id="rId6"/>
    <sheet name="Water" sheetId="87" r:id="rId7"/>
    <sheet name="Historic Environment" sheetId="43" r:id="rId8"/>
    <sheet name="Silviculture, Soil &amp; Climate" sheetId="46" r:id="rId9"/>
    <sheet name="Access &amp; Local Interests" sheetId="45" r:id="rId10"/>
    <sheet name="Stage 1 Assessment &amp; Summary" sheetId="47" r:id="rId11"/>
    <sheet name="EPS Assessment" sheetId="29" r:id="rId12"/>
    <sheet name="Survey &amp; Analysis" sheetId="78" r:id="rId13"/>
    <sheet name="Design Concept Development" sheetId="51" r:id="rId14"/>
    <sheet name="Stakeholder Engagement" sheetId="52" r:id="rId15"/>
    <sheet name="Final Design Plan" sheetId="53" r:id="rId16"/>
    <sheet name="SpeciesBreakdown" sheetId="74" r:id="rId17"/>
    <sheet name="Tree Procurement Summary " sheetId="61" r:id="rId18"/>
    <sheet name="CCLPs" sheetId="79" state="hidden" r:id="rId19"/>
    <sheet name="Data (hidden)" sheetId="84" state="hidden" r:id="rId20"/>
  </sheets>
  <externalReferences>
    <externalReference r:id="rId21"/>
    <externalReference r:id="rId22"/>
    <externalReference r:id="rId23"/>
    <externalReference r:id="rId24"/>
    <externalReference r:id="rId25"/>
    <externalReference r:id="rId26"/>
  </externalReferences>
  <definedNames>
    <definedName name="AgentAuthorityForm" localSheetId="17">'[1]Look Up Data'!$B$29:$B$30</definedName>
    <definedName name="AgentAuthorityForm">'[2]Look Up Data'!$B$26:$B$27</definedName>
    <definedName name="AuthorisedAgent" localSheetId="17">'[1]Look Up Data'!$B$26:$B$27</definedName>
    <definedName name="AuthorisedAgent">'[2]Look Up Data'!$B$23:$B$24</definedName>
    <definedName name="BusinessSize" localSheetId="17">'[1]Look Up Data'!$B$21:$B$24</definedName>
    <definedName name="BusinessSize">'[2]Look Up Data'!$B$18:$B$21</definedName>
    <definedName name="BusinessType" localSheetId="17">'[1]Look Up Data'!$B$8:$B$19</definedName>
    <definedName name="BusinessType">'[2]Look Up Data'!$B$8:$B$16</definedName>
    <definedName name="capital_items" localSheetId="7">#REF!</definedName>
    <definedName name="capital_items" localSheetId="5">#REF!</definedName>
    <definedName name="capital_items" localSheetId="16">#REF!</definedName>
    <definedName name="capital_items" localSheetId="17">#REF!</definedName>
    <definedName name="capital_items" localSheetId="6">#REF!</definedName>
    <definedName name="capital_items">#REF!</definedName>
    <definedName name="Checks" localSheetId="18">'[3]Biodiversity &amp; Geology'!$B$18:$B$23,'[3]Biodiversity &amp; Geology'!$B$26:$B$32,'[3]Biodiversity &amp; Geology'!$B$35:$B$38,'[3]Biodiversity &amp; Geology'!$B$41:$B$42</definedName>
    <definedName name="Checks" localSheetId="19">'[3]Biodiversity &amp; Geology'!$B$18:$B$23,'[3]Biodiversity &amp; Geology'!$B$26:$B$32,'[3]Biodiversity &amp; Geology'!$B$35:$B$38,'[3]Biodiversity &amp; Geology'!$B$41:$B$42</definedName>
    <definedName name="Checks" localSheetId="5">'[4]Biodiversity &amp; Geology'!$B$18:$B$23,'[4]Biodiversity &amp; Geology'!$B$26:$B$32,'[4]Biodiversity &amp; Geology'!$B$35:$B$38,'[4]Biodiversity &amp; Geology'!$B$42:$B$43</definedName>
    <definedName name="Checks" localSheetId="6">'[4]Biodiversity &amp; Geology'!$B$18:$B$23,'[4]Biodiversity &amp; Geology'!$B$26:$B$32,'[4]Biodiversity &amp; Geology'!$B$35:$B$38,'[4]Biodiversity &amp; Geology'!$B$42:$B$43</definedName>
    <definedName name="Checks">'Biodiversity &amp; Geology'!$B$13:$B$22,'Biodiversity &amp; Geology'!$B$29:$B$36,'Biodiversity &amp; Geology'!$B$40:$B$44,'Biodiversity &amp; Geology'!$B$53:$B$54</definedName>
    <definedName name="FromArray_1" localSheetId="18">_xlfn.ANCHORARRAY('[3]Stage 1 Assessment &amp; Summary'!$E$28)</definedName>
    <definedName name="FromArray_1" localSheetId="19">_xlfn.ANCHORARRAY('[3]Stage 1 Assessment &amp; Summary'!$E$28)</definedName>
    <definedName name="FromArray_1" localSheetId="5">_xlfn.ANCHORARRAY('[4]Stage 1 Assessment &amp; Summary'!$E$28)</definedName>
    <definedName name="FromArray_1" localSheetId="6">_xlfn.ANCHORARRAY('[4]Stage 1 Assessment &amp; Summary'!$E$28)</definedName>
    <definedName name="FromArray_1">_xlfn.ANCHORARRAY('Stage 1 Assessment &amp; Summary'!$F$38)</definedName>
    <definedName name="FY2_VAT_LUT">[5]Data!$C$23:$D$24</definedName>
    <definedName name="FY2_VATQ">[5]Data!$C$23:$C$24</definedName>
    <definedName name="FY2QUOTE_LUT">'[5]i. Capital item FY2'!$B$17:$H$21</definedName>
    <definedName name="GROUND_PREP">[5]Data!$F$23:$F$28</definedName>
    <definedName name="IneligibleLand" localSheetId="17">'[1]Look Up Data'!#REF!</definedName>
    <definedName name="IneligibleLand">'[2]Look Up Data'!#REF!</definedName>
    <definedName name="LandOccupation" localSheetId="17">'[1]Look Up Data'!$A$4:$A$8</definedName>
    <definedName name="LandOccupation">'[2]Look Up Data'!$A$4:$A$12</definedName>
    <definedName name="Local_Authorities">tblLocalAuthorities[Local authorities]</definedName>
    <definedName name="ManagementControl" localSheetId="17">'[1]Look Up Data'!$A$13:$A$15</definedName>
    <definedName name="ManagementControl">'[2]Look Up Data'!$A$17:$A$19</definedName>
    <definedName name="NoYes">[5]Data!$B$7:$B$8</definedName>
    <definedName name="Objective">[5]Data!$C$7:$C$9</definedName>
    <definedName name="ParcelList2e">OFFSET('[5]a. Land Summary'!$M$13,1,0,MAX('[5]a. Land Summary'!$L:$L),1)</definedName>
    <definedName name="ParcelList2g">OFFSET('[5]h. Creation Items'!$AA$18,1,0,MAX('[5]h. Creation Items'!$Z:$Z),1)</definedName>
    <definedName name="PAWSCptDropdown">OFFSET('[6]Cpt Lists'!$G$4,1,0,COUNTIF('[6]Cpt Lists'!$G$5:$G$10989,"?*"),1)</definedName>
    <definedName name="PreferredContact" localSheetId="17">'[1]Look Up Data'!$B$4:$B$6</definedName>
    <definedName name="PreferredContact">'[2]Look Up Data'!$B$4:$B$6</definedName>
    <definedName name="_xlnm.Print_Area" localSheetId="9">'Access &amp; Local Interests'!$A$1:$G$33</definedName>
    <definedName name="_xlnm.Print_Area" localSheetId="2">'Applicant Details'!$B$1:$D$42</definedName>
    <definedName name="_xlnm.Print_Area" localSheetId="4">'Biodiversity &amp; Geology'!$A$1:$G$55</definedName>
    <definedName name="_xlnm.Print_Area" localSheetId="13">'Design Concept Development'!$A$1:$E$38</definedName>
    <definedName name="_xlnm.Print_Area" localSheetId="11">'EPS Assessment'!$B$1:$E$40</definedName>
    <definedName name="_xlnm.Print_Area" localSheetId="15">'Final Design Plan'!$B$1:$E$28</definedName>
    <definedName name="_xlnm.Print_Area" localSheetId="7">'Historic Environment'!$A$1:$K$27</definedName>
    <definedName name="_xlnm.Print_Area" localSheetId="0">Introduction!$A$1:$H$70</definedName>
    <definedName name="_xlnm.Print_Area" localSheetId="5">Landscape!$A$1:$G$28</definedName>
    <definedName name="_xlnm.Print_Area" localSheetId="3">Objectives!$A$1:$C$23</definedName>
    <definedName name="_xlnm.Print_Area" localSheetId="8">'Silviculture, Soil &amp; Climate'!$A$1:$G$65</definedName>
    <definedName name="_xlnm.Print_Area" localSheetId="1">'Site Details'!$A$1:$D$35</definedName>
    <definedName name="_xlnm.Print_Area" localSheetId="16">SpeciesBreakdown!$B$1:$XFD$888</definedName>
    <definedName name="_xlnm.Print_Area" localSheetId="10">'Stage 1 Assessment &amp; Summary'!$A$1:$H$85</definedName>
    <definedName name="_xlnm.Print_Area" localSheetId="14">'Stakeholder Engagement'!$A$1:$H$37</definedName>
    <definedName name="_xlnm.Print_Area" localSheetId="12">'Survey &amp; Analysis'!$B$1:$E$49</definedName>
    <definedName name="_xlnm.Print_Area" localSheetId="17">'Tree Procurement Summary '!$A$1:$K$108</definedName>
    <definedName name="_xlnm.Print_Area" localSheetId="6">Water!$A$1:$G$47</definedName>
    <definedName name="Print_Area_Formula" localSheetId="18">OFFSET(#REF!,0,0,COUNTA(#REF!),19)</definedName>
    <definedName name="Print_Area_Formula" localSheetId="19">OFFSET(#REF!,0,0,COUNTA(#REF!),19)</definedName>
    <definedName name="Print_Area_Formula" localSheetId="7">OFFSET(#REF!,0,0,COUNTA(#REF!),19)</definedName>
    <definedName name="Print_Area_Formula" localSheetId="16">OFFSET(#REF!,0,0,COUNTA(#REF!),19)</definedName>
    <definedName name="Print_Area_Formula" localSheetId="17">OFFSET('[1]3 - Land Summary'!#REF!,0,0,COUNTA('[1]3 - Land Summary'!$S:$S),19)</definedName>
    <definedName name="Print_Area_Formula">OFFSET(#REF!,0,0,COUNTA(#REF!),19)</definedName>
    <definedName name="SPH_STOCKING_DENSITY">[5]Data!$C$41:$C$44</definedName>
    <definedName name="Tenants" localSheetId="17">'[1]Look Up Data'!$A$10:$A$11</definedName>
    <definedName name="Tenants">'[2]Look Up Data'!$A$14:$A$15</definedName>
    <definedName name="WCP_PLANTING_YR">[5]Data!$C$35:$C$37</definedName>
    <definedName name="WCPG" localSheetId="18">#REF!</definedName>
    <definedName name="WCPG" localSheetId="19">#REF!</definedName>
    <definedName name="WCPG" localSheetId="5">#REF!</definedName>
    <definedName name="WCPG" localSheetId="16">#REF!</definedName>
    <definedName name="WCPG" localSheetId="17">'[1]1 - Site Details'!#REF!</definedName>
    <definedName name="WCPG" localSheetId="6">#REF!</definedName>
    <definedName name="WCPG">#REF!</definedName>
    <definedName name="WCPG1" localSheetId="18">#REF!</definedName>
    <definedName name="WCPG1" localSheetId="19">#REF!</definedName>
    <definedName name="WCPG1" localSheetId="5">#REF!</definedName>
    <definedName name="WCPG1" localSheetId="16">#REF!</definedName>
    <definedName name="WCPG1" localSheetId="17">'[1]1 - Site Details'!#REF!</definedName>
    <definedName name="WCPG1" localSheetId="6">#REF!</definedName>
    <definedName name="WCPG1">#REF!</definedName>
    <definedName name="WoodlandCreationPlanningGrant" localSheetId="17">'[1]Look Up Data'!$A$17:$A$18</definedName>
    <definedName name="WoodlandCreationPlanningGrant">'[2]Look Up Data'!$A$21:$A$22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45" l="1"/>
  <c r="B5" i="46"/>
  <c r="D34" i="47" a="1"/>
  <c r="D34" i="47" s="1"/>
  <c r="F36" i="47" a="1"/>
  <c r="F36" i="47" s="1"/>
  <c r="B5" i="43" l="1"/>
  <c r="B5" i="87"/>
  <c r="B5" i="86"/>
  <c r="B5" i="36"/>
  <c r="C9" i="46"/>
  <c r="C21" i="86"/>
  <c r="C21" i="46"/>
  <c r="B5" i="61" l="1"/>
  <c r="B5" i="52"/>
  <c r="B48" i="78"/>
  <c r="B47" i="78"/>
  <c r="B45" i="78"/>
  <c r="B7" i="47"/>
  <c r="B5" i="47"/>
  <c r="C21" i="45"/>
  <c r="C14" i="45"/>
  <c r="C43" i="46"/>
  <c r="C40" i="46"/>
  <c r="C37" i="46"/>
  <c r="C33" i="46"/>
  <c r="C30" i="46"/>
  <c r="C26" i="46"/>
  <c r="C19" i="46"/>
  <c r="C23" i="43"/>
  <c r="B7" i="43"/>
  <c r="C50" i="87"/>
  <c r="C45" i="87"/>
  <c r="C48" i="87"/>
  <c r="C43" i="87"/>
  <c r="C38" i="87"/>
  <c r="C40" i="87"/>
  <c r="C36" i="87"/>
  <c r="C33" i="87"/>
  <c r="C28" i="87"/>
  <c r="C30" i="87"/>
  <c r="C25" i="87"/>
  <c r="C23" i="87"/>
  <c r="C21" i="87"/>
  <c r="C18" i="87"/>
  <c r="C16" i="87"/>
  <c r="C14" i="87"/>
  <c r="B29" i="86"/>
  <c r="B28" i="86"/>
  <c r="B27" i="86"/>
  <c r="B13" i="86"/>
  <c r="C49" i="36"/>
  <c r="C46" i="36"/>
  <c r="C41" i="36"/>
  <c r="C25" i="36"/>
  <c r="C19" i="36"/>
  <c r="C16" i="36"/>
  <c r="B14" i="36"/>
  <c r="B5" i="39"/>
  <c r="B41" i="40"/>
  <c r="B33" i="40"/>
  <c r="B25" i="40"/>
  <c r="B34" i="37"/>
  <c r="B27" i="37"/>
  <c r="B11" i="37"/>
  <c r="D46" i="35"/>
  <c r="D42" i="35"/>
  <c r="D41" i="35"/>
  <c r="D40" i="35"/>
  <c r="B32" i="35"/>
  <c r="B30" i="35"/>
  <c r="B17" i="35"/>
  <c r="B15" i="35"/>
  <c r="B11" i="35"/>
  <c r="B9" i="35"/>
  <c r="B7" i="35"/>
  <c r="B5" i="35"/>
  <c r="C16" i="46" l="1"/>
  <c r="B11" i="29"/>
  <c r="B9" i="29"/>
  <c r="B5" i="29"/>
  <c r="B36" i="47" a="1"/>
  <c r="B36" i="47" s="1"/>
  <c r="C13" i="52" l="1"/>
  <c r="C14" i="52"/>
  <c r="C15" i="52"/>
  <c r="C16" i="52"/>
  <c r="C17" i="52"/>
  <c r="C18" i="52"/>
  <c r="B13" i="52"/>
  <c r="B14" i="52"/>
  <c r="B15" i="52"/>
  <c r="B16" i="52"/>
  <c r="B17" i="52"/>
  <c r="B18" i="52"/>
  <c r="G36" i="47" l="1" a="1"/>
  <c r="G36" i="47" s="1"/>
  <c r="E36" i="47" a="1"/>
  <c r="E36" i="47" s="1"/>
  <c r="D36" i="47" a="1"/>
  <c r="D36" i="47" s="1"/>
  <c r="C36" i="47" a="1"/>
  <c r="C36" i="47" s="1"/>
  <c r="F38" i="47" a="1"/>
  <c r="F38" i="47" s="1"/>
  <c r="E38" i="47" a="1"/>
  <c r="E38" i="47" s="1"/>
  <c r="D38" i="47" a="1"/>
  <c r="D38" i="47" s="1"/>
  <c r="C38" i="47" a="1"/>
  <c r="C38" i="47" s="1"/>
  <c r="G38" i="47" a="1"/>
  <c r="G38" i="47" s="1"/>
  <c r="B38" i="47" a="1"/>
  <c r="B38" i="47" s="1"/>
  <c r="C6" i="40" l="1"/>
  <c r="C7" i="40" l="1"/>
  <c r="D4" i="74"/>
  <c r="D3" i="74"/>
  <c r="C9" i="87"/>
  <c r="C8" i="87"/>
  <c r="C9" i="86"/>
  <c r="C8" i="86"/>
  <c r="C12" i="52"/>
  <c r="B12" i="52"/>
  <c r="G20" i="74"/>
  <c r="G21" i="74"/>
  <c r="G22" i="74"/>
  <c r="G23" i="74"/>
  <c r="G24" i="74"/>
  <c r="G25" i="74"/>
  <c r="G26" i="74"/>
  <c r="G27" i="74"/>
  <c r="G28" i="74"/>
  <c r="G29" i="74"/>
  <c r="G30" i="74"/>
  <c r="G31" i="74"/>
  <c r="G32" i="74"/>
  <c r="G33" i="74"/>
  <c r="G34" i="74"/>
  <c r="G35" i="74"/>
  <c r="G36" i="74"/>
  <c r="G37" i="74"/>
  <c r="G38" i="74"/>
  <c r="G39" i="74"/>
  <c r="G40" i="74"/>
  <c r="G41" i="74"/>
  <c r="G42" i="74"/>
  <c r="G43" i="74"/>
  <c r="G44" i="74"/>
  <c r="G45" i="74"/>
  <c r="G46" i="74"/>
  <c r="G47" i="74"/>
  <c r="G48" i="74"/>
  <c r="G49" i="74"/>
  <c r="G50" i="74"/>
  <c r="G51" i="74"/>
  <c r="G52" i="74"/>
  <c r="G53" i="74"/>
  <c r="G54" i="74"/>
  <c r="G55" i="74"/>
  <c r="G56" i="74"/>
  <c r="G57" i="74"/>
  <c r="G58" i="74"/>
  <c r="G59" i="74"/>
  <c r="G60" i="74"/>
  <c r="G61" i="74"/>
  <c r="G62" i="74"/>
  <c r="G63" i="74"/>
  <c r="G64" i="74"/>
  <c r="G65" i="74"/>
  <c r="G66" i="74"/>
  <c r="G67" i="74"/>
  <c r="G68" i="74"/>
  <c r="G69" i="74"/>
  <c r="G70" i="74"/>
  <c r="G71" i="74"/>
  <c r="G72" i="74"/>
  <c r="G73" i="74"/>
  <c r="G74" i="74"/>
  <c r="G75" i="74"/>
  <c r="G76" i="74"/>
  <c r="G77" i="74"/>
  <c r="G78" i="74"/>
  <c r="G79" i="74"/>
  <c r="G80" i="74"/>
  <c r="G81" i="74"/>
  <c r="G82" i="74"/>
  <c r="G83" i="74"/>
  <c r="G84" i="74"/>
  <c r="G85" i="74"/>
  <c r="G86" i="74"/>
  <c r="G87" i="74"/>
  <c r="G88" i="74"/>
  <c r="G89" i="74"/>
  <c r="G90" i="74"/>
  <c r="G91" i="74"/>
  <c r="G92" i="74"/>
  <c r="G93" i="74"/>
  <c r="G94" i="74"/>
  <c r="G95" i="74"/>
  <c r="G96" i="74"/>
  <c r="G97" i="74"/>
  <c r="G98" i="74"/>
  <c r="G99" i="74"/>
  <c r="G100" i="74"/>
  <c r="G101" i="74"/>
  <c r="G102" i="74"/>
  <c r="G103" i="74"/>
  <c r="G104" i="74"/>
  <c r="G105" i="74"/>
  <c r="G106" i="74"/>
  <c r="G107" i="74"/>
  <c r="G108" i="74"/>
  <c r="G109" i="74"/>
  <c r="G110" i="74"/>
  <c r="G111" i="74"/>
  <c r="G112" i="74"/>
  <c r="G113" i="74"/>
  <c r="G114" i="74"/>
  <c r="G115" i="74"/>
  <c r="G116" i="74"/>
  <c r="G117" i="74"/>
  <c r="G118" i="74"/>
  <c r="G119" i="74"/>
  <c r="G120" i="74"/>
  <c r="G121" i="74"/>
  <c r="G122" i="74"/>
  <c r="G123" i="74"/>
  <c r="G124" i="74"/>
  <c r="G125" i="74"/>
  <c r="G126" i="74"/>
  <c r="G127" i="74"/>
  <c r="G128" i="74"/>
  <c r="G129" i="74"/>
  <c r="G130" i="74"/>
  <c r="G131" i="74"/>
  <c r="G132" i="74"/>
  <c r="G133" i="74"/>
  <c r="G134" i="74"/>
  <c r="G135" i="74"/>
  <c r="G136" i="74"/>
  <c r="G137" i="74"/>
  <c r="G138" i="74"/>
  <c r="G139" i="74"/>
  <c r="G140" i="74"/>
  <c r="G141" i="74"/>
  <c r="G142" i="74"/>
  <c r="G143" i="74"/>
  <c r="G144" i="74"/>
  <c r="G145" i="74"/>
  <c r="G146" i="74"/>
  <c r="G147" i="74"/>
  <c r="G148" i="74"/>
  <c r="G149" i="74"/>
  <c r="G150" i="74"/>
  <c r="G151" i="74"/>
  <c r="G152" i="74"/>
  <c r="G153" i="74"/>
  <c r="G154" i="74"/>
  <c r="G155" i="74"/>
  <c r="G156" i="74"/>
  <c r="G157" i="74"/>
  <c r="G158" i="74"/>
  <c r="G159" i="74"/>
  <c r="G160" i="74"/>
  <c r="G161" i="74"/>
  <c r="G162" i="74"/>
  <c r="G163" i="74"/>
  <c r="G164" i="74"/>
  <c r="G165" i="74"/>
  <c r="G166" i="74"/>
  <c r="G167" i="74"/>
  <c r="G168" i="74"/>
  <c r="G169" i="74"/>
  <c r="G170" i="74"/>
  <c r="G171" i="74"/>
  <c r="G172" i="74"/>
  <c r="G173" i="74"/>
  <c r="G174" i="74"/>
  <c r="G175" i="74"/>
  <c r="G176" i="74"/>
  <c r="G177" i="74"/>
  <c r="G178" i="74"/>
  <c r="G179" i="74"/>
  <c r="G180" i="74"/>
  <c r="G181" i="74"/>
  <c r="G182" i="74"/>
  <c r="G183" i="74"/>
  <c r="G184" i="74"/>
  <c r="G185" i="74"/>
  <c r="G186" i="74"/>
  <c r="G187" i="74"/>
  <c r="G188" i="74"/>
  <c r="G189" i="74"/>
  <c r="G190" i="74"/>
  <c r="G191" i="74"/>
  <c r="G192" i="74"/>
  <c r="G193" i="74"/>
  <c r="G194" i="74"/>
  <c r="G195" i="74"/>
  <c r="G196" i="74"/>
  <c r="G197" i="74"/>
  <c r="G198" i="74"/>
  <c r="G199" i="74"/>
  <c r="G200" i="74"/>
  <c r="G201" i="74"/>
  <c r="G202" i="74"/>
  <c r="G203" i="74"/>
  <c r="G204" i="74"/>
  <c r="G205" i="74"/>
  <c r="G206" i="74"/>
  <c r="G207" i="74"/>
  <c r="G208" i="74"/>
  <c r="G209" i="74"/>
  <c r="G210" i="74"/>
  <c r="G211" i="74"/>
  <c r="G212" i="74"/>
  <c r="G213" i="74"/>
  <c r="G214" i="74"/>
  <c r="G215" i="74"/>
  <c r="G216" i="74"/>
  <c r="G217" i="74"/>
  <c r="G218" i="74"/>
  <c r="G219" i="74"/>
  <c r="G220" i="74"/>
  <c r="G221" i="74"/>
  <c r="G222" i="74"/>
  <c r="G223" i="74"/>
  <c r="G224" i="74"/>
  <c r="G225" i="74"/>
  <c r="G226" i="74"/>
  <c r="G227" i="74"/>
  <c r="G228" i="74"/>
  <c r="G229" i="74"/>
  <c r="G230" i="74"/>
  <c r="G231" i="74"/>
  <c r="G232" i="74"/>
  <c r="G233" i="74"/>
  <c r="G234" i="74"/>
  <c r="G235" i="74"/>
  <c r="G236" i="74"/>
  <c r="G237" i="74"/>
  <c r="G238" i="74"/>
  <c r="G239" i="74"/>
  <c r="G240" i="74"/>
  <c r="G241" i="74"/>
  <c r="G242" i="74"/>
  <c r="G243" i="74"/>
  <c r="G244" i="74"/>
  <c r="G245" i="74"/>
  <c r="G246" i="74"/>
  <c r="G247" i="74"/>
  <c r="G248" i="74"/>
  <c r="G249" i="74"/>
  <c r="G250" i="74"/>
  <c r="G251" i="74"/>
  <c r="G252" i="74"/>
  <c r="G253" i="74"/>
  <c r="G254" i="74"/>
  <c r="G255" i="74"/>
  <c r="G256" i="74"/>
  <c r="G257" i="74"/>
  <c r="G258" i="74"/>
  <c r="G259" i="74"/>
  <c r="G260" i="74"/>
  <c r="G261" i="74"/>
  <c r="G262" i="74"/>
  <c r="G263" i="74"/>
  <c r="G264" i="74"/>
  <c r="G265" i="74"/>
  <c r="G266" i="74"/>
  <c r="G267" i="74"/>
  <c r="G268" i="74"/>
  <c r="G269" i="74"/>
  <c r="G270" i="74"/>
  <c r="G271" i="74"/>
  <c r="G272" i="74"/>
  <c r="G273" i="74"/>
  <c r="G274" i="74"/>
  <c r="G275" i="74"/>
  <c r="G276" i="74"/>
  <c r="G277" i="74"/>
  <c r="G278" i="74"/>
  <c r="G279" i="74"/>
  <c r="G280" i="74"/>
  <c r="G281" i="74"/>
  <c r="G282" i="74"/>
  <c r="G283" i="74"/>
  <c r="G284" i="74"/>
  <c r="G285" i="74"/>
  <c r="G286" i="74"/>
  <c r="G287" i="74"/>
  <c r="G288" i="74"/>
  <c r="G289" i="74"/>
  <c r="G290" i="74"/>
  <c r="G291" i="74"/>
  <c r="G292" i="74"/>
  <c r="G293" i="74"/>
  <c r="G294" i="74"/>
  <c r="G295" i="74"/>
  <c r="G296" i="74"/>
  <c r="G297" i="74"/>
  <c r="G298" i="74"/>
  <c r="G299" i="74"/>
  <c r="G300" i="74"/>
  <c r="G301" i="74"/>
  <c r="G302" i="74"/>
  <c r="G303" i="74"/>
  <c r="G304" i="74"/>
  <c r="G305" i="74"/>
  <c r="G306" i="74"/>
  <c r="G307" i="74"/>
  <c r="G308" i="74"/>
  <c r="G309" i="74"/>
  <c r="G310" i="74"/>
  <c r="G311" i="74"/>
  <c r="G312" i="74"/>
  <c r="G313" i="74"/>
  <c r="G314" i="74"/>
  <c r="G315" i="74"/>
  <c r="G316" i="74"/>
  <c r="G317" i="74"/>
  <c r="G318" i="74"/>
  <c r="G319" i="74"/>
  <c r="G320" i="74"/>
  <c r="G321" i="74"/>
  <c r="G322" i="74"/>
  <c r="G323" i="74"/>
  <c r="G324" i="74"/>
  <c r="G325" i="74"/>
  <c r="G326" i="74"/>
  <c r="G327" i="74"/>
  <c r="G328" i="74"/>
  <c r="G329" i="74"/>
  <c r="G330" i="74"/>
  <c r="G331" i="74"/>
  <c r="G332" i="74"/>
  <c r="G333" i="74"/>
  <c r="G334" i="74"/>
  <c r="G335" i="74"/>
  <c r="G336" i="74"/>
  <c r="G337" i="74"/>
  <c r="G338" i="74"/>
  <c r="G339" i="74"/>
  <c r="G340" i="74"/>
  <c r="G341" i="74"/>
  <c r="G342" i="74"/>
  <c r="G343" i="74"/>
  <c r="G344" i="74"/>
  <c r="G345" i="74"/>
  <c r="G346" i="74"/>
  <c r="G347" i="74"/>
  <c r="G348" i="74"/>
  <c r="G349" i="74"/>
  <c r="G350" i="74"/>
  <c r="G351" i="74"/>
  <c r="G352" i="74"/>
  <c r="G353" i="74"/>
  <c r="G354" i="74"/>
  <c r="G355" i="74"/>
  <c r="G356" i="74"/>
  <c r="G357" i="74"/>
  <c r="G358" i="74"/>
  <c r="G359" i="74"/>
  <c r="G360" i="74"/>
  <c r="G361" i="74"/>
  <c r="G362" i="74"/>
  <c r="G363" i="74"/>
  <c r="G364" i="74"/>
  <c r="G365" i="74"/>
  <c r="G366" i="74"/>
  <c r="G367" i="74"/>
  <c r="G368" i="74"/>
  <c r="G369" i="74"/>
  <c r="G370" i="74"/>
  <c r="G371" i="74"/>
  <c r="G372" i="74"/>
  <c r="G373" i="74"/>
  <c r="G374" i="74"/>
  <c r="G375" i="74"/>
  <c r="G376" i="74"/>
  <c r="G377" i="74"/>
  <c r="G378" i="74"/>
  <c r="G379" i="74"/>
  <c r="G380" i="74"/>
  <c r="G381" i="74"/>
  <c r="G382" i="74"/>
  <c r="G383" i="74"/>
  <c r="G384" i="74"/>
  <c r="G385" i="74"/>
  <c r="G386" i="74"/>
  <c r="G387" i="74"/>
  <c r="G388" i="74"/>
  <c r="G389" i="74"/>
  <c r="G390" i="74"/>
  <c r="G391" i="74"/>
  <c r="G392" i="74"/>
  <c r="G393" i="74"/>
  <c r="G394" i="74"/>
  <c r="G395" i="74"/>
  <c r="G396" i="74"/>
  <c r="G397" i="74"/>
  <c r="G398" i="74"/>
  <c r="G399" i="74"/>
  <c r="G400" i="74"/>
  <c r="G401" i="74"/>
  <c r="G402" i="74"/>
  <c r="G403" i="74"/>
  <c r="G404" i="74"/>
  <c r="G405" i="74"/>
  <c r="G406" i="74"/>
  <c r="G407" i="74"/>
  <c r="G408" i="74"/>
  <c r="G409" i="74"/>
  <c r="G410" i="74"/>
  <c r="G411" i="74"/>
  <c r="G412" i="74"/>
  <c r="G413" i="74"/>
  <c r="G414" i="74"/>
  <c r="G415" i="74"/>
  <c r="G416" i="74"/>
  <c r="G417" i="74"/>
  <c r="G418" i="74"/>
  <c r="G419" i="74"/>
  <c r="G420" i="74"/>
  <c r="G421" i="74"/>
  <c r="G422" i="74"/>
  <c r="G423" i="74"/>
  <c r="G424" i="74"/>
  <c r="G425" i="74"/>
  <c r="G426" i="74"/>
  <c r="G427" i="74"/>
  <c r="G428" i="74"/>
  <c r="G429" i="74"/>
  <c r="G430" i="74"/>
  <c r="G431" i="74"/>
  <c r="G432" i="74"/>
  <c r="G433" i="74"/>
  <c r="G434" i="74"/>
  <c r="G435" i="74"/>
  <c r="G436" i="74"/>
  <c r="G437" i="74"/>
  <c r="G438" i="74"/>
  <c r="G439" i="74"/>
  <c r="G440" i="74"/>
  <c r="G441" i="74"/>
  <c r="G442" i="74"/>
  <c r="G443" i="74"/>
  <c r="G444" i="74"/>
  <c r="G445" i="74"/>
  <c r="G446" i="74"/>
  <c r="G447" i="74"/>
  <c r="G448" i="74"/>
  <c r="G449" i="74"/>
  <c r="G450" i="74"/>
  <c r="G451" i="74"/>
  <c r="G452" i="74"/>
  <c r="G453" i="74"/>
  <c r="G454" i="74"/>
  <c r="G455" i="74"/>
  <c r="G456" i="74"/>
  <c r="G457" i="74"/>
  <c r="G458" i="74"/>
  <c r="G459" i="74"/>
  <c r="G460" i="74"/>
  <c r="G461" i="74"/>
  <c r="G462" i="74"/>
  <c r="G463" i="74"/>
  <c r="G464" i="74"/>
  <c r="G465" i="74"/>
  <c r="G466" i="74"/>
  <c r="G467" i="74"/>
  <c r="G468" i="74"/>
  <c r="G469" i="74"/>
  <c r="G470" i="74"/>
  <c r="G471" i="74"/>
  <c r="G472" i="74"/>
  <c r="G473" i="74"/>
  <c r="G474" i="74"/>
  <c r="G475" i="74"/>
  <c r="G476" i="74"/>
  <c r="G477" i="74"/>
  <c r="G478" i="74"/>
  <c r="G479" i="74"/>
  <c r="G480" i="74"/>
  <c r="G481" i="74"/>
  <c r="G482" i="74"/>
  <c r="G483" i="74"/>
  <c r="G484" i="74"/>
  <c r="G485" i="74"/>
  <c r="G486" i="74"/>
  <c r="G487" i="74"/>
  <c r="G488" i="74"/>
  <c r="G489" i="74"/>
  <c r="G490" i="74"/>
  <c r="G491" i="74"/>
  <c r="G492" i="74"/>
  <c r="G493" i="74"/>
  <c r="G494" i="74"/>
  <c r="G495" i="74"/>
  <c r="G496" i="74"/>
  <c r="G497" i="74"/>
  <c r="G498" i="74"/>
  <c r="G499" i="74"/>
  <c r="G500" i="74"/>
  <c r="G501" i="74"/>
  <c r="G502" i="74"/>
  <c r="G503" i="74"/>
  <c r="G504" i="74"/>
  <c r="G505" i="74"/>
  <c r="G506" i="74"/>
  <c r="G507" i="74"/>
  <c r="G508" i="74"/>
  <c r="G509" i="74"/>
  <c r="G510" i="74"/>
  <c r="G511" i="74"/>
  <c r="G512" i="74"/>
  <c r="G513" i="74"/>
  <c r="G514" i="74"/>
  <c r="G515" i="74"/>
  <c r="G516" i="74"/>
  <c r="G517" i="74"/>
  <c r="G518" i="74"/>
  <c r="G519" i="74"/>
  <c r="G520" i="74"/>
  <c r="G521" i="74"/>
  <c r="G522" i="74"/>
  <c r="G523" i="74"/>
  <c r="G524" i="74"/>
  <c r="G525" i="74"/>
  <c r="G526" i="74"/>
  <c r="G527" i="74"/>
  <c r="G528" i="74"/>
  <c r="G529" i="74"/>
  <c r="G530" i="74"/>
  <c r="G531" i="74"/>
  <c r="G532" i="74"/>
  <c r="G533" i="74"/>
  <c r="G534" i="74"/>
  <c r="G535" i="74"/>
  <c r="G536" i="74"/>
  <c r="G537" i="74"/>
  <c r="G538" i="74"/>
  <c r="G539" i="74"/>
  <c r="G540" i="74"/>
  <c r="G541" i="74"/>
  <c r="G542" i="74"/>
  <c r="G543" i="74"/>
  <c r="G544" i="74"/>
  <c r="G545" i="74"/>
  <c r="G546" i="74"/>
  <c r="G547" i="74"/>
  <c r="G548" i="74"/>
  <c r="G549" i="74"/>
  <c r="G550" i="74"/>
  <c r="G551" i="74"/>
  <c r="G552" i="74"/>
  <c r="G553" i="74"/>
  <c r="G554" i="74"/>
  <c r="G555" i="74"/>
  <c r="G556" i="74"/>
  <c r="G557" i="74"/>
  <c r="G558" i="74"/>
  <c r="G559" i="74"/>
  <c r="G560" i="74"/>
  <c r="G561" i="74"/>
  <c r="G562" i="74"/>
  <c r="G563" i="74"/>
  <c r="G564" i="74"/>
  <c r="G565" i="74"/>
  <c r="G566" i="74"/>
  <c r="G567" i="74"/>
  <c r="G568" i="74"/>
  <c r="G569" i="74"/>
  <c r="G570" i="74"/>
  <c r="G571" i="74"/>
  <c r="G572" i="74"/>
  <c r="G573" i="74"/>
  <c r="G574" i="74"/>
  <c r="G575" i="74"/>
  <c r="G576" i="74"/>
  <c r="G577" i="74"/>
  <c r="G578" i="74"/>
  <c r="G579" i="74"/>
  <c r="G580" i="74"/>
  <c r="G581" i="74"/>
  <c r="G582" i="74"/>
  <c r="G583" i="74"/>
  <c r="G584" i="74"/>
  <c r="G585" i="74"/>
  <c r="G586" i="74"/>
  <c r="G587" i="74"/>
  <c r="G588" i="74"/>
  <c r="G589" i="74"/>
  <c r="G590" i="74"/>
  <c r="G591" i="74"/>
  <c r="G592" i="74"/>
  <c r="G593" i="74"/>
  <c r="G594" i="74"/>
  <c r="G595" i="74"/>
  <c r="G596" i="74"/>
  <c r="G597" i="74"/>
  <c r="G598" i="74"/>
  <c r="G599" i="74"/>
  <c r="G600" i="74"/>
  <c r="G601" i="74"/>
  <c r="G602" i="74"/>
  <c r="G603" i="74"/>
  <c r="G604" i="74"/>
  <c r="G605" i="74"/>
  <c r="G606" i="74"/>
  <c r="G607" i="74"/>
  <c r="G608" i="74"/>
  <c r="G609" i="74"/>
  <c r="G610" i="74"/>
  <c r="G611" i="74"/>
  <c r="G612" i="74"/>
  <c r="G613" i="74"/>
  <c r="G614" i="74"/>
  <c r="G615" i="74"/>
  <c r="G616" i="74"/>
  <c r="G617" i="74"/>
  <c r="G618" i="74"/>
  <c r="G619" i="74"/>
  <c r="G620" i="74"/>
  <c r="G621" i="74"/>
  <c r="G622" i="74"/>
  <c r="G623" i="74"/>
  <c r="G624" i="74"/>
  <c r="G625" i="74"/>
  <c r="G626" i="74"/>
  <c r="G627" i="74"/>
  <c r="G628" i="74"/>
  <c r="G629" i="74"/>
  <c r="G630" i="74"/>
  <c r="G631" i="74"/>
  <c r="G632" i="74"/>
  <c r="G633" i="74"/>
  <c r="G634" i="74"/>
  <c r="G635" i="74"/>
  <c r="G636" i="74"/>
  <c r="G637" i="74"/>
  <c r="G638" i="74"/>
  <c r="G639" i="74"/>
  <c r="G640" i="74"/>
  <c r="G641" i="74"/>
  <c r="G642" i="74"/>
  <c r="G643" i="74"/>
  <c r="G644" i="74"/>
  <c r="G645" i="74"/>
  <c r="G646" i="74"/>
  <c r="G647" i="74"/>
  <c r="G648" i="74"/>
  <c r="G649" i="74"/>
  <c r="G650" i="74"/>
  <c r="G651" i="74"/>
  <c r="G652" i="74"/>
  <c r="G653" i="74"/>
  <c r="G654" i="74"/>
  <c r="G655" i="74"/>
  <c r="G656" i="74"/>
  <c r="G657" i="74"/>
  <c r="G658" i="74"/>
  <c r="G659" i="74"/>
  <c r="G660" i="74"/>
  <c r="G661" i="74"/>
  <c r="G662" i="74"/>
  <c r="G663" i="74"/>
  <c r="G664" i="74"/>
  <c r="G665" i="74"/>
  <c r="G666" i="74"/>
  <c r="G667" i="74"/>
  <c r="G668" i="74"/>
  <c r="G669" i="74"/>
  <c r="G670" i="74"/>
  <c r="G671" i="74"/>
  <c r="G672" i="74"/>
  <c r="G673" i="74"/>
  <c r="G674" i="74"/>
  <c r="G675" i="74"/>
  <c r="G676" i="74"/>
  <c r="G677" i="74"/>
  <c r="G678" i="74"/>
  <c r="G679" i="74"/>
  <c r="G680" i="74"/>
  <c r="G681" i="74"/>
  <c r="G682" i="74"/>
  <c r="G683" i="74"/>
  <c r="G684" i="74"/>
  <c r="G685" i="74"/>
  <c r="G686" i="74"/>
  <c r="G687" i="74"/>
  <c r="G688" i="74"/>
  <c r="G689" i="74"/>
  <c r="G690" i="74"/>
  <c r="G691" i="74"/>
  <c r="G692" i="74"/>
  <c r="G693" i="74"/>
  <c r="G694" i="74"/>
  <c r="G695" i="74"/>
  <c r="G696" i="74"/>
  <c r="G697" i="74"/>
  <c r="G698" i="74"/>
  <c r="G699" i="74"/>
  <c r="G700" i="74"/>
  <c r="G701" i="74"/>
  <c r="G702" i="74"/>
  <c r="G703" i="74"/>
  <c r="G704" i="74"/>
  <c r="G705" i="74"/>
  <c r="G706" i="74"/>
  <c r="G707" i="74"/>
  <c r="G708" i="74"/>
  <c r="G709" i="74"/>
  <c r="G710" i="74"/>
  <c r="G711" i="74"/>
  <c r="G712" i="74"/>
  <c r="G713" i="74"/>
  <c r="G714" i="74"/>
  <c r="G715" i="74"/>
  <c r="G716" i="74"/>
  <c r="G717" i="74"/>
  <c r="G718" i="74"/>
  <c r="G719" i="74"/>
  <c r="G720" i="74"/>
  <c r="G721" i="74"/>
  <c r="G722" i="74"/>
  <c r="G723" i="74"/>
  <c r="G724" i="74"/>
  <c r="G725" i="74"/>
  <c r="G726" i="74"/>
  <c r="G727" i="74"/>
  <c r="G728" i="74"/>
  <c r="G729" i="74"/>
  <c r="G730" i="74"/>
  <c r="G731" i="74"/>
  <c r="G732" i="74"/>
  <c r="G733" i="74"/>
  <c r="G734" i="74"/>
  <c r="G735" i="74"/>
  <c r="G736" i="74"/>
  <c r="G737" i="74"/>
  <c r="G738" i="74"/>
  <c r="G739" i="74"/>
  <c r="G740" i="74"/>
  <c r="G741" i="74"/>
  <c r="G742" i="74"/>
  <c r="G743" i="74"/>
  <c r="G744" i="74"/>
  <c r="G745" i="74"/>
  <c r="G746" i="74"/>
  <c r="G747" i="74"/>
  <c r="G748" i="74"/>
  <c r="G749" i="74"/>
  <c r="G750" i="74"/>
  <c r="G751" i="74"/>
  <c r="G752" i="74"/>
  <c r="G753" i="74"/>
  <c r="G754" i="74"/>
  <c r="G755" i="74"/>
  <c r="G756" i="74"/>
  <c r="G757" i="74"/>
  <c r="G758" i="74"/>
  <c r="G759" i="74"/>
  <c r="G760" i="74"/>
  <c r="G761" i="74"/>
  <c r="G762" i="74"/>
  <c r="G763" i="74"/>
  <c r="G764" i="74"/>
  <c r="G765" i="74"/>
  <c r="G766" i="74"/>
  <c r="G767" i="74"/>
  <c r="G768" i="74"/>
  <c r="G769" i="74"/>
  <c r="G770" i="74"/>
  <c r="G771" i="74"/>
  <c r="G772" i="74"/>
  <c r="G773" i="74"/>
  <c r="G774" i="74"/>
  <c r="G775" i="74"/>
  <c r="G776" i="74"/>
  <c r="G777" i="74"/>
  <c r="G778" i="74"/>
  <c r="G779" i="74"/>
  <c r="G780" i="74"/>
  <c r="G781" i="74"/>
  <c r="G782" i="74"/>
  <c r="G783" i="74"/>
  <c r="G784" i="74"/>
  <c r="G785" i="74"/>
  <c r="G786" i="74"/>
  <c r="G787" i="74"/>
  <c r="G788" i="74"/>
  <c r="G789" i="74"/>
  <c r="G790" i="74"/>
  <c r="G791" i="74"/>
  <c r="G792" i="74"/>
  <c r="G793" i="74"/>
  <c r="G794" i="74"/>
  <c r="G795" i="74"/>
  <c r="G796" i="74"/>
  <c r="G797" i="74"/>
  <c r="G798" i="74"/>
  <c r="G799" i="74"/>
  <c r="G800" i="74"/>
  <c r="G801" i="74"/>
  <c r="G802" i="74"/>
  <c r="G803" i="74"/>
  <c r="G804" i="74"/>
  <c r="G805" i="74"/>
  <c r="G806" i="74"/>
  <c r="G807" i="74"/>
  <c r="G808" i="74"/>
  <c r="G809" i="74"/>
  <c r="G810" i="74"/>
  <c r="G811" i="74"/>
  <c r="G812" i="74"/>
  <c r="G813" i="74"/>
  <c r="G814" i="74"/>
  <c r="G815" i="74"/>
  <c r="G816" i="74"/>
  <c r="G817" i="74"/>
  <c r="G818" i="74"/>
  <c r="G819" i="74"/>
  <c r="G820" i="74"/>
  <c r="G821" i="74"/>
  <c r="G822" i="74"/>
  <c r="G823" i="74"/>
  <c r="G824" i="74"/>
  <c r="G825" i="74"/>
  <c r="G826" i="74"/>
  <c r="G827" i="74"/>
  <c r="G828" i="74"/>
  <c r="G829" i="74"/>
  <c r="G830" i="74"/>
  <c r="G831" i="74"/>
  <c r="G832" i="74"/>
  <c r="G833" i="74"/>
  <c r="G834" i="74"/>
  <c r="G835" i="74"/>
  <c r="G836" i="74"/>
  <c r="G837" i="74"/>
  <c r="G838" i="74"/>
  <c r="G839" i="74"/>
  <c r="G840" i="74"/>
  <c r="G841" i="74"/>
  <c r="G842" i="74"/>
  <c r="G843" i="74"/>
  <c r="G844" i="74"/>
  <c r="G845" i="74"/>
  <c r="G846" i="74"/>
  <c r="G847" i="74"/>
  <c r="G848" i="74"/>
  <c r="G849" i="74"/>
  <c r="G850" i="74"/>
  <c r="G851" i="74"/>
  <c r="G852" i="74"/>
  <c r="G853" i="74"/>
  <c r="G854" i="74"/>
  <c r="G855" i="74"/>
  <c r="G856" i="74"/>
  <c r="G857" i="74"/>
  <c r="G858" i="74"/>
  <c r="G859" i="74"/>
  <c r="G860" i="74"/>
  <c r="G861" i="74"/>
  <c r="G862" i="74"/>
  <c r="G863" i="74"/>
  <c r="G864" i="74"/>
  <c r="G865" i="74"/>
  <c r="G866" i="74"/>
  <c r="G867" i="74"/>
  <c r="G868" i="74"/>
  <c r="G869" i="74"/>
  <c r="G870" i="74"/>
  <c r="G871" i="74"/>
  <c r="G872" i="74"/>
  <c r="G873" i="74"/>
  <c r="G874" i="74"/>
  <c r="G875" i="74"/>
  <c r="G876" i="74"/>
  <c r="G877" i="74"/>
  <c r="G878" i="74"/>
  <c r="G879" i="74"/>
  <c r="G880" i="74"/>
  <c r="G881" i="74"/>
  <c r="G882" i="74"/>
  <c r="G883" i="74"/>
  <c r="G884" i="74"/>
  <c r="G885" i="74"/>
  <c r="G886" i="74"/>
  <c r="G887" i="74"/>
  <c r="G19" i="74"/>
  <c r="D25" i="79"/>
  <c r="D26" i="79"/>
  <c r="D27" i="79"/>
  <c r="D28" i="79"/>
  <c r="D15" i="79"/>
  <c r="D16" i="79"/>
  <c r="D17" i="79"/>
  <c r="D18" i="79"/>
  <c r="D19" i="79"/>
  <c r="D20" i="79"/>
  <c r="D21" i="79"/>
  <c r="D22" i="79"/>
  <c r="D23" i="79"/>
  <c r="D24" i="79"/>
  <c r="D14" i="79"/>
  <c r="E7" i="79" l="1"/>
  <c r="E6" i="79"/>
  <c r="C7" i="78" l="1"/>
  <c r="C6" i="78"/>
  <c r="E19" i="61" l="1"/>
  <c r="E106" i="61"/>
  <c r="E104" i="61"/>
  <c r="E103" i="61"/>
  <c r="E102" i="61"/>
  <c r="E101" i="61"/>
  <c r="E100" i="61"/>
  <c r="E99" i="61"/>
  <c r="E94" i="61"/>
  <c r="E93" i="61"/>
  <c r="E92" i="61"/>
  <c r="E91" i="61"/>
  <c r="E90" i="61"/>
  <c r="E89" i="61"/>
  <c r="J88" i="61"/>
  <c r="E88" i="61"/>
  <c r="J87" i="61"/>
  <c r="E87" i="61"/>
  <c r="J86" i="61"/>
  <c r="E86" i="61"/>
  <c r="J85" i="61"/>
  <c r="E85" i="61"/>
  <c r="J84" i="61"/>
  <c r="E84" i="61"/>
  <c r="J83" i="61"/>
  <c r="E83" i="61"/>
  <c r="J82" i="61"/>
  <c r="E82" i="61"/>
  <c r="J81" i="61"/>
  <c r="E81" i="61"/>
  <c r="J80" i="61"/>
  <c r="E80" i="61"/>
  <c r="J79" i="61"/>
  <c r="E79" i="61"/>
  <c r="J78" i="61"/>
  <c r="E78" i="61"/>
  <c r="J77" i="61"/>
  <c r="E77" i="61"/>
  <c r="E76" i="61"/>
  <c r="E75" i="61"/>
  <c r="E74" i="61"/>
  <c r="E73" i="61"/>
  <c r="E72" i="61"/>
  <c r="E71" i="61"/>
  <c r="E70" i="61"/>
  <c r="E69" i="61"/>
  <c r="E68" i="61"/>
  <c r="J67" i="61"/>
  <c r="E67" i="61"/>
  <c r="J66" i="61"/>
  <c r="E66" i="61"/>
  <c r="J65" i="61"/>
  <c r="E65" i="61"/>
  <c r="J64" i="61"/>
  <c r="E64" i="61"/>
  <c r="J63" i="61"/>
  <c r="E63" i="61"/>
  <c r="J62" i="61"/>
  <c r="E62" i="61"/>
  <c r="J61" i="61"/>
  <c r="E61" i="61"/>
  <c r="J60" i="61"/>
  <c r="E60" i="61"/>
  <c r="J59" i="61"/>
  <c r="E59" i="61"/>
  <c r="J58" i="61"/>
  <c r="E58" i="61"/>
  <c r="J57" i="61"/>
  <c r="E57" i="61"/>
  <c r="J56" i="61"/>
  <c r="E56" i="61"/>
  <c r="J55" i="61"/>
  <c r="J54" i="61"/>
  <c r="J53" i="61"/>
  <c r="J52" i="61"/>
  <c r="J51" i="61"/>
  <c r="E51" i="61"/>
  <c r="J50" i="61"/>
  <c r="E50" i="61"/>
  <c r="J49" i="61"/>
  <c r="E49" i="61"/>
  <c r="J48" i="61"/>
  <c r="E48" i="61"/>
  <c r="J47" i="61"/>
  <c r="E47" i="61"/>
  <c r="J46" i="61"/>
  <c r="E46" i="61"/>
  <c r="J45" i="61"/>
  <c r="E45" i="61"/>
  <c r="J44" i="61"/>
  <c r="E44" i="61"/>
  <c r="J43" i="61"/>
  <c r="J42" i="61"/>
  <c r="E42" i="61"/>
  <c r="J41" i="61"/>
  <c r="E41" i="61"/>
  <c r="J40" i="61"/>
  <c r="E40" i="61"/>
  <c r="J39" i="61"/>
  <c r="E39" i="61"/>
  <c r="J38" i="61"/>
  <c r="E38" i="61"/>
  <c r="J37" i="61"/>
  <c r="E37" i="61"/>
  <c r="J36" i="61"/>
  <c r="E36" i="61"/>
  <c r="J35" i="61"/>
  <c r="E35" i="61"/>
  <c r="J34" i="61"/>
  <c r="J33" i="61"/>
  <c r="E33" i="61"/>
  <c r="J32" i="61"/>
  <c r="E32" i="61"/>
  <c r="J31" i="61"/>
  <c r="E31" i="61"/>
  <c r="J30" i="61"/>
  <c r="E30" i="61"/>
  <c r="J29" i="61"/>
  <c r="E29" i="61"/>
  <c r="J28" i="61"/>
  <c r="E28" i="61"/>
  <c r="J27" i="61"/>
  <c r="E27" i="61"/>
  <c r="E16" i="61"/>
  <c r="J26" i="61"/>
  <c r="E26" i="61"/>
  <c r="J25" i="61"/>
  <c r="J24" i="61"/>
  <c r="E24" i="61"/>
  <c r="J23" i="61"/>
  <c r="E23" i="61"/>
  <c r="J22" i="61"/>
  <c r="E22" i="61"/>
  <c r="E21" i="61"/>
  <c r="E20" i="61"/>
  <c r="E18" i="61"/>
  <c r="J17" i="61"/>
  <c r="E17" i="61"/>
  <c r="J16" i="61"/>
  <c r="J101" i="61" l="1"/>
  <c r="J102" i="61"/>
  <c r="J98" i="61"/>
  <c r="AG20" i="74"/>
  <c r="AG21" i="74"/>
  <c r="AG22" i="74"/>
  <c r="AG23" i="74"/>
  <c r="AG24" i="74"/>
  <c r="AG25" i="74"/>
  <c r="AG26" i="74"/>
  <c r="AG27" i="74"/>
  <c r="AG28" i="74"/>
  <c r="AG29" i="74"/>
  <c r="AG30" i="74"/>
  <c r="AG31" i="74"/>
  <c r="AG32" i="74"/>
  <c r="AG33" i="74"/>
  <c r="AG34" i="74"/>
  <c r="AG35" i="74"/>
  <c r="AG36" i="74"/>
  <c r="AG37" i="74"/>
  <c r="AG38" i="74"/>
  <c r="AG39" i="74"/>
  <c r="AG40" i="74"/>
  <c r="AG41" i="74"/>
  <c r="AG42" i="74"/>
  <c r="AG43" i="74"/>
  <c r="AG44" i="74"/>
  <c r="AG45" i="74"/>
  <c r="AG46" i="74"/>
  <c r="AG47" i="74"/>
  <c r="AG48" i="74"/>
  <c r="AG49" i="74"/>
  <c r="AG50" i="74"/>
  <c r="AG51" i="74"/>
  <c r="AG52" i="74"/>
  <c r="AG53" i="74"/>
  <c r="AG54" i="74"/>
  <c r="AG55" i="74"/>
  <c r="AG56" i="74"/>
  <c r="AG57" i="74"/>
  <c r="AG58" i="74"/>
  <c r="AG59" i="74"/>
  <c r="AG60" i="74"/>
  <c r="AG61" i="74"/>
  <c r="AG62" i="74"/>
  <c r="AG63" i="74"/>
  <c r="AG64" i="74"/>
  <c r="AG65" i="74"/>
  <c r="AG66" i="74"/>
  <c r="AG67" i="74"/>
  <c r="AG68" i="74"/>
  <c r="AG69" i="74"/>
  <c r="AG70" i="74"/>
  <c r="AG71" i="74"/>
  <c r="AG72" i="74"/>
  <c r="AG73" i="74"/>
  <c r="AG74" i="74"/>
  <c r="AG75" i="74"/>
  <c r="AG76" i="74"/>
  <c r="AG77" i="74"/>
  <c r="AG78" i="74"/>
  <c r="AG79" i="74"/>
  <c r="AG80" i="74"/>
  <c r="AG81" i="74"/>
  <c r="AG82" i="74"/>
  <c r="AG83" i="74"/>
  <c r="AG84" i="74"/>
  <c r="AG85" i="74"/>
  <c r="AG86" i="74"/>
  <c r="AG87" i="74"/>
  <c r="AG88" i="74"/>
  <c r="AG89" i="74"/>
  <c r="AG90" i="74"/>
  <c r="AG91" i="74"/>
  <c r="AG92" i="74"/>
  <c r="AG93" i="74"/>
  <c r="AG94" i="74"/>
  <c r="AG95" i="74"/>
  <c r="AG96" i="74"/>
  <c r="AG97" i="74"/>
  <c r="AG98" i="74"/>
  <c r="AG99" i="74"/>
  <c r="AG100" i="74"/>
  <c r="AG101" i="74"/>
  <c r="AG102" i="74"/>
  <c r="AG103" i="74"/>
  <c r="AG104" i="74"/>
  <c r="AG105" i="74"/>
  <c r="AG106" i="74"/>
  <c r="AG107" i="74"/>
  <c r="AG108" i="74"/>
  <c r="AG109" i="74"/>
  <c r="AG110" i="74"/>
  <c r="AG111" i="74"/>
  <c r="AG112" i="74"/>
  <c r="AG113" i="74"/>
  <c r="AG114" i="74"/>
  <c r="AG115" i="74"/>
  <c r="AG116" i="74"/>
  <c r="AG117" i="74"/>
  <c r="AG118" i="74"/>
  <c r="AG119" i="74"/>
  <c r="AG120" i="74"/>
  <c r="AG121" i="74"/>
  <c r="AG122" i="74"/>
  <c r="AG123" i="74"/>
  <c r="AG124" i="74"/>
  <c r="AG125" i="74"/>
  <c r="AG126" i="74"/>
  <c r="AG127" i="74"/>
  <c r="AG128" i="74"/>
  <c r="AG129" i="74"/>
  <c r="AG130" i="74"/>
  <c r="AG131" i="74"/>
  <c r="AG132" i="74"/>
  <c r="AG133" i="74"/>
  <c r="AG134" i="74"/>
  <c r="AG135" i="74"/>
  <c r="AG136" i="74"/>
  <c r="AG137" i="74"/>
  <c r="AG138" i="74"/>
  <c r="AG139" i="74"/>
  <c r="AG140" i="74"/>
  <c r="AG141" i="74"/>
  <c r="AG142" i="74"/>
  <c r="AG143" i="74"/>
  <c r="AG144" i="74"/>
  <c r="AG145" i="74"/>
  <c r="AG146" i="74"/>
  <c r="AG147" i="74"/>
  <c r="AG148" i="74"/>
  <c r="AG149" i="74"/>
  <c r="AG150" i="74"/>
  <c r="AG151" i="74"/>
  <c r="AG152" i="74"/>
  <c r="AG153" i="74"/>
  <c r="AG154" i="74"/>
  <c r="AG155" i="74"/>
  <c r="AG156" i="74"/>
  <c r="AG157" i="74"/>
  <c r="AG158" i="74"/>
  <c r="AG159" i="74"/>
  <c r="AG160" i="74"/>
  <c r="AG161" i="74"/>
  <c r="AG162" i="74"/>
  <c r="AG163" i="74"/>
  <c r="AG164" i="74"/>
  <c r="AG165" i="74"/>
  <c r="AG166" i="74"/>
  <c r="AG167" i="74"/>
  <c r="AG168" i="74"/>
  <c r="AG169" i="74"/>
  <c r="AG170" i="74"/>
  <c r="AG171" i="74"/>
  <c r="AG172" i="74"/>
  <c r="AG173" i="74"/>
  <c r="AG174" i="74"/>
  <c r="AG175" i="74"/>
  <c r="AG176" i="74"/>
  <c r="AG177" i="74"/>
  <c r="AG178" i="74"/>
  <c r="AG179" i="74"/>
  <c r="AG180" i="74"/>
  <c r="AG181" i="74"/>
  <c r="AG182" i="74"/>
  <c r="AG183" i="74"/>
  <c r="AG184" i="74"/>
  <c r="AG185" i="74"/>
  <c r="AG186" i="74"/>
  <c r="AG187" i="74"/>
  <c r="AG188" i="74"/>
  <c r="AG189" i="74"/>
  <c r="AG190" i="74"/>
  <c r="AG191" i="74"/>
  <c r="AG192" i="74"/>
  <c r="AG193" i="74"/>
  <c r="AG194" i="74"/>
  <c r="AG195" i="74"/>
  <c r="AG196" i="74"/>
  <c r="AG197" i="74"/>
  <c r="AG198" i="74"/>
  <c r="AG199" i="74"/>
  <c r="AG200" i="74"/>
  <c r="AG201" i="74"/>
  <c r="AG202" i="74"/>
  <c r="AG203" i="74"/>
  <c r="AG204" i="74"/>
  <c r="AG205" i="74"/>
  <c r="AG206" i="74"/>
  <c r="AG207" i="74"/>
  <c r="AG208" i="74"/>
  <c r="AG209" i="74"/>
  <c r="AG210" i="74"/>
  <c r="AG211" i="74"/>
  <c r="AG212" i="74"/>
  <c r="AG213" i="74"/>
  <c r="AG214" i="74"/>
  <c r="AG215" i="74"/>
  <c r="AG216" i="74"/>
  <c r="AG217" i="74"/>
  <c r="AG218" i="74"/>
  <c r="AG219" i="74"/>
  <c r="AG220" i="74"/>
  <c r="AG221" i="74"/>
  <c r="AG222" i="74"/>
  <c r="AG223" i="74"/>
  <c r="AG224" i="74"/>
  <c r="AG225" i="74"/>
  <c r="AG226" i="74"/>
  <c r="AG227" i="74"/>
  <c r="AG228" i="74"/>
  <c r="AG229" i="74"/>
  <c r="AG230" i="74"/>
  <c r="AG231" i="74"/>
  <c r="AG232" i="74"/>
  <c r="AG233" i="74"/>
  <c r="AG234" i="74"/>
  <c r="AG235" i="74"/>
  <c r="AG236" i="74"/>
  <c r="AG237" i="74"/>
  <c r="AG238" i="74"/>
  <c r="AG239" i="74"/>
  <c r="AG240" i="74"/>
  <c r="AG241" i="74"/>
  <c r="AG242" i="74"/>
  <c r="AG243" i="74"/>
  <c r="AG244" i="74"/>
  <c r="AG245" i="74"/>
  <c r="AG246" i="74"/>
  <c r="AG247" i="74"/>
  <c r="AG248" i="74"/>
  <c r="AG249" i="74"/>
  <c r="AG250" i="74"/>
  <c r="AG251" i="74"/>
  <c r="AG252" i="74"/>
  <c r="AG253" i="74"/>
  <c r="AG254" i="74"/>
  <c r="AG255" i="74"/>
  <c r="AG256" i="74"/>
  <c r="AG257" i="74"/>
  <c r="AG258" i="74"/>
  <c r="AG259" i="74"/>
  <c r="AG260" i="74"/>
  <c r="AG261" i="74"/>
  <c r="AG262" i="74"/>
  <c r="AG263" i="74"/>
  <c r="AG264" i="74"/>
  <c r="AG265" i="74"/>
  <c r="AG266" i="74"/>
  <c r="AG267" i="74"/>
  <c r="AG268" i="74"/>
  <c r="AG269" i="74"/>
  <c r="AG270" i="74"/>
  <c r="AG271" i="74"/>
  <c r="AG272" i="74"/>
  <c r="AG273" i="74"/>
  <c r="AG274" i="74"/>
  <c r="AG275" i="74"/>
  <c r="AG276" i="74"/>
  <c r="AG277" i="74"/>
  <c r="AG278" i="74"/>
  <c r="AG279" i="74"/>
  <c r="AG280" i="74"/>
  <c r="AG281" i="74"/>
  <c r="AG282" i="74"/>
  <c r="AG283" i="74"/>
  <c r="AG284" i="74"/>
  <c r="AG285" i="74"/>
  <c r="AG286" i="74"/>
  <c r="AG287" i="74"/>
  <c r="AG288" i="74"/>
  <c r="AG289" i="74"/>
  <c r="AG290" i="74"/>
  <c r="AG291" i="74"/>
  <c r="AG292" i="74"/>
  <c r="AG293" i="74"/>
  <c r="AG294" i="74"/>
  <c r="AG295" i="74"/>
  <c r="AG296" i="74"/>
  <c r="AG297" i="74"/>
  <c r="AG298" i="74"/>
  <c r="AG299" i="74"/>
  <c r="AG300" i="74"/>
  <c r="AG301" i="74"/>
  <c r="AG302" i="74"/>
  <c r="AG303" i="74"/>
  <c r="AG304" i="74"/>
  <c r="AG305" i="74"/>
  <c r="AG306" i="74"/>
  <c r="AG307" i="74"/>
  <c r="AG308" i="74"/>
  <c r="AG309" i="74"/>
  <c r="AG310" i="74"/>
  <c r="AG311" i="74"/>
  <c r="AG312" i="74"/>
  <c r="AG313" i="74"/>
  <c r="AG314" i="74"/>
  <c r="AG315" i="74"/>
  <c r="AG316" i="74"/>
  <c r="AG317" i="74"/>
  <c r="AG318" i="74"/>
  <c r="AG319" i="74"/>
  <c r="AG320" i="74"/>
  <c r="AG321" i="74"/>
  <c r="AG322" i="74"/>
  <c r="AG323" i="74"/>
  <c r="AG324" i="74"/>
  <c r="AG325" i="74"/>
  <c r="AG326" i="74"/>
  <c r="AG327" i="74"/>
  <c r="AG328" i="74"/>
  <c r="AG329" i="74"/>
  <c r="AG330" i="74"/>
  <c r="AG331" i="74"/>
  <c r="AG332" i="74"/>
  <c r="AG333" i="74"/>
  <c r="AG334" i="74"/>
  <c r="AG335" i="74"/>
  <c r="AG336" i="74"/>
  <c r="AG337" i="74"/>
  <c r="AG338" i="74"/>
  <c r="AG339" i="74"/>
  <c r="AG340" i="74"/>
  <c r="AG341" i="74"/>
  <c r="AG342" i="74"/>
  <c r="AG343" i="74"/>
  <c r="AG344" i="74"/>
  <c r="AG345" i="74"/>
  <c r="AG346" i="74"/>
  <c r="AG347" i="74"/>
  <c r="AG348" i="74"/>
  <c r="AG349" i="74"/>
  <c r="AG350" i="74"/>
  <c r="AG351" i="74"/>
  <c r="AG352" i="74"/>
  <c r="AG353" i="74"/>
  <c r="AG354" i="74"/>
  <c r="AG355" i="74"/>
  <c r="AG356" i="74"/>
  <c r="AG357" i="74"/>
  <c r="AG358" i="74"/>
  <c r="AG359" i="74"/>
  <c r="AG360" i="74"/>
  <c r="AG361" i="74"/>
  <c r="AG362" i="74"/>
  <c r="AG363" i="74"/>
  <c r="AG364" i="74"/>
  <c r="AG365" i="74"/>
  <c r="AG366" i="74"/>
  <c r="AG367" i="74"/>
  <c r="AG368" i="74"/>
  <c r="AG369" i="74"/>
  <c r="AG370" i="74"/>
  <c r="AG371" i="74"/>
  <c r="AG372" i="74"/>
  <c r="AG373" i="74"/>
  <c r="AG374" i="74"/>
  <c r="AG375" i="74"/>
  <c r="AG376" i="74"/>
  <c r="AG377" i="74"/>
  <c r="AG378" i="74"/>
  <c r="AG379" i="74"/>
  <c r="AG380" i="74"/>
  <c r="AG381" i="74"/>
  <c r="AG382" i="74"/>
  <c r="AG383" i="74"/>
  <c r="AG384" i="74"/>
  <c r="AG385" i="74"/>
  <c r="AG386" i="74"/>
  <c r="AG387" i="74"/>
  <c r="AG388" i="74"/>
  <c r="AG389" i="74"/>
  <c r="AG390" i="74"/>
  <c r="AG391" i="74"/>
  <c r="AG392" i="74"/>
  <c r="AG393" i="74"/>
  <c r="AG394" i="74"/>
  <c r="AG395" i="74"/>
  <c r="AG396" i="74"/>
  <c r="AG397" i="74"/>
  <c r="AG398" i="74"/>
  <c r="AG399" i="74"/>
  <c r="AG400" i="74"/>
  <c r="AG401" i="74"/>
  <c r="AG402" i="74"/>
  <c r="AG403" i="74"/>
  <c r="AG404" i="74"/>
  <c r="AG405" i="74"/>
  <c r="AG406" i="74"/>
  <c r="AG407" i="74"/>
  <c r="AG408" i="74"/>
  <c r="AG409" i="74"/>
  <c r="AG410" i="74"/>
  <c r="AG411" i="74"/>
  <c r="AG412" i="74"/>
  <c r="AG413" i="74"/>
  <c r="AG414" i="74"/>
  <c r="AG415" i="74"/>
  <c r="AG416" i="74"/>
  <c r="AG417" i="74"/>
  <c r="AG418" i="74"/>
  <c r="AG419" i="74"/>
  <c r="AG420" i="74"/>
  <c r="AG421" i="74"/>
  <c r="AG422" i="74"/>
  <c r="AG423" i="74"/>
  <c r="AG424" i="74"/>
  <c r="AG425" i="74"/>
  <c r="AG426" i="74"/>
  <c r="AG427" i="74"/>
  <c r="AG428" i="74"/>
  <c r="AG429" i="74"/>
  <c r="AG430" i="74"/>
  <c r="AG431" i="74"/>
  <c r="AG432" i="74"/>
  <c r="AG433" i="74"/>
  <c r="AG434" i="74"/>
  <c r="AG435" i="74"/>
  <c r="AG436" i="74"/>
  <c r="AG437" i="74"/>
  <c r="AG438" i="74"/>
  <c r="AG439" i="74"/>
  <c r="AG440" i="74"/>
  <c r="AG441" i="74"/>
  <c r="AG442" i="74"/>
  <c r="AG443" i="74"/>
  <c r="AG444" i="74"/>
  <c r="AG445" i="74"/>
  <c r="AG446" i="74"/>
  <c r="AG447" i="74"/>
  <c r="AG448" i="74"/>
  <c r="AG449" i="74"/>
  <c r="AG450" i="74"/>
  <c r="AG451" i="74"/>
  <c r="AG452" i="74"/>
  <c r="AG453" i="74"/>
  <c r="AG454" i="74"/>
  <c r="AG455" i="74"/>
  <c r="AG456" i="74"/>
  <c r="AG457" i="74"/>
  <c r="AG458" i="74"/>
  <c r="AG459" i="74"/>
  <c r="AG460" i="74"/>
  <c r="AG461" i="74"/>
  <c r="AG462" i="74"/>
  <c r="AG463" i="74"/>
  <c r="AG464" i="74"/>
  <c r="AG465" i="74"/>
  <c r="AG466" i="74"/>
  <c r="AG467" i="74"/>
  <c r="AG468" i="74"/>
  <c r="AG469" i="74"/>
  <c r="AG470" i="74"/>
  <c r="AG471" i="74"/>
  <c r="AG472" i="74"/>
  <c r="AG473" i="74"/>
  <c r="AG474" i="74"/>
  <c r="AG475" i="74"/>
  <c r="AG476" i="74"/>
  <c r="AG477" i="74"/>
  <c r="AG478" i="74"/>
  <c r="AG479" i="74"/>
  <c r="AG480" i="74"/>
  <c r="AG481" i="74"/>
  <c r="AG482" i="74"/>
  <c r="AG483" i="74"/>
  <c r="AG484" i="74"/>
  <c r="AG485" i="74"/>
  <c r="AG486" i="74"/>
  <c r="AG487" i="74"/>
  <c r="AG488" i="74"/>
  <c r="AG489" i="74"/>
  <c r="AG490" i="74"/>
  <c r="AG491" i="74"/>
  <c r="AG492" i="74"/>
  <c r="AG493" i="74"/>
  <c r="AG494" i="74"/>
  <c r="AG495" i="74"/>
  <c r="AG496" i="74"/>
  <c r="AG497" i="74"/>
  <c r="AG498" i="74"/>
  <c r="AG499" i="74"/>
  <c r="AG500" i="74"/>
  <c r="AG501" i="74"/>
  <c r="AG502" i="74"/>
  <c r="AG503" i="74"/>
  <c r="AG504" i="74"/>
  <c r="AG505" i="74"/>
  <c r="AG506" i="74"/>
  <c r="AG507" i="74"/>
  <c r="AG508" i="74"/>
  <c r="AG509" i="74"/>
  <c r="AG510" i="74"/>
  <c r="AG511" i="74"/>
  <c r="AG512" i="74"/>
  <c r="AG513" i="74"/>
  <c r="AG514" i="74"/>
  <c r="AG515" i="74"/>
  <c r="AG516" i="74"/>
  <c r="AG517" i="74"/>
  <c r="AG518" i="74"/>
  <c r="AG519" i="74"/>
  <c r="AG520" i="74"/>
  <c r="AG521" i="74"/>
  <c r="AG522" i="74"/>
  <c r="AG523" i="74"/>
  <c r="AG524" i="74"/>
  <c r="AG525" i="74"/>
  <c r="AG526" i="74"/>
  <c r="AG527" i="74"/>
  <c r="AG528" i="74"/>
  <c r="AG529" i="74"/>
  <c r="AG530" i="74"/>
  <c r="AG531" i="74"/>
  <c r="AG532" i="74"/>
  <c r="AG533" i="74"/>
  <c r="AG534" i="74"/>
  <c r="AG535" i="74"/>
  <c r="AG536" i="74"/>
  <c r="AG537" i="74"/>
  <c r="AG538" i="74"/>
  <c r="AG539" i="74"/>
  <c r="AG540" i="74"/>
  <c r="AG541" i="74"/>
  <c r="AG542" i="74"/>
  <c r="AG543" i="74"/>
  <c r="AG544" i="74"/>
  <c r="AG545" i="74"/>
  <c r="AG546" i="74"/>
  <c r="AG547" i="74"/>
  <c r="AG548" i="74"/>
  <c r="AG549" i="74"/>
  <c r="AG550" i="74"/>
  <c r="AG551" i="74"/>
  <c r="AG552" i="74"/>
  <c r="AG553" i="74"/>
  <c r="AG554" i="74"/>
  <c r="AG555" i="74"/>
  <c r="AG556" i="74"/>
  <c r="AG557" i="74"/>
  <c r="AG558" i="74"/>
  <c r="AG559" i="74"/>
  <c r="AG560" i="74"/>
  <c r="AG561" i="74"/>
  <c r="AG562" i="74"/>
  <c r="AG563" i="74"/>
  <c r="AG564" i="74"/>
  <c r="AG565" i="74"/>
  <c r="AG566" i="74"/>
  <c r="AG567" i="74"/>
  <c r="AG568" i="74"/>
  <c r="AG569" i="74"/>
  <c r="AG570" i="74"/>
  <c r="AG571" i="74"/>
  <c r="AG572" i="74"/>
  <c r="AG573" i="74"/>
  <c r="AG574" i="74"/>
  <c r="AG575" i="74"/>
  <c r="AG576" i="74"/>
  <c r="AG577" i="74"/>
  <c r="AG578" i="74"/>
  <c r="AG579" i="74"/>
  <c r="AG580" i="74"/>
  <c r="AG581" i="74"/>
  <c r="AG582" i="74"/>
  <c r="AG583" i="74"/>
  <c r="AG584" i="74"/>
  <c r="AG585" i="74"/>
  <c r="AG586" i="74"/>
  <c r="AG587" i="74"/>
  <c r="AG588" i="74"/>
  <c r="AG589" i="74"/>
  <c r="AG590" i="74"/>
  <c r="AG591" i="74"/>
  <c r="AG592" i="74"/>
  <c r="AG593" i="74"/>
  <c r="AG594" i="74"/>
  <c r="AG595" i="74"/>
  <c r="AG596" i="74"/>
  <c r="AG597" i="74"/>
  <c r="AG598" i="74"/>
  <c r="AG599" i="74"/>
  <c r="AG600" i="74"/>
  <c r="AG601" i="74"/>
  <c r="AG602" i="74"/>
  <c r="AG603" i="74"/>
  <c r="AG604" i="74"/>
  <c r="AG605" i="74"/>
  <c r="AG606" i="74"/>
  <c r="AG607" i="74"/>
  <c r="AG608" i="74"/>
  <c r="AG609" i="74"/>
  <c r="AG610" i="74"/>
  <c r="AG611" i="74"/>
  <c r="AG612" i="74"/>
  <c r="AG613" i="74"/>
  <c r="AG614" i="74"/>
  <c r="AG615" i="74"/>
  <c r="AG616" i="74"/>
  <c r="AG617" i="74"/>
  <c r="AG618" i="74"/>
  <c r="AG619" i="74"/>
  <c r="AG620" i="74"/>
  <c r="AG621" i="74"/>
  <c r="AG622" i="74"/>
  <c r="AG623" i="74"/>
  <c r="AG624" i="74"/>
  <c r="AG625" i="74"/>
  <c r="AG626" i="74"/>
  <c r="AG627" i="74"/>
  <c r="AG628" i="74"/>
  <c r="AG629" i="74"/>
  <c r="AG630" i="74"/>
  <c r="AG631" i="74"/>
  <c r="AG632" i="74"/>
  <c r="AG633" i="74"/>
  <c r="AG634" i="74"/>
  <c r="AG635" i="74"/>
  <c r="AG636" i="74"/>
  <c r="AG637" i="74"/>
  <c r="AG638" i="74"/>
  <c r="AG639" i="74"/>
  <c r="AG640" i="74"/>
  <c r="AG641" i="74"/>
  <c r="AG642" i="74"/>
  <c r="AG643" i="74"/>
  <c r="AG644" i="74"/>
  <c r="AG645" i="74"/>
  <c r="AG646" i="74"/>
  <c r="AG647" i="74"/>
  <c r="AG648" i="74"/>
  <c r="AG649" i="74"/>
  <c r="AG650" i="74"/>
  <c r="AG651" i="74"/>
  <c r="AG652" i="74"/>
  <c r="AG653" i="74"/>
  <c r="AG654" i="74"/>
  <c r="AG655" i="74"/>
  <c r="AG656" i="74"/>
  <c r="AG657" i="74"/>
  <c r="AG658" i="74"/>
  <c r="AG659" i="74"/>
  <c r="AG660" i="74"/>
  <c r="AG661" i="74"/>
  <c r="AG662" i="74"/>
  <c r="AG663" i="74"/>
  <c r="AG664" i="74"/>
  <c r="AG665" i="74"/>
  <c r="AG666" i="74"/>
  <c r="AG667" i="74"/>
  <c r="AG668" i="74"/>
  <c r="AG669" i="74"/>
  <c r="AG670" i="74"/>
  <c r="AG671" i="74"/>
  <c r="AG672" i="74"/>
  <c r="AG673" i="74"/>
  <c r="AG674" i="74"/>
  <c r="AG675" i="74"/>
  <c r="AG676" i="74"/>
  <c r="AG677" i="74"/>
  <c r="AG678" i="74"/>
  <c r="AG679" i="74"/>
  <c r="AG680" i="74"/>
  <c r="AG681" i="74"/>
  <c r="AG682" i="74"/>
  <c r="AG683" i="74"/>
  <c r="AG684" i="74"/>
  <c r="AG685" i="74"/>
  <c r="AG686" i="74"/>
  <c r="AG687" i="74"/>
  <c r="AG688" i="74"/>
  <c r="AG689" i="74"/>
  <c r="AG690" i="74"/>
  <c r="AG691" i="74"/>
  <c r="AG692" i="74"/>
  <c r="AG693" i="74"/>
  <c r="AG694" i="74"/>
  <c r="AG695" i="74"/>
  <c r="AG696" i="74"/>
  <c r="AG697" i="74"/>
  <c r="AG698" i="74"/>
  <c r="AG699" i="74"/>
  <c r="AG700" i="74"/>
  <c r="AG701" i="74"/>
  <c r="AG702" i="74"/>
  <c r="AG703" i="74"/>
  <c r="AG704" i="74"/>
  <c r="AG705" i="74"/>
  <c r="AG706" i="74"/>
  <c r="AG707" i="74"/>
  <c r="AG708" i="74"/>
  <c r="AG709" i="74"/>
  <c r="AG710" i="74"/>
  <c r="AG711" i="74"/>
  <c r="AG712" i="74"/>
  <c r="AG713" i="74"/>
  <c r="AG714" i="74"/>
  <c r="AG715" i="74"/>
  <c r="AG716" i="74"/>
  <c r="AG717" i="74"/>
  <c r="AG718" i="74"/>
  <c r="AG719" i="74"/>
  <c r="AG720" i="74"/>
  <c r="AG721" i="74"/>
  <c r="AG722" i="74"/>
  <c r="AG723" i="74"/>
  <c r="AG724" i="74"/>
  <c r="AG725" i="74"/>
  <c r="AG726" i="74"/>
  <c r="AG727" i="74"/>
  <c r="AG728" i="74"/>
  <c r="AG729" i="74"/>
  <c r="AG730" i="74"/>
  <c r="AG731" i="74"/>
  <c r="AG732" i="74"/>
  <c r="AG733" i="74"/>
  <c r="AG734" i="74"/>
  <c r="AG735" i="74"/>
  <c r="AG736" i="74"/>
  <c r="AG737" i="74"/>
  <c r="AG738" i="74"/>
  <c r="AG739" i="74"/>
  <c r="AG740" i="74"/>
  <c r="AG741" i="74"/>
  <c r="AG742" i="74"/>
  <c r="AG743" i="74"/>
  <c r="AG744" i="74"/>
  <c r="AG745" i="74"/>
  <c r="AG746" i="74"/>
  <c r="AG747" i="74"/>
  <c r="AG748" i="74"/>
  <c r="AG749" i="74"/>
  <c r="AG750" i="74"/>
  <c r="AG751" i="74"/>
  <c r="AG752" i="74"/>
  <c r="AG753" i="74"/>
  <c r="AG754" i="74"/>
  <c r="AG755" i="74"/>
  <c r="AG756" i="74"/>
  <c r="AG757" i="74"/>
  <c r="AG758" i="74"/>
  <c r="AG759" i="74"/>
  <c r="AG760" i="74"/>
  <c r="AG761" i="74"/>
  <c r="AG762" i="74"/>
  <c r="AG763" i="74"/>
  <c r="AG764" i="74"/>
  <c r="AG765" i="74"/>
  <c r="AG766" i="74"/>
  <c r="AG767" i="74"/>
  <c r="AG768" i="74"/>
  <c r="AG769" i="74"/>
  <c r="AG770" i="74"/>
  <c r="AG771" i="74"/>
  <c r="AG772" i="74"/>
  <c r="AG773" i="74"/>
  <c r="AG774" i="74"/>
  <c r="AG775" i="74"/>
  <c r="AG776" i="74"/>
  <c r="AG777" i="74"/>
  <c r="AG778" i="74"/>
  <c r="AG779" i="74"/>
  <c r="AG780" i="74"/>
  <c r="AG781" i="74"/>
  <c r="AG782" i="74"/>
  <c r="AG783" i="74"/>
  <c r="AG784" i="74"/>
  <c r="AG785" i="74"/>
  <c r="AG786" i="74"/>
  <c r="AG787" i="74"/>
  <c r="AG788" i="74"/>
  <c r="AG789" i="74"/>
  <c r="AG790" i="74"/>
  <c r="AG791" i="74"/>
  <c r="AG792" i="74"/>
  <c r="AG793" i="74"/>
  <c r="AG794" i="74"/>
  <c r="AG795" i="74"/>
  <c r="AG796" i="74"/>
  <c r="AG797" i="74"/>
  <c r="AG798" i="74"/>
  <c r="AG799" i="74"/>
  <c r="AG800" i="74"/>
  <c r="AG801" i="74"/>
  <c r="AG802" i="74"/>
  <c r="AG803" i="74"/>
  <c r="AG804" i="74"/>
  <c r="AG805" i="74"/>
  <c r="AG806" i="74"/>
  <c r="AG807" i="74"/>
  <c r="AG808" i="74"/>
  <c r="AG809" i="74"/>
  <c r="AG810" i="74"/>
  <c r="AG811" i="74"/>
  <c r="AG812" i="74"/>
  <c r="AG813" i="74"/>
  <c r="AG814" i="74"/>
  <c r="AG815" i="74"/>
  <c r="AG816" i="74"/>
  <c r="AG817" i="74"/>
  <c r="AG818" i="74"/>
  <c r="AG819" i="74"/>
  <c r="AG820" i="74"/>
  <c r="AG821" i="74"/>
  <c r="AG822" i="74"/>
  <c r="AG823" i="74"/>
  <c r="AG824" i="74"/>
  <c r="AG825" i="74"/>
  <c r="AG826" i="74"/>
  <c r="AG827" i="74"/>
  <c r="AG828" i="74"/>
  <c r="AG829" i="74"/>
  <c r="AG830" i="74"/>
  <c r="AG831" i="74"/>
  <c r="AG832" i="74"/>
  <c r="AG833" i="74"/>
  <c r="AG834" i="74"/>
  <c r="AG835" i="74"/>
  <c r="AG836" i="74"/>
  <c r="AG837" i="74"/>
  <c r="AG838" i="74"/>
  <c r="AG839" i="74"/>
  <c r="AG840" i="74"/>
  <c r="AG841" i="74"/>
  <c r="AG842" i="74"/>
  <c r="AG843" i="74"/>
  <c r="AG844" i="74"/>
  <c r="AG845" i="74"/>
  <c r="AG846" i="74"/>
  <c r="AG847" i="74"/>
  <c r="AG848" i="74"/>
  <c r="AG849" i="74"/>
  <c r="AG850" i="74"/>
  <c r="AG851" i="74"/>
  <c r="AG852" i="74"/>
  <c r="AG853" i="74"/>
  <c r="AG854" i="74"/>
  <c r="AG855" i="74"/>
  <c r="AG856" i="74"/>
  <c r="AG857" i="74"/>
  <c r="AG858" i="74"/>
  <c r="AG859" i="74"/>
  <c r="AG860" i="74"/>
  <c r="AG861" i="74"/>
  <c r="AG862" i="74"/>
  <c r="AG863" i="74"/>
  <c r="AG864" i="74"/>
  <c r="AG865" i="74"/>
  <c r="AG866" i="74"/>
  <c r="AG867" i="74"/>
  <c r="AG868" i="74"/>
  <c r="AG869" i="74"/>
  <c r="AG870" i="74"/>
  <c r="AG871" i="74"/>
  <c r="AG872" i="74"/>
  <c r="AG873" i="74"/>
  <c r="AG874" i="74"/>
  <c r="AG875" i="74"/>
  <c r="AG876" i="74"/>
  <c r="AG877" i="74"/>
  <c r="AG878" i="74"/>
  <c r="AG879" i="74"/>
  <c r="AG880" i="74"/>
  <c r="AG881" i="74"/>
  <c r="AG882" i="74"/>
  <c r="AG883" i="74"/>
  <c r="AG884" i="74"/>
  <c r="AG885" i="74"/>
  <c r="AG886" i="74"/>
  <c r="AG887" i="74"/>
  <c r="AG19" i="74"/>
  <c r="AE19" i="74" a="1"/>
  <c r="AE19" i="74" l="1"/>
  <c r="E5" i="74"/>
  <c r="L887" i="74"/>
  <c r="J887" i="74"/>
  <c r="E887" i="74"/>
  <c r="L886" i="74"/>
  <c r="J886" i="74"/>
  <c r="K886" i="74" s="1"/>
  <c r="M886" i="74" s="1"/>
  <c r="E886" i="74"/>
  <c r="AH886" i="74" s="1"/>
  <c r="L885" i="74"/>
  <c r="E885" i="74" s="1"/>
  <c r="J885" i="74"/>
  <c r="L884" i="74"/>
  <c r="J884" i="74"/>
  <c r="E884" i="74"/>
  <c r="L883" i="74"/>
  <c r="E883" i="74" s="1"/>
  <c r="J883" i="74"/>
  <c r="L882" i="74"/>
  <c r="E882" i="74" s="1"/>
  <c r="J882" i="74"/>
  <c r="L881" i="74"/>
  <c r="E881" i="74" s="1"/>
  <c r="J881" i="74"/>
  <c r="L880" i="74"/>
  <c r="J880" i="74"/>
  <c r="E880" i="74"/>
  <c r="L879" i="74"/>
  <c r="E879" i="74" s="1"/>
  <c r="AH879" i="74" s="1"/>
  <c r="J879" i="74"/>
  <c r="L878" i="74"/>
  <c r="E878" i="74" s="1"/>
  <c r="AH878" i="74" s="1"/>
  <c r="J878" i="74"/>
  <c r="L877" i="74"/>
  <c r="E877" i="74" s="1"/>
  <c r="J877" i="74"/>
  <c r="L876" i="74"/>
  <c r="J876" i="74"/>
  <c r="E876" i="74"/>
  <c r="L875" i="74"/>
  <c r="J875" i="74"/>
  <c r="E875" i="74"/>
  <c r="L874" i="74"/>
  <c r="J874" i="74"/>
  <c r="E874" i="74"/>
  <c r="L873" i="74"/>
  <c r="E873" i="74" s="1"/>
  <c r="AH873" i="74" s="1"/>
  <c r="J873" i="74"/>
  <c r="L872" i="74"/>
  <c r="E872" i="74" s="1"/>
  <c r="J872" i="74"/>
  <c r="L871" i="74"/>
  <c r="E871" i="74" s="1"/>
  <c r="J871" i="74"/>
  <c r="L870" i="74"/>
  <c r="E870" i="74" s="1"/>
  <c r="J870" i="74"/>
  <c r="L869" i="74"/>
  <c r="J869" i="74"/>
  <c r="E869" i="74"/>
  <c r="L868" i="74"/>
  <c r="E868" i="74" s="1"/>
  <c r="J868" i="74"/>
  <c r="L867" i="74"/>
  <c r="E867" i="74" s="1"/>
  <c r="J867" i="74"/>
  <c r="L866" i="74"/>
  <c r="E866" i="74" s="1"/>
  <c r="AH866" i="74" s="1"/>
  <c r="J866" i="74"/>
  <c r="L865" i="74"/>
  <c r="J865" i="74"/>
  <c r="E865" i="74"/>
  <c r="L864" i="74"/>
  <c r="E864" i="74" s="1"/>
  <c r="J864" i="74"/>
  <c r="L863" i="74"/>
  <c r="J863" i="74"/>
  <c r="E863" i="74"/>
  <c r="L862" i="74"/>
  <c r="J862" i="74"/>
  <c r="E862" i="74"/>
  <c r="L861" i="74"/>
  <c r="E861" i="74" s="1"/>
  <c r="J861" i="74"/>
  <c r="L860" i="74"/>
  <c r="E860" i="74" s="1"/>
  <c r="AH860" i="74" s="1"/>
  <c r="J860" i="74"/>
  <c r="L859" i="74"/>
  <c r="E859" i="74" s="1"/>
  <c r="AH859" i="74" s="1"/>
  <c r="K859" i="74"/>
  <c r="M859" i="74" s="1"/>
  <c r="J859" i="74"/>
  <c r="L858" i="74"/>
  <c r="E858" i="74" s="1"/>
  <c r="J858" i="74"/>
  <c r="L857" i="74"/>
  <c r="E857" i="74" s="1"/>
  <c r="J857" i="74"/>
  <c r="L856" i="74"/>
  <c r="J856" i="74"/>
  <c r="E856" i="74"/>
  <c r="L855" i="74"/>
  <c r="E855" i="74" s="1"/>
  <c r="AH855" i="74" s="1"/>
  <c r="K855" i="74"/>
  <c r="M855" i="74" s="1"/>
  <c r="J855" i="74"/>
  <c r="L854" i="74"/>
  <c r="E854" i="74" s="1"/>
  <c r="J854" i="74"/>
  <c r="L853" i="74"/>
  <c r="J853" i="74"/>
  <c r="E853" i="74"/>
  <c r="L852" i="74"/>
  <c r="E852" i="74" s="1"/>
  <c r="J852" i="74"/>
  <c r="L851" i="74"/>
  <c r="J851" i="74"/>
  <c r="E851" i="74"/>
  <c r="AH851" i="74" s="1"/>
  <c r="L850" i="74"/>
  <c r="E850" i="74" s="1"/>
  <c r="J850" i="74"/>
  <c r="L849" i="74"/>
  <c r="E849" i="74" s="1"/>
  <c r="J849" i="74"/>
  <c r="L848" i="74"/>
  <c r="E848" i="74" s="1"/>
  <c r="J848" i="74"/>
  <c r="L847" i="74"/>
  <c r="E847" i="74" s="1"/>
  <c r="AH847" i="74" s="1"/>
  <c r="K847" i="74"/>
  <c r="M847" i="74" s="1"/>
  <c r="J847" i="74"/>
  <c r="L846" i="74"/>
  <c r="E846" i="74" s="1"/>
  <c r="AH846" i="74" s="1"/>
  <c r="J846" i="74"/>
  <c r="L845" i="74"/>
  <c r="J845" i="74"/>
  <c r="E845" i="74"/>
  <c r="L844" i="74"/>
  <c r="E844" i="74" s="1"/>
  <c r="J844" i="74"/>
  <c r="L843" i="74"/>
  <c r="E843" i="74" s="1"/>
  <c r="J843" i="74"/>
  <c r="L842" i="74"/>
  <c r="E842" i="74" s="1"/>
  <c r="J842" i="74"/>
  <c r="L841" i="74"/>
  <c r="J841" i="74"/>
  <c r="E841" i="74"/>
  <c r="L840" i="74"/>
  <c r="J840" i="74"/>
  <c r="E840" i="74"/>
  <c r="L839" i="74"/>
  <c r="E839" i="74" s="1"/>
  <c r="J839" i="74"/>
  <c r="L838" i="74"/>
  <c r="J838" i="74"/>
  <c r="E838" i="74"/>
  <c r="L837" i="74"/>
  <c r="E837" i="74" s="1"/>
  <c r="J837" i="74"/>
  <c r="L836" i="74"/>
  <c r="E836" i="74" s="1"/>
  <c r="AH836" i="74" s="1"/>
  <c r="J836" i="74"/>
  <c r="L835" i="74"/>
  <c r="J835" i="74"/>
  <c r="E835" i="74"/>
  <c r="L834" i="74"/>
  <c r="E834" i="74" s="1"/>
  <c r="J834" i="74"/>
  <c r="L833" i="74"/>
  <c r="E833" i="74" s="1"/>
  <c r="J833" i="74"/>
  <c r="L832" i="74"/>
  <c r="E832" i="74" s="1"/>
  <c r="AH832" i="74" s="1"/>
  <c r="J832" i="74"/>
  <c r="L831" i="74"/>
  <c r="E831" i="74" s="1"/>
  <c r="AH831" i="74" s="1"/>
  <c r="J831" i="74"/>
  <c r="L830" i="74"/>
  <c r="E830" i="74" s="1"/>
  <c r="J830" i="74"/>
  <c r="L829" i="74"/>
  <c r="E829" i="74" s="1"/>
  <c r="AH829" i="74" s="1"/>
  <c r="J829" i="74"/>
  <c r="L828" i="74"/>
  <c r="J828" i="74"/>
  <c r="E828" i="74"/>
  <c r="AH828" i="74" s="1"/>
  <c r="L827" i="74"/>
  <c r="J827" i="74"/>
  <c r="E827" i="74"/>
  <c r="L826" i="74"/>
  <c r="E826" i="74" s="1"/>
  <c r="AH826" i="74" s="1"/>
  <c r="J826" i="74"/>
  <c r="L825" i="74"/>
  <c r="E825" i="74" s="1"/>
  <c r="J825" i="74"/>
  <c r="L824" i="74"/>
  <c r="E824" i="74" s="1"/>
  <c r="J824" i="74"/>
  <c r="L823" i="74"/>
  <c r="E823" i="74" s="1"/>
  <c r="AH823" i="74" s="1"/>
  <c r="J823" i="74"/>
  <c r="K823" i="74" s="1"/>
  <c r="M823" i="74" s="1"/>
  <c r="L822" i="74"/>
  <c r="J822" i="74"/>
  <c r="E822" i="74"/>
  <c r="L821" i="74"/>
  <c r="J821" i="74"/>
  <c r="E821" i="74"/>
  <c r="L820" i="74"/>
  <c r="E820" i="74" s="1"/>
  <c r="J820" i="74"/>
  <c r="L819" i="74"/>
  <c r="E819" i="74" s="1"/>
  <c r="J819" i="74"/>
  <c r="L818" i="74"/>
  <c r="E818" i="74" s="1"/>
  <c r="J818" i="74"/>
  <c r="L817" i="74"/>
  <c r="J817" i="74"/>
  <c r="E817" i="74"/>
  <c r="L816" i="74"/>
  <c r="E816" i="74" s="1"/>
  <c r="J816" i="74"/>
  <c r="L815" i="74"/>
  <c r="J815" i="74"/>
  <c r="E815" i="74"/>
  <c r="AH815" i="74" s="1"/>
  <c r="L814" i="74"/>
  <c r="E814" i="74" s="1"/>
  <c r="AH814" i="74" s="1"/>
  <c r="J814" i="74"/>
  <c r="K814" i="74" s="1"/>
  <c r="M814" i="74" s="1"/>
  <c r="L813" i="74"/>
  <c r="E813" i="74" s="1"/>
  <c r="J813" i="74"/>
  <c r="L812" i="74"/>
  <c r="J812" i="74"/>
  <c r="E812" i="74"/>
  <c r="L811" i="74"/>
  <c r="E811" i="74" s="1"/>
  <c r="J811" i="74"/>
  <c r="L810" i="74"/>
  <c r="E810" i="74" s="1"/>
  <c r="J810" i="74"/>
  <c r="L809" i="74"/>
  <c r="E809" i="74" s="1"/>
  <c r="AH809" i="74" s="1"/>
  <c r="J809" i="74"/>
  <c r="K809" i="74" s="1"/>
  <c r="M809" i="74" s="1"/>
  <c r="L808" i="74"/>
  <c r="J808" i="74"/>
  <c r="E808" i="74"/>
  <c r="L807" i="74"/>
  <c r="E807" i="74" s="1"/>
  <c r="AH807" i="74" s="1"/>
  <c r="J807" i="74"/>
  <c r="L806" i="74"/>
  <c r="E806" i="74" s="1"/>
  <c r="J806" i="74"/>
  <c r="L805" i="74"/>
  <c r="J805" i="74"/>
  <c r="E805" i="74"/>
  <c r="L804" i="74"/>
  <c r="E804" i="74" s="1"/>
  <c r="J804" i="74"/>
  <c r="L803" i="74"/>
  <c r="J803" i="74"/>
  <c r="E803" i="74"/>
  <c r="AH803" i="74" s="1"/>
  <c r="L802" i="74"/>
  <c r="E802" i="74" s="1"/>
  <c r="J802" i="74"/>
  <c r="L801" i="74"/>
  <c r="E801" i="74" s="1"/>
  <c r="J801" i="74"/>
  <c r="L800" i="74"/>
  <c r="E800" i="74" s="1"/>
  <c r="J800" i="74"/>
  <c r="L799" i="74"/>
  <c r="J799" i="74"/>
  <c r="E799" i="74"/>
  <c r="L798" i="74"/>
  <c r="E798" i="74" s="1"/>
  <c r="J798" i="74"/>
  <c r="L797" i="74"/>
  <c r="E797" i="74" s="1"/>
  <c r="J797" i="74"/>
  <c r="L796" i="74"/>
  <c r="E796" i="74" s="1"/>
  <c r="AH796" i="74" s="1"/>
  <c r="J796" i="74"/>
  <c r="K796" i="74" s="1"/>
  <c r="M796" i="74" s="1"/>
  <c r="L795" i="74"/>
  <c r="E795" i="74" s="1"/>
  <c r="AH795" i="74" s="1"/>
  <c r="J795" i="74"/>
  <c r="L794" i="74"/>
  <c r="E794" i="74" s="1"/>
  <c r="AH794" i="74" s="1"/>
  <c r="J794" i="74"/>
  <c r="L793" i="74"/>
  <c r="J793" i="74"/>
  <c r="E793" i="74"/>
  <c r="L792" i="74"/>
  <c r="E792" i="74" s="1"/>
  <c r="J792" i="74"/>
  <c r="L791" i="74"/>
  <c r="J791" i="74"/>
  <c r="E791" i="74"/>
  <c r="L790" i="74"/>
  <c r="E790" i="74" s="1"/>
  <c r="AH790" i="74" s="1"/>
  <c r="J790" i="74"/>
  <c r="L789" i="74"/>
  <c r="E789" i="74" s="1"/>
  <c r="J789" i="74"/>
  <c r="L788" i="74"/>
  <c r="J788" i="74"/>
  <c r="E788" i="74"/>
  <c r="L787" i="74"/>
  <c r="E787" i="74" s="1"/>
  <c r="J787" i="74"/>
  <c r="L786" i="74"/>
  <c r="J786" i="74"/>
  <c r="E786" i="74"/>
  <c r="L785" i="74"/>
  <c r="E785" i="74" s="1"/>
  <c r="AH785" i="74" s="1"/>
  <c r="J785" i="74"/>
  <c r="K785" i="74" s="1"/>
  <c r="M785" i="74" s="1"/>
  <c r="L784" i="74"/>
  <c r="J784" i="74"/>
  <c r="E784" i="74"/>
  <c r="L783" i="74"/>
  <c r="E783" i="74" s="1"/>
  <c r="AH783" i="74" s="1"/>
  <c r="J783" i="74"/>
  <c r="K783" i="74" s="1"/>
  <c r="M783" i="74" s="1"/>
  <c r="L782" i="74"/>
  <c r="E782" i="74" s="1"/>
  <c r="AH782" i="74" s="1"/>
  <c r="J782" i="74"/>
  <c r="L781" i="74"/>
  <c r="E781" i="74" s="1"/>
  <c r="J781" i="74"/>
  <c r="L780" i="74"/>
  <c r="J780" i="74"/>
  <c r="E780" i="74"/>
  <c r="L779" i="74"/>
  <c r="J779" i="74"/>
  <c r="E779" i="74"/>
  <c r="AH779" i="74" s="1"/>
  <c r="L778" i="74"/>
  <c r="E778" i="74" s="1"/>
  <c r="AH778" i="74" s="1"/>
  <c r="J778" i="74"/>
  <c r="L777" i="74"/>
  <c r="J777" i="74"/>
  <c r="E777" i="74"/>
  <c r="L776" i="74"/>
  <c r="E776" i="74" s="1"/>
  <c r="J776" i="74"/>
  <c r="L775" i="74"/>
  <c r="E775" i="74" s="1"/>
  <c r="J775" i="74"/>
  <c r="L774" i="74"/>
  <c r="E774" i="74" s="1"/>
  <c r="AH774" i="74" s="1"/>
  <c r="J774" i="74"/>
  <c r="K774" i="74" s="1"/>
  <c r="M774" i="74" s="1"/>
  <c r="L773" i="74"/>
  <c r="J773" i="74"/>
  <c r="E773" i="74"/>
  <c r="L772" i="74"/>
  <c r="E772" i="74" s="1"/>
  <c r="J772" i="74"/>
  <c r="L771" i="74"/>
  <c r="E771" i="74" s="1"/>
  <c r="J771" i="74"/>
  <c r="L770" i="74"/>
  <c r="E770" i="74" s="1"/>
  <c r="AH770" i="74" s="1"/>
  <c r="K770" i="74"/>
  <c r="M770" i="74" s="1"/>
  <c r="J770" i="74"/>
  <c r="L769" i="74"/>
  <c r="E769" i="74" s="1"/>
  <c r="AH769" i="74" s="1"/>
  <c r="K769" i="74"/>
  <c r="M769" i="74" s="1"/>
  <c r="J769" i="74"/>
  <c r="L768" i="74"/>
  <c r="J768" i="74"/>
  <c r="E768" i="74"/>
  <c r="L767" i="74"/>
  <c r="E767" i="74" s="1"/>
  <c r="J767" i="74"/>
  <c r="L766" i="74"/>
  <c r="E766" i="74" s="1"/>
  <c r="J766" i="74"/>
  <c r="L765" i="74"/>
  <c r="E765" i="74" s="1"/>
  <c r="J765" i="74"/>
  <c r="L764" i="74"/>
  <c r="J764" i="74"/>
  <c r="E764" i="74"/>
  <c r="AH764" i="74" s="1"/>
  <c r="L763" i="74"/>
  <c r="E763" i="74" s="1"/>
  <c r="J763" i="74"/>
  <c r="L762" i="74"/>
  <c r="E762" i="74" s="1"/>
  <c r="AH762" i="74" s="1"/>
  <c r="J762" i="74"/>
  <c r="K762" i="74" s="1"/>
  <c r="M762" i="74" s="1"/>
  <c r="L761" i="74"/>
  <c r="E761" i="74" s="1"/>
  <c r="AH761" i="74" s="1"/>
  <c r="K761" i="74"/>
  <c r="M761" i="74" s="1"/>
  <c r="J761" i="74"/>
  <c r="L760" i="74"/>
  <c r="E760" i="74" s="1"/>
  <c r="J760" i="74"/>
  <c r="L759" i="74"/>
  <c r="E759" i="74" s="1"/>
  <c r="AH759" i="74" s="1"/>
  <c r="J759" i="74"/>
  <c r="K759" i="74" s="1"/>
  <c r="M759" i="74" s="1"/>
  <c r="L758" i="74"/>
  <c r="E758" i="74" s="1"/>
  <c r="J758" i="74"/>
  <c r="L757" i="74"/>
  <c r="J757" i="74"/>
  <c r="E757" i="74"/>
  <c r="L756" i="74"/>
  <c r="J756" i="74"/>
  <c r="E756" i="74"/>
  <c r="AH756" i="74" s="1"/>
  <c r="L755" i="74"/>
  <c r="J755" i="74"/>
  <c r="E755" i="74"/>
  <c r="AH755" i="74" s="1"/>
  <c r="L754" i="74"/>
  <c r="E754" i="74" s="1"/>
  <c r="J754" i="74"/>
  <c r="L753" i="74"/>
  <c r="J753" i="74"/>
  <c r="E753" i="74"/>
  <c r="L752" i="74"/>
  <c r="E752" i="74" s="1"/>
  <c r="J752" i="74"/>
  <c r="L751" i="74"/>
  <c r="E751" i="74" s="1"/>
  <c r="J751" i="74"/>
  <c r="L750" i="74"/>
  <c r="J750" i="74"/>
  <c r="E750" i="74"/>
  <c r="AH750" i="74" s="1"/>
  <c r="L749" i="74"/>
  <c r="J749" i="74"/>
  <c r="E749" i="74"/>
  <c r="AH749" i="74" s="1"/>
  <c r="L748" i="74"/>
  <c r="E748" i="74" s="1"/>
  <c r="J748" i="74"/>
  <c r="L747" i="74"/>
  <c r="E747" i="74" s="1"/>
  <c r="AH747" i="74" s="1"/>
  <c r="J747" i="74"/>
  <c r="L746" i="74"/>
  <c r="E746" i="74" s="1"/>
  <c r="J746" i="74"/>
  <c r="L745" i="74"/>
  <c r="J745" i="74"/>
  <c r="E745" i="74"/>
  <c r="L744" i="74"/>
  <c r="J744" i="74"/>
  <c r="E744" i="74"/>
  <c r="L743" i="74"/>
  <c r="J743" i="74"/>
  <c r="E743" i="74"/>
  <c r="AH743" i="74" s="1"/>
  <c r="L742" i="74"/>
  <c r="E742" i="74" s="1"/>
  <c r="AH742" i="74" s="1"/>
  <c r="J742" i="74"/>
  <c r="K742" i="74" s="1"/>
  <c r="M742" i="74" s="1"/>
  <c r="L741" i="74"/>
  <c r="E741" i="74" s="1"/>
  <c r="J741" i="74"/>
  <c r="L740" i="74"/>
  <c r="J740" i="74"/>
  <c r="E740" i="74"/>
  <c r="L739" i="74"/>
  <c r="E739" i="74" s="1"/>
  <c r="AH739" i="74" s="1"/>
  <c r="J739" i="74"/>
  <c r="K739" i="74" s="1"/>
  <c r="M739" i="74" s="1"/>
  <c r="L738" i="74"/>
  <c r="E738" i="74" s="1"/>
  <c r="AH738" i="74" s="1"/>
  <c r="K738" i="74"/>
  <c r="M738" i="74" s="1"/>
  <c r="J738" i="74"/>
  <c r="L737" i="74"/>
  <c r="E737" i="74" s="1"/>
  <c r="AH737" i="74" s="1"/>
  <c r="J737" i="74"/>
  <c r="K737" i="74" s="1"/>
  <c r="M737" i="74" s="1"/>
  <c r="L736" i="74"/>
  <c r="J736" i="74"/>
  <c r="E736" i="74"/>
  <c r="L735" i="74"/>
  <c r="E735" i="74" s="1"/>
  <c r="AH735" i="74" s="1"/>
  <c r="J735" i="74"/>
  <c r="L734" i="74"/>
  <c r="E734" i="74" s="1"/>
  <c r="J734" i="74"/>
  <c r="L733" i="74"/>
  <c r="E733" i="74" s="1"/>
  <c r="AH733" i="74" s="1"/>
  <c r="J733" i="74"/>
  <c r="L732" i="74"/>
  <c r="E732" i="74" s="1"/>
  <c r="J732" i="74"/>
  <c r="L731" i="74"/>
  <c r="J731" i="74"/>
  <c r="E731" i="74"/>
  <c r="L730" i="74"/>
  <c r="J730" i="74"/>
  <c r="E730" i="74"/>
  <c r="L729" i="74"/>
  <c r="J729" i="74"/>
  <c r="E729" i="74"/>
  <c r="L728" i="74"/>
  <c r="E728" i="74" s="1"/>
  <c r="J728" i="74"/>
  <c r="L727" i="74"/>
  <c r="E727" i="74" s="1"/>
  <c r="J727" i="74"/>
  <c r="L726" i="74"/>
  <c r="E726" i="74" s="1"/>
  <c r="J726" i="74"/>
  <c r="L725" i="74"/>
  <c r="J725" i="74"/>
  <c r="E725" i="74"/>
  <c r="L724" i="74"/>
  <c r="E724" i="74" s="1"/>
  <c r="J724" i="74"/>
  <c r="L723" i="74"/>
  <c r="E723" i="74" s="1"/>
  <c r="J723" i="74"/>
  <c r="L722" i="74"/>
  <c r="E722" i="74" s="1"/>
  <c r="AH722" i="74" s="1"/>
  <c r="J722" i="74"/>
  <c r="L721" i="74"/>
  <c r="E721" i="74" s="1"/>
  <c r="J721" i="74"/>
  <c r="L720" i="74"/>
  <c r="E720" i="74" s="1"/>
  <c r="J720" i="74"/>
  <c r="L719" i="74"/>
  <c r="J719" i="74"/>
  <c r="E719" i="74"/>
  <c r="AH719" i="74" s="1"/>
  <c r="L718" i="74"/>
  <c r="J718" i="74"/>
  <c r="E718" i="74"/>
  <c r="L717" i="74"/>
  <c r="J717" i="74"/>
  <c r="E717" i="74"/>
  <c r="L716" i="74"/>
  <c r="J716" i="74"/>
  <c r="E716" i="74"/>
  <c r="AH716" i="74" s="1"/>
  <c r="L715" i="74"/>
  <c r="E715" i="74" s="1"/>
  <c r="J715" i="74"/>
  <c r="L714" i="74"/>
  <c r="E714" i="74" s="1"/>
  <c r="J714" i="74"/>
  <c r="L713" i="74"/>
  <c r="E713" i="74" s="1"/>
  <c r="J713" i="74"/>
  <c r="L712" i="74"/>
  <c r="E712" i="74" s="1"/>
  <c r="J712" i="74"/>
  <c r="L711" i="74"/>
  <c r="E711" i="74" s="1"/>
  <c r="AH711" i="74" s="1"/>
  <c r="J711" i="74"/>
  <c r="L710" i="74"/>
  <c r="J710" i="74"/>
  <c r="E710" i="74"/>
  <c r="L709" i="74"/>
  <c r="E709" i="74" s="1"/>
  <c r="AH709" i="74" s="1"/>
  <c r="J709" i="74"/>
  <c r="L708" i="74"/>
  <c r="E708" i="74" s="1"/>
  <c r="AH708" i="74" s="1"/>
  <c r="J708" i="74"/>
  <c r="L707" i="74"/>
  <c r="J707" i="74"/>
  <c r="E707" i="74"/>
  <c r="L706" i="74"/>
  <c r="E706" i="74" s="1"/>
  <c r="J706" i="74"/>
  <c r="L705" i="74"/>
  <c r="J705" i="74"/>
  <c r="E705" i="74"/>
  <c r="L704" i="74"/>
  <c r="J704" i="74"/>
  <c r="E704" i="74"/>
  <c r="L703" i="74"/>
  <c r="J703" i="74"/>
  <c r="E703" i="74"/>
  <c r="AH703" i="74" s="1"/>
  <c r="L702" i="74"/>
  <c r="J702" i="74"/>
  <c r="E702" i="74"/>
  <c r="L701" i="74"/>
  <c r="J701" i="74"/>
  <c r="E701" i="74"/>
  <c r="AH701" i="74" s="1"/>
  <c r="L700" i="74"/>
  <c r="E700" i="74" s="1"/>
  <c r="J700" i="74"/>
  <c r="L699" i="74"/>
  <c r="E699" i="74" s="1"/>
  <c r="J699" i="74"/>
  <c r="L698" i="74"/>
  <c r="J698" i="74"/>
  <c r="E698" i="74"/>
  <c r="AH698" i="74" s="1"/>
  <c r="L697" i="74"/>
  <c r="E697" i="74" s="1"/>
  <c r="AH697" i="74" s="1"/>
  <c r="J697" i="74"/>
  <c r="L696" i="74"/>
  <c r="J696" i="74"/>
  <c r="K696" i="74" s="1"/>
  <c r="M696" i="74" s="1"/>
  <c r="E696" i="74"/>
  <c r="AH696" i="74" s="1"/>
  <c r="L695" i="74"/>
  <c r="E695" i="74" s="1"/>
  <c r="J695" i="74"/>
  <c r="L694" i="74"/>
  <c r="E694" i="74" s="1"/>
  <c r="AH694" i="74" s="1"/>
  <c r="J694" i="74"/>
  <c r="L693" i="74"/>
  <c r="E693" i="74" s="1"/>
  <c r="J693" i="74"/>
  <c r="L692" i="74"/>
  <c r="E692" i="74" s="1"/>
  <c r="J692" i="74"/>
  <c r="L691" i="74"/>
  <c r="E691" i="74" s="1"/>
  <c r="J691" i="74"/>
  <c r="L690" i="74"/>
  <c r="J690" i="74"/>
  <c r="E690" i="74"/>
  <c r="L689" i="74"/>
  <c r="E689" i="74" s="1"/>
  <c r="J689" i="74"/>
  <c r="L688" i="74"/>
  <c r="J688" i="74"/>
  <c r="E688" i="74"/>
  <c r="L687" i="74"/>
  <c r="J687" i="74"/>
  <c r="E687" i="74"/>
  <c r="AH687" i="74" s="1"/>
  <c r="L686" i="74"/>
  <c r="E686" i="74" s="1"/>
  <c r="AH686" i="74" s="1"/>
  <c r="J686" i="74"/>
  <c r="L685" i="74"/>
  <c r="J685" i="74"/>
  <c r="E685" i="74"/>
  <c r="AH685" i="74" s="1"/>
  <c r="L684" i="74"/>
  <c r="J684" i="74"/>
  <c r="E684" i="74"/>
  <c r="L683" i="74"/>
  <c r="J683" i="74"/>
  <c r="E683" i="74"/>
  <c r="L682" i="74"/>
  <c r="J682" i="74"/>
  <c r="E682" i="74"/>
  <c r="L681" i="74"/>
  <c r="J681" i="74"/>
  <c r="E681" i="74"/>
  <c r="AH681" i="74" s="1"/>
  <c r="L680" i="74"/>
  <c r="E680" i="74" s="1"/>
  <c r="J680" i="74"/>
  <c r="L679" i="74"/>
  <c r="E679" i="74" s="1"/>
  <c r="J679" i="74"/>
  <c r="L678" i="74"/>
  <c r="E678" i="74" s="1"/>
  <c r="AH678" i="74" s="1"/>
  <c r="J678" i="74"/>
  <c r="K678" i="74" s="1"/>
  <c r="M678" i="74" s="1"/>
  <c r="L677" i="74"/>
  <c r="J677" i="74"/>
  <c r="E677" i="74"/>
  <c r="L676" i="74"/>
  <c r="J676" i="74"/>
  <c r="E676" i="74"/>
  <c r="AH676" i="74" s="1"/>
  <c r="L675" i="74"/>
  <c r="E675" i="74" s="1"/>
  <c r="J675" i="74"/>
  <c r="L674" i="74"/>
  <c r="J674" i="74"/>
  <c r="E674" i="74"/>
  <c r="L673" i="74"/>
  <c r="J673" i="74"/>
  <c r="E673" i="74"/>
  <c r="AH673" i="74" s="1"/>
  <c r="L672" i="74"/>
  <c r="J672" i="74"/>
  <c r="K672" i="74" s="1"/>
  <c r="M672" i="74" s="1"/>
  <c r="E672" i="74"/>
  <c r="AH672" i="74" s="1"/>
  <c r="L671" i="74"/>
  <c r="J671" i="74"/>
  <c r="E671" i="74"/>
  <c r="L670" i="74"/>
  <c r="J670" i="74"/>
  <c r="E670" i="74"/>
  <c r="L669" i="74"/>
  <c r="J669" i="74"/>
  <c r="E669" i="74"/>
  <c r="AH669" i="74" s="1"/>
  <c r="L668" i="74"/>
  <c r="J668" i="74"/>
  <c r="K668" i="74" s="1"/>
  <c r="M668" i="74" s="1"/>
  <c r="E668" i="74"/>
  <c r="AH668" i="74" s="1"/>
  <c r="L667" i="74"/>
  <c r="E667" i="74" s="1"/>
  <c r="J667" i="74"/>
  <c r="L666" i="74"/>
  <c r="J666" i="74"/>
  <c r="E666" i="74"/>
  <c r="L665" i="74"/>
  <c r="J665" i="74"/>
  <c r="E665" i="74"/>
  <c r="AH665" i="74" s="1"/>
  <c r="L664" i="74"/>
  <c r="J664" i="74"/>
  <c r="E664" i="74"/>
  <c r="L663" i="74"/>
  <c r="J663" i="74"/>
  <c r="E663" i="74"/>
  <c r="AH663" i="74" s="1"/>
  <c r="L662" i="74"/>
  <c r="E662" i="74" s="1"/>
  <c r="J662" i="74"/>
  <c r="L661" i="74"/>
  <c r="E661" i="74" s="1"/>
  <c r="AH661" i="74" s="1"/>
  <c r="J661" i="74"/>
  <c r="L660" i="74"/>
  <c r="J660" i="74"/>
  <c r="E660" i="74"/>
  <c r="AH660" i="74" s="1"/>
  <c r="L659" i="74"/>
  <c r="E659" i="74" s="1"/>
  <c r="AH659" i="74" s="1"/>
  <c r="J659" i="74"/>
  <c r="L658" i="74"/>
  <c r="J658" i="74"/>
  <c r="E658" i="74"/>
  <c r="L657" i="74"/>
  <c r="J657" i="74"/>
  <c r="E657" i="74"/>
  <c r="L656" i="74"/>
  <c r="J656" i="74"/>
  <c r="E656" i="74"/>
  <c r="L655" i="74"/>
  <c r="J655" i="74"/>
  <c r="E655" i="74"/>
  <c r="L654" i="74"/>
  <c r="E654" i="74" s="1"/>
  <c r="AH654" i="74" s="1"/>
  <c r="J654" i="74"/>
  <c r="K654" i="74" s="1"/>
  <c r="M654" i="74" s="1"/>
  <c r="L653" i="74"/>
  <c r="J653" i="74"/>
  <c r="E653" i="74"/>
  <c r="L652" i="74"/>
  <c r="J652" i="74"/>
  <c r="E652" i="74"/>
  <c r="L651" i="74"/>
  <c r="E651" i="74" s="1"/>
  <c r="J651" i="74"/>
  <c r="L650" i="74"/>
  <c r="J650" i="74"/>
  <c r="E650" i="74"/>
  <c r="L649" i="74"/>
  <c r="J649" i="74"/>
  <c r="E649" i="74"/>
  <c r="AH649" i="74" s="1"/>
  <c r="L648" i="74"/>
  <c r="J648" i="74"/>
  <c r="K648" i="74" s="1"/>
  <c r="M648" i="74" s="1"/>
  <c r="E648" i="74"/>
  <c r="AH648" i="74" s="1"/>
  <c r="L647" i="74"/>
  <c r="J647" i="74"/>
  <c r="E647" i="74"/>
  <c r="L646" i="74"/>
  <c r="E646" i="74" s="1"/>
  <c r="AH646" i="74" s="1"/>
  <c r="J646" i="74"/>
  <c r="K646" i="74" s="1"/>
  <c r="M646" i="74" s="1"/>
  <c r="L645" i="74"/>
  <c r="J645" i="74"/>
  <c r="E645" i="74"/>
  <c r="L644" i="74"/>
  <c r="E644" i="74" s="1"/>
  <c r="AH644" i="74" s="1"/>
  <c r="J644" i="74"/>
  <c r="L643" i="74"/>
  <c r="J643" i="74"/>
  <c r="E643" i="74"/>
  <c r="L642" i="74"/>
  <c r="J642" i="74"/>
  <c r="E642" i="74"/>
  <c r="L641" i="74"/>
  <c r="E641" i="74" s="1"/>
  <c r="J641" i="74"/>
  <c r="L640" i="74"/>
  <c r="J640" i="74"/>
  <c r="E640" i="74"/>
  <c r="L639" i="74"/>
  <c r="J639" i="74"/>
  <c r="E639" i="74"/>
  <c r="AH639" i="74" s="1"/>
  <c r="L638" i="74"/>
  <c r="J638" i="74"/>
  <c r="E638" i="74"/>
  <c r="AH638" i="74" s="1"/>
  <c r="L637" i="74"/>
  <c r="J637" i="74"/>
  <c r="E637" i="74"/>
  <c r="AH637" i="74" s="1"/>
  <c r="L636" i="74"/>
  <c r="E636" i="74" s="1"/>
  <c r="AH636" i="74" s="1"/>
  <c r="J636" i="74"/>
  <c r="L635" i="74"/>
  <c r="J635" i="74"/>
  <c r="E635" i="74"/>
  <c r="AH635" i="74" s="1"/>
  <c r="L634" i="74"/>
  <c r="J634" i="74"/>
  <c r="E634" i="74"/>
  <c r="L633" i="74"/>
  <c r="E633" i="74" s="1"/>
  <c r="J633" i="74"/>
  <c r="L632" i="74"/>
  <c r="E632" i="74" s="1"/>
  <c r="J632" i="74"/>
  <c r="L631" i="74"/>
  <c r="J631" i="74"/>
  <c r="E631" i="74"/>
  <c r="AH631" i="74" s="1"/>
  <c r="L630" i="74"/>
  <c r="E630" i="74" s="1"/>
  <c r="J630" i="74"/>
  <c r="L629" i="74"/>
  <c r="J629" i="74"/>
  <c r="E629" i="74"/>
  <c r="AH629" i="74" s="1"/>
  <c r="L628" i="74"/>
  <c r="J628" i="74"/>
  <c r="E628" i="74"/>
  <c r="L627" i="74"/>
  <c r="J627" i="74"/>
  <c r="E627" i="74"/>
  <c r="L626" i="74"/>
  <c r="J626" i="74"/>
  <c r="K626" i="74" s="1"/>
  <c r="M626" i="74" s="1"/>
  <c r="E626" i="74"/>
  <c r="AH626" i="74" s="1"/>
  <c r="L625" i="74"/>
  <c r="E625" i="74" s="1"/>
  <c r="J625" i="74"/>
  <c r="L624" i="74"/>
  <c r="E624" i="74" s="1"/>
  <c r="J624" i="74"/>
  <c r="L623" i="74"/>
  <c r="E623" i="74" s="1"/>
  <c r="J623" i="74"/>
  <c r="L622" i="74"/>
  <c r="J622" i="74"/>
  <c r="E622" i="74"/>
  <c r="AH622" i="74" s="1"/>
  <c r="L621" i="74"/>
  <c r="J621" i="74"/>
  <c r="E621" i="74"/>
  <c r="AH621" i="74" s="1"/>
  <c r="L620" i="74"/>
  <c r="J620" i="74"/>
  <c r="E620" i="74"/>
  <c r="AH620" i="74" s="1"/>
  <c r="L619" i="74"/>
  <c r="J619" i="74"/>
  <c r="E619" i="74"/>
  <c r="L618" i="74"/>
  <c r="K618" i="74"/>
  <c r="M618" i="74" s="1"/>
  <c r="J618" i="74"/>
  <c r="E618" i="74"/>
  <c r="AH618" i="74" s="1"/>
  <c r="L617" i="74"/>
  <c r="E617" i="74" s="1"/>
  <c r="J617" i="74"/>
  <c r="L616" i="74"/>
  <c r="E616" i="74" s="1"/>
  <c r="AH616" i="74" s="1"/>
  <c r="K616" i="74"/>
  <c r="M616" i="74" s="1"/>
  <c r="J616" i="74"/>
  <c r="L615" i="74"/>
  <c r="J615" i="74"/>
  <c r="E615" i="74"/>
  <c r="AH615" i="74" s="1"/>
  <c r="L614" i="74"/>
  <c r="J614" i="74"/>
  <c r="E614" i="74"/>
  <c r="AH614" i="74" s="1"/>
  <c r="L613" i="74"/>
  <c r="E613" i="74" s="1"/>
  <c r="J613" i="74"/>
  <c r="L612" i="74"/>
  <c r="J612" i="74"/>
  <c r="E612" i="74"/>
  <c r="L611" i="74"/>
  <c r="J611" i="74"/>
  <c r="E611" i="74"/>
  <c r="L610" i="74"/>
  <c r="J610" i="74"/>
  <c r="E610" i="74"/>
  <c r="L609" i="74"/>
  <c r="E609" i="74" s="1"/>
  <c r="J609" i="74"/>
  <c r="L608" i="74"/>
  <c r="J608" i="74"/>
  <c r="K608" i="74" s="1"/>
  <c r="M608" i="74" s="1"/>
  <c r="E608" i="74"/>
  <c r="AH608" i="74" s="1"/>
  <c r="L607" i="74"/>
  <c r="E607" i="74" s="1"/>
  <c r="J607" i="74"/>
  <c r="L606" i="74"/>
  <c r="J606" i="74"/>
  <c r="E606" i="74"/>
  <c r="L605" i="74"/>
  <c r="E605" i="74" s="1"/>
  <c r="AH605" i="74" s="1"/>
  <c r="J605" i="74"/>
  <c r="L604" i="74"/>
  <c r="J604" i="74"/>
  <c r="E604" i="74"/>
  <c r="L603" i="74"/>
  <c r="J603" i="74"/>
  <c r="E603" i="74"/>
  <c r="L602" i="74"/>
  <c r="E602" i="74" s="1"/>
  <c r="AH602" i="74" s="1"/>
  <c r="J602" i="74"/>
  <c r="L601" i="74"/>
  <c r="J601" i="74"/>
  <c r="E601" i="74"/>
  <c r="AH601" i="74" s="1"/>
  <c r="L600" i="74"/>
  <c r="J600" i="74"/>
  <c r="E600" i="74"/>
  <c r="L599" i="74"/>
  <c r="E599" i="74" s="1"/>
  <c r="J599" i="74"/>
  <c r="L598" i="74"/>
  <c r="E598" i="74" s="1"/>
  <c r="J598" i="74"/>
  <c r="L597" i="74"/>
  <c r="E597" i="74" s="1"/>
  <c r="J597" i="74"/>
  <c r="L596" i="74"/>
  <c r="E596" i="74" s="1"/>
  <c r="AH596" i="74" s="1"/>
  <c r="J596" i="74"/>
  <c r="K596" i="74" s="1"/>
  <c r="M596" i="74" s="1"/>
  <c r="L595" i="74"/>
  <c r="E595" i="74" s="1"/>
  <c r="AH595" i="74" s="1"/>
  <c r="J595" i="74"/>
  <c r="L594" i="74"/>
  <c r="J594" i="74"/>
  <c r="K594" i="74" s="1"/>
  <c r="M594" i="74" s="1"/>
  <c r="E594" i="74"/>
  <c r="AH594" i="74" s="1"/>
  <c r="L593" i="74"/>
  <c r="E593" i="74" s="1"/>
  <c r="J593" i="74"/>
  <c r="L592" i="74"/>
  <c r="J592" i="74"/>
  <c r="E592" i="74"/>
  <c r="L591" i="74"/>
  <c r="J591" i="74"/>
  <c r="E591" i="74"/>
  <c r="AH591" i="74" s="1"/>
  <c r="L590" i="74"/>
  <c r="E590" i="74" s="1"/>
  <c r="J590" i="74"/>
  <c r="L589" i="74"/>
  <c r="E589" i="74" s="1"/>
  <c r="J589" i="74"/>
  <c r="L588" i="74"/>
  <c r="J588" i="74"/>
  <c r="E588" i="74"/>
  <c r="AH588" i="74" s="1"/>
  <c r="L587" i="74"/>
  <c r="J587" i="74"/>
  <c r="E587" i="74"/>
  <c r="L586" i="74"/>
  <c r="J586" i="74"/>
  <c r="K586" i="74" s="1"/>
  <c r="M586" i="74" s="1"/>
  <c r="E586" i="74"/>
  <c r="AH586" i="74" s="1"/>
  <c r="L585" i="74"/>
  <c r="E585" i="74" s="1"/>
  <c r="J585" i="74"/>
  <c r="L584" i="74"/>
  <c r="J584" i="74"/>
  <c r="E584" i="74"/>
  <c r="AH584" i="74" s="1"/>
  <c r="L583" i="74"/>
  <c r="E583" i="74" s="1"/>
  <c r="AH583" i="74" s="1"/>
  <c r="J583" i="74"/>
  <c r="L582" i="74"/>
  <c r="J582" i="74"/>
  <c r="E582" i="74"/>
  <c r="L581" i="74"/>
  <c r="E581" i="74" s="1"/>
  <c r="AH581" i="74" s="1"/>
  <c r="J581" i="74"/>
  <c r="L580" i="74"/>
  <c r="J580" i="74"/>
  <c r="E580" i="74"/>
  <c r="AH580" i="74" s="1"/>
  <c r="L579" i="74"/>
  <c r="E579" i="74" s="1"/>
  <c r="J579" i="74"/>
  <c r="L578" i="74"/>
  <c r="E578" i="74" s="1"/>
  <c r="J578" i="74"/>
  <c r="L577" i="74"/>
  <c r="E577" i="74" s="1"/>
  <c r="J577" i="74"/>
  <c r="L576" i="74"/>
  <c r="E576" i="74" s="1"/>
  <c r="J576" i="74"/>
  <c r="L575" i="74"/>
  <c r="E575" i="74" s="1"/>
  <c r="AH575" i="74" s="1"/>
  <c r="J575" i="74"/>
  <c r="L574" i="74"/>
  <c r="K574" i="74"/>
  <c r="M574" i="74" s="1"/>
  <c r="J574" i="74"/>
  <c r="E574" i="74"/>
  <c r="AH574" i="74" s="1"/>
  <c r="L573" i="74"/>
  <c r="E573" i="74" s="1"/>
  <c r="AH573" i="74" s="1"/>
  <c r="J573" i="74"/>
  <c r="L572" i="74"/>
  <c r="J572" i="74"/>
  <c r="E572" i="74"/>
  <c r="AH572" i="74" s="1"/>
  <c r="L571" i="74"/>
  <c r="J571" i="74"/>
  <c r="E571" i="74"/>
  <c r="L570" i="74"/>
  <c r="E570" i="74" s="1"/>
  <c r="J570" i="74"/>
  <c r="L569" i="74"/>
  <c r="J569" i="74"/>
  <c r="E569" i="74"/>
  <c r="L568" i="74"/>
  <c r="J568" i="74"/>
  <c r="K568" i="74" s="1"/>
  <c r="M568" i="74" s="1"/>
  <c r="E568" i="74"/>
  <c r="AH568" i="74" s="1"/>
  <c r="L567" i="74"/>
  <c r="E567" i="74" s="1"/>
  <c r="AH567" i="74" s="1"/>
  <c r="J567" i="74"/>
  <c r="L566" i="74"/>
  <c r="E566" i="74" s="1"/>
  <c r="J566" i="74"/>
  <c r="L565" i="74"/>
  <c r="J565" i="74"/>
  <c r="E565" i="74"/>
  <c r="L564" i="74"/>
  <c r="E564" i="74" s="1"/>
  <c r="J564" i="74"/>
  <c r="L563" i="74"/>
  <c r="J563" i="74"/>
  <c r="E563" i="74"/>
  <c r="L562" i="74"/>
  <c r="E562" i="74" s="1"/>
  <c r="J562" i="74"/>
  <c r="L561" i="74"/>
  <c r="E561" i="74" s="1"/>
  <c r="AH561" i="74" s="1"/>
  <c r="J561" i="74"/>
  <c r="L560" i="74"/>
  <c r="J560" i="74"/>
  <c r="E560" i="74"/>
  <c r="L559" i="74"/>
  <c r="E559" i="74" s="1"/>
  <c r="J559" i="74"/>
  <c r="L558" i="74"/>
  <c r="E558" i="74" s="1"/>
  <c r="AH558" i="74" s="1"/>
  <c r="J558" i="74"/>
  <c r="L557" i="74"/>
  <c r="E557" i="74" s="1"/>
  <c r="J557" i="74"/>
  <c r="L556" i="74"/>
  <c r="J556" i="74"/>
  <c r="E556" i="74"/>
  <c r="L555" i="74"/>
  <c r="E555" i="74" s="1"/>
  <c r="J555" i="74"/>
  <c r="L554" i="74"/>
  <c r="E554" i="74" s="1"/>
  <c r="AH554" i="74" s="1"/>
  <c r="J554" i="74"/>
  <c r="L553" i="74"/>
  <c r="E553" i="74" s="1"/>
  <c r="AH553" i="74" s="1"/>
  <c r="J553" i="74"/>
  <c r="L552" i="74"/>
  <c r="J552" i="74"/>
  <c r="E552" i="74"/>
  <c r="L551" i="74"/>
  <c r="E551" i="74" s="1"/>
  <c r="J551" i="74"/>
  <c r="L550" i="74"/>
  <c r="J550" i="74"/>
  <c r="E550" i="74"/>
  <c r="L549" i="74"/>
  <c r="J549" i="74"/>
  <c r="E549" i="74"/>
  <c r="L548" i="74"/>
  <c r="E548" i="74" s="1"/>
  <c r="AH548" i="74" s="1"/>
  <c r="J548" i="74"/>
  <c r="L547" i="74"/>
  <c r="J547" i="74"/>
  <c r="E547" i="74"/>
  <c r="L546" i="74"/>
  <c r="E546" i="74" s="1"/>
  <c r="AH546" i="74" s="1"/>
  <c r="J546" i="74"/>
  <c r="K546" i="74" s="1"/>
  <c r="M546" i="74" s="1"/>
  <c r="L545" i="74"/>
  <c r="E545" i="74" s="1"/>
  <c r="AH545" i="74" s="1"/>
  <c r="J545" i="74"/>
  <c r="L544" i="74"/>
  <c r="J544" i="74"/>
  <c r="E544" i="74"/>
  <c r="AH544" i="74" s="1"/>
  <c r="L543" i="74"/>
  <c r="J543" i="74"/>
  <c r="E543" i="74"/>
  <c r="L542" i="74"/>
  <c r="J542" i="74"/>
  <c r="E542" i="74"/>
  <c r="L541" i="74"/>
  <c r="J541" i="74"/>
  <c r="E541" i="74"/>
  <c r="L540" i="74"/>
  <c r="E540" i="74" s="1"/>
  <c r="AH540" i="74" s="1"/>
  <c r="K540" i="74"/>
  <c r="M540" i="74" s="1"/>
  <c r="J540" i="74"/>
  <c r="L539" i="74"/>
  <c r="J539" i="74"/>
  <c r="E539" i="74"/>
  <c r="L538" i="74"/>
  <c r="J538" i="74"/>
  <c r="E538" i="74"/>
  <c r="L537" i="74"/>
  <c r="E537" i="74" s="1"/>
  <c r="J537" i="74"/>
  <c r="L536" i="74"/>
  <c r="E536" i="74" s="1"/>
  <c r="J536" i="74"/>
  <c r="L535" i="74"/>
  <c r="E535" i="74" s="1"/>
  <c r="AH535" i="74" s="1"/>
  <c r="J535" i="74"/>
  <c r="L534" i="74"/>
  <c r="J534" i="74"/>
  <c r="E534" i="74"/>
  <c r="L533" i="74"/>
  <c r="J533" i="74"/>
  <c r="E533" i="74"/>
  <c r="L532" i="74"/>
  <c r="E532" i="74" s="1"/>
  <c r="AH532" i="74" s="1"/>
  <c r="J532" i="74"/>
  <c r="L531" i="74"/>
  <c r="E531" i="74" s="1"/>
  <c r="J531" i="74"/>
  <c r="L530" i="74"/>
  <c r="J530" i="74"/>
  <c r="E530" i="74"/>
  <c r="AH530" i="74" s="1"/>
  <c r="L529" i="74"/>
  <c r="E529" i="74" s="1"/>
  <c r="J529" i="74"/>
  <c r="L528" i="74"/>
  <c r="K528" i="74"/>
  <c r="M528" i="74" s="1"/>
  <c r="J528" i="74"/>
  <c r="E528" i="74"/>
  <c r="AH528" i="74" s="1"/>
  <c r="L527" i="74"/>
  <c r="E527" i="74" s="1"/>
  <c r="J527" i="74"/>
  <c r="L526" i="74"/>
  <c r="E526" i="74" s="1"/>
  <c r="J526" i="74"/>
  <c r="L525" i="74"/>
  <c r="J525" i="74"/>
  <c r="E525" i="74"/>
  <c r="L524" i="74"/>
  <c r="J524" i="74"/>
  <c r="E524" i="74"/>
  <c r="L523" i="74"/>
  <c r="E523" i="74" s="1"/>
  <c r="AH523" i="74" s="1"/>
  <c r="J523" i="74"/>
  <c r="L522" i="74"/>
  <c r="J522" i="74"/>
  <c r="K522" i="74" s="1"/>
  <c r="M522" i="74" s="1"/>
  <c r="E522" i="74"/>
  <c r="AH522" i="74" s="1"/>
  <c r="L521" i="74"/>
  <c r="J521" i="74"/>
  <c r="E521" i="74"/>
  <c r="L520" i="74"/>
  <c r="E520" i="74" s="1"/>
  <c r="AH520" i="74" s="1"/>
  <c r="J520" i="74"/>
  <c r="L519" i="74"/>
  <c r="K519" i="74"/>
  <c r="M519" i="74" s="1"/>
  <c r="J519" i="74"/>
  <c r="E519" i="74"/>
  <c r="AH519" i="74" s="1"/>
  <c r="L518" i="74"/>
  <c r="E518" i="74" s="1"/>
  <c r="J518" i="74"/>
  <c r="L517" i="74"/>
  <c r="E517" i="74" s="1"/>
  <c r="AH517" i="74" s="1"/>
  <c r="J517" i="74"/>
  <c r="L516" i="74"/>
  <c r="E516" i="74" s="1"/>
  <c r="J516" i="74"/>
  <c r="L515" i="74"/>
  <c r="E515" i="74" s="1"/>
  <c r="J515" i="74"/>
  <c r="L514" i="74"/>
  <c r="E514" i="74" s="1"/>
  <c r="AH514" i="74" s="1"/>
  <c r="J514" i="74"/>
  <c r="L513" i="74"/>
  <c r="E513" i="74" s="1"/>
  <c r="J513" i="74"/>
  <c r="L512" i="74"/>
  <c r="J512" i="74"/>
  <c r="E512" i="74"/>
  <c r="L511" i="74"/>
  <c r="E511" i="74" s="1"/>
  <c r="J511" i="74"/>
  <c r="L510" i="74"/>
  <c r="E510" i="74" s="1"/>
  <c r="J510" i="74"/>
  <c r="L509" i="74"/>
  <c r="E509" i="74" s="1"/>
  <c r="AH509" i="74" s="1"/>
  <c r="J509" i="74"/>
  <c r="L508" i="74"/>
  <c r="J508" i="74"/>
  <c r="E508" i="74"/>
  <c r="AH508" i="74" s="1"/>
  <c r="L507" i="74"/>
  <c r="E507" i="74" s="1"/>
  <c r="J507" i="74"/>
  <c r="L506" i="74"/>
  <c r="J506" i="74"/>
  <c r="E506" i="74"/>
  <c r="L505" i="74"/>
  <c r="J505" i="74"/>
  <c r="E505" i="74"/>
  <c r="L504" i="74"/>
  <c r="K504" i="74"/>
  <c r="M504" i="74" s="1"/>
  <c r="J504" i="74"/>
  <c r="E504" i="74"/>
  <c r="AH504" i="74" s="1"/>
  <c r="L503" i="74"/>
  <c r="J503" i="74"/>
  <c r="E503" i="74"/>
  <c r="AH503" i="74" s="1"/>
  <c r="L502" i="74"/>
  <c r="E502" i="74" s="1"/>
  <c r="J502" i="74"/>
  <c r="L501" i="74"/>
  <c r="J501" i="74"/>
  <c r="E501" i="74"/>
  <c r="L500" i="74"/>
  <c r="J500" i="74"/>
  <c r="E500" i="74"/>
  <c r="L499" i="74"/>
  <c r="E499" i="74" s="1"/>
  <c r="AH499" i="74" s="1"/>
  <c r="J499" i="74"/>
  <c r="L498" i="74"/>
  <c r="J498" i="74"/>
  <c r="E498" i="74"/>
  <c r="L497" i="74"/>
  <c r="E497" i="74" s="1"/>
  <c r="J497" i="74"/>
  <c r="L496" i="74"/>
  <c r="E496" i="74" s="1"/>
  <c r="J496" i="74"/>
  <c r="L495" i="74"/>
  <c r="J495" i="74"/>
  <c r="E495" i="74"/>
  <c r="L494" i="74"/>
  <c r="J494" i="74"/>
  <c r="E494" i="74"/>
  <c r="L493" i="74"/>
  <c r="E493" i="74" s="1"/>
  <c r="J493" i="74"/>
  <c r="L492" i="74"/>
  <c r="J492" i="74"/>
  <c r="E492" i="74"/>
  <c r="L491" i="74"/>
  <c r="E491" i="74" s="1"/>
  <c r="AH491" i="74" s="1"/>
  <c r="J491" i="74"/>
  <c r="L490" i="74"/>
  <c r="J490" i="74"/>
  <c r="E490" i="74"/>
  <c r="L489" i="74"/>
  <c r="J489" i="74"/>
  <c r="E489" i="74"/>
  <c r="L488" i="74"/>
  <c r="E488" i="74" s="1"/>
  <c r="J488" i="74"/>
  <c r="L487" i="74"/>
  <c r="J487" i="74"/>
  <c r="E487" i="74"/>
  <c r="L486" i="74"/>
  <c r="J486" i="74"/>
  <c r="E486" i="74"/>
  <c r="L485" i="74"/>
  <c r="E485" i="74" s="1"/>
  <c r="J485" i="74"/>
  <c r="L484" i="74"/>
  <c r="E484" i="74" s="1"/>
  <c r="J484" i="74"/>
  <c r="L483" i="74"/>
  <c r="E483" i="74" s="1"/>
  <c r="J483" i="74"/>
  <c r="L482" i="74"/>
  <c r="J482" i="74"/>
  <c r="K482" i="74" s="1"/>
  <c r="M482" i="74" s="1"/>
  <c r="E482" i="74"/>
  <c r="AH482" i="74" s="1"/>
  <c r="L481" i="74"/>
  <c r="J481" i="74"/>
  <c r="E481" i="74"/>
  <c r="L480" i="74"/>
  <c r="K480" i="74"/>
  <c r="M480" i="74" s="1"/>
  <c r="J480" i="74"/>
  <c r="E480" i="74"/>
  <c r="AH480" i="74" s="1"/>
  <c r="L479" i="74"/>
  <c r="E479" i="74" s="1"/>
  <c r="J479" i="74"/>
  <c r="L478" i="74"/>
  <c r="J478" i="74"/>
  <c r="E478" i="74"/>
  <c r="AH478" i="74" s="1"/>
  <c r="L477" i="74"/>
  <c r="J477" i="74"/>
  <c r="E477" i="74"/>
  <c r="L476" i="74"/>
  <c r="J476" i="74"/>
  <c r="E476" i="74"/>
  <c r="AH476" i="74" s="1"/>
  <c r="L475" i="74"/>
  <c r="J475" i="74"/>
  <c r="E475" i="74"/>
  <c r="AH475" i="74" s="1"/>
  <c r="L474" i="74"/>
  <c r="J474" i="74"/>
  <c r="E474" i="74"/>
  <c r="L473" i="74"/>
  <c r="E473" i="74" s="1"/>
  <c r="J473" i="74"/>
  <c r="L472" i="74"/>
  <c r="E472" i="74" s="1"/>
  <c r="AH472" i="74" s="1"/>
  <c r="J472" i="74"/>
  <c r="L471" i="74"/>
  <c r="E471" i="74" s="1"/>
  <c r="J471" i="74"/>
  <c r="L470" i="74"/>
  <c r="J470" i="74"/>
  <c r="E470" i="74"/>
  <c r="L469" i="74"/>
  <c r="E469" i="74" s="1"/>
  <c r="J469" i="74"/>
  <c r="L468" i="74"/>
  <c r="E468" i="74" s="1"/>
  <c r="J468" i="74"/>
  <c r="L467" i="74"/>
  <c r="E467" i="74" s="1"/>
  <c r="AH467" i="74" s="1"/>
  <c r="J467" i="74"/>
  <c r="L466" i="74"/>
  <c r="J466" i="74"/>
  <c r="E466" i="74"/>
  <c r="L465" i="74"/>
  <c r="E465" i="74" s="1"/>
  <c r="J465" i="74"/>
  <c r="L464" i="74"/>
  <c r="J464" i="74"/>
  <c r="E464" i="74"/>
  <c r="AH464" i="74" s="1"/>
  <c r="L463" i="74"/>
  <c r="E463" i="74" s="1"/>
  <c r="J463" i="74"/>
  <c r="L462" i="74"/>
  <c r="E462" i="74" s="1"/>
  <c r="J462" i="74"/>
  <c r="L461" i="74"/>
  <c r="E461" i="74" s="1"/>
  <c r="AH461" i="74" s="1"/>
  <c r="J461" i="74"/>
  <c r="L460" i="74"/>
  <c r="J460" i="74"/>
  <c r="E460" i="74"/>
  <c r="L459" i="74"/>
  <c r="E459" i="74" s="1"/>
  <c r="J459" i="74"/>
  <c r="L458" i="74"/>
  <c r="E458" i="74" s="1"/>
  <c r="J458" i="74"/>
  <c r="L457" i="74"/>
  <c r="E457" i="74" s="1"/>
  <c r="J457" i="74"/>
  <c r="L456" i="74"/>
  <c r="E456" i="74" s="1"/>
  <c r="AH456" i="74" s="1"/>
  <c r="J456" i="74"/>
  <c r="K456" i="74" s="1"/>
  <c r="M456" i="74" s="1"/>
  <c r="L455" i="74"/>
  <c r="E455" i="74" s="1"/>
  <c r="J455" i="74"/>
  <c r="L454" i="74"/>
  <c r="J454" i="74"/>
  <c r="E454" i="74"/>
  <c r="AH454" i="74" s="1"/>
  <c r="L453" i="74"/>
  <c r="J453" i="74"/>
  <c r="E453" i="74"/>
  <c r="AH453" i="74" s="1"/>
  <c r="L452" i="74"/>
  <c r="J452" i="74"/>
  <c r="E452" i="74"/>
  <c r="L451" i="74"/>
  <c r="J451" i="74"/>
  <c r="E451" i="74"/>
  <c r="L450" i="74"/>
  <c r="E450" i="74" s="1"/>
  <c r="AH450" i="74" s="1"/>
  <c r="J450" i="74"/>
  <c r="K450" i="74" s="1"/>
  <c r="M450" i="74" s="1"/>
  <c r="L449" i="74"/>
  <c r="E449" i="74" s="1"/>
  <c r="J449" i="74"/>
  <c r="L448" i="74"/>
  <c r="E448" i="74" s="1"/>
  <c r="AH448" i="74" s="1"/>
  <c r="J448" i="74"/>
  <c r="L447" i="74"/>
  <c r="E447" i="74" s="1"/>
  <c r="J447" i="74"/>
  <c r="L446" i="74"/>
  <c r="E446" i="74" s="1"/>
  <c r="J446" i="74"/>
  <c r="L445" i="74"/>
  <c r="E445" i="74" s="1"/>
  <c r="AH445" i="74" s="1"/>
  <c r="J445" i="74"/>
  <c r="L444" i="74"/>
  <c r="E444" i="74" s="1"/>
  <c r="J444" i="74"/>
  <c r="L443" i="74"/>
  <c r="E443" i="74" s="1"/>
  <c r="AH443" i="74" s="1"/>
  <c r="K443" i="74"/>
  <c r="M443" i="74" s="1"/>
  <c r="J443" i="74"/>
  <c r="L442" i="74"/>
  <c r="J442" i="74"/>
  <c r="E442" i="74"/>
  <c r="L441" i="74"/>
  <c r="E441" i="74" s="1"/>
  <c r="J441" i="74"/>
  <c r="L440" i="74"/>
  <c r="E440" i="74" s="1"/>
  <c r="J440" i="74"/>
  <c r="L439" i="74"/>
  <c r="J439" i="74"/>
  <c r="E439" i="74"/>
  <c r="L438" i="74"/>
  <c r="E438" i="74" s="1"/>
  <c r="J438" i="74"/>
  <c r="L437" i="74"/>
  <c r="J437" i="74"/>
  <c r="E437" i="74"/>
  <c r="L436" i="74"/>
  <c r="J436" i="74"/>
  <c r="E436" i="74"/>
  <c r="AH436" i="74" s="1"/>
  <c r="L435" i="74"/>
  <c r="E435" i="74" s="1"/>
  <c r="AH435" i="74" s="1"/>
  <c r="J435" i="74"/>
  <c r="L434" i="74"/>
  <c r="J434" i="74"/>
  <c r="K434" i="74" s="1"/>
  <c r="M434" i="74" s="1"/>
  <c r="E434" i="74"/>
  <c r="AH434" i="74" s="1"/>
  <c r="L433" i="74"/>
  <c r="J433" i="74"/>
  <c r="E433" i="74"/>
  <c r="AH433" i="74" s="1"/>
  <c r="L432" i="74"/>
  <c r="E432" i="74" s="1"/>
  <c r="AH432" i="74" s="1"/>
  <c r="J432" i="74"/>
  <c r="L431" i="74"/>
  <c r="E431" i="74" s="1"/>
  <c r="AH431" i="74" s="1"/>
  <c r="J431" i="74"/>
  <c r="L430" i="74"/>
  <c r="J430" i="74"/>
  <c r="E430" i="74"/>
  <c r="AH430" i="74" s="1"/>
  <c r="L429" i="74"/>
  <c r="E429" i="74" s="1"/>
  <c r="J429" i="74"/>
  <c r="L428" i="74"/>
  <c r="E428" i="74" s="1"/>
  <c r="J428" i="74"/>
  <c r="L427" i="74"/>
  <c r="J427" i="74"/>
  <c r="E427" i="74"/>
  <c r="AH427" i="74" s="1"/>
  <c r="L426" i="74"/>
  <c r="E426" i="74" s="1"/>
  <c r="J426" i="74"/>
  <c r="L425" i="74"/>
  <c r="J425" i="74"/>
  <c r="E425" i="74"/>
  <c r="L424" i="74"/>
  <c r="J424" i="74"/>
  <c r="E424" i="74"/>
  <c r="L423" i="74"/>
  <c r="E423" i="74" s="1"/>
  <c r="AH423" i="74" s="1"/>
  <c r="K423" i="74"/>
  <c r="M423" i="74" s="1"/>
  <c r="J423" i="74"/>
  <c r="L422" i="74"/>
  <c r="J422" i="74"/>
  <c r="E422" i="74"/>
  <c r="L421" i="74"/>
  <c r="E421" i="74" s="1"/>
  <c r="AH421" i="74" s="1"/>
  <c r="J421" i="74"/>
  <c r="L420" i="74"/>
  <c r="E420" i="74" s="1"/>
  <c r="J420" i="74"/>
  <c r="L419" i="74"/>
  <c r="E419" i="74" s="1"/>
  <c r="J419" i="74"/>
  <c r="L418" i="74"/>
  <c r="J418" i="74"/>
  <c r="E418" i="74"/>
  <c r="AH418" i="74" s="1"/>
  <c r="L417" i="74"/>
  <c r="J417" i="74"/>
  <c r="E417" i="74"/>
  <c r="L416" i="74"/>
  <c r="J416" i="74"/>
  <c r="E416" i="74"/>
  <c r="L415" i="74"/>
  <c r="E415" i="74" s="1"/>
  <c r="J415" i="74"/>
  <c r="L414" i="74"/>
  <c r="E414" i="74" s="1"/>
  <c r="J414" i="74"/>
  <c r="L413" i="74"/>
  <c r="E413" i="74" s="1"/>
  <c r="J413" i="74"/>
  <c r="L412" i="74"/>
  <c r="J412" i="74"/>
  <c r="E412" i="74"/>
  <c r="AH412" i="74" s="1"/>
  <c r="L411" i="74"/>
  <c r="J411" i="74"/>
  <c r="E411" i="74"/>
  <c r="L410" i="74"/>
  <c r="E410" i="74" s="1"/>
  <c r="AH410" i="74" s="1"/>
  <c r="J410" i="74"/>
  <c r="L409" i="74"/>
  <c r="E409" i="74" s="1"/>
  <c r="AH409" i="74" s="1"/>
  <c r="J409" i="74"/>
  <c r="L408" i="74"/>
  <c r="E408" i="74" s="1"/>
  <c r="J408" i="74"/>
  <c r="L407" i="74"/>
  <c r="E407" i="74" s="1"/>
  <c r="J407" i="74"/>
  <c r="L406" i="74"/>
  <c r="E406" i="74" s="1"/>
  <c r="J406" i="74"/>
  <c r="L405" i="74"/>
  <c r="J405" i="74"/>
  <c r="E405" i="74"/>
  <c r="L404" i="74"/>
  <c r="E404" i="74" s="1"/>
  <c r="J404" i="74"/>
  <c r="L403" i="74"/>
  <c r="J403" i="74"/>
  <c r="E403" i="74"/>
  <c r="L402" i="74"/>
  <c r="J402" i="74"/>
  <c r="E402" i="74"/>
  <c r="L401" i="74"/>
  <c r="E401" i="74" s="1"/>
  <c r="J401" i="74"/>
  <c r="L400" i="74"/>
  <c r="J400" i="74"/>
  <c r="E400" i="74"/>
  <c r="L399" i="74"/>
  <c r="E399" i="74" s="1"/>
  <c r="AH399" i="74" s="1"/>
  <c r="J399" i="74"/>
  <c r="L398" i="74"/>
  <c r="E398" i="74" s="1"/>
  <c r="J398" i="74"/>
  <c r="L397" i="74"/>
  <c r="E397" i="74" s="1"/>
  <c r="J397" i="74"/>
  <c r="L396" i="74"/>
  <c r="E396" i="74" s="1"/>
  <c r="J396" i="74"/>
  <c r="L395" i="74"/>
  <c r="E395" i="74" s="1"/>
  <c r="AH395" i="74" s="1"/>
  <c r="J395" i="74"/>
  <c r="K395" i="74" s="1"/>
  <c r="M395" i="74" s="1"/>
  <c r="L394" i="74"/>
  <c r="J394" i="74"/>
  <c r="K394" i="74" s="1"/>
  <c r="M394" i="74" s="1"/>
  <c r="E394" i="74"/>
  <c r="AH394" i="74" s="1"/>
  <c r="L393" i="74"/>
  <c r="J393" i="74"/>
  <c r="E393" i="74"/>
  <c r="L392" i="74"/>
  <c r="J392" i="74"/>
  <c r="E392" i="74"/>
  <c r="AH392" i="74" s="1"/>
  <c r="L391" i="74"/>
  <c r="E391" i="74" s="1"/>
  <c r="J391" i="74"/>
  <c r="L390" i="74"/>
  <c r="J390" i="74"/>
  <c r="E390" i="74"/>
  <c r="L389" i="74"/>
  <c r="E389" i="74" s="1"/>
  <c r="AH389" i="74" s="1"/>
  <c r="J389" i="74"/>
  <c r="L388" i="74"/>
  <c r="E388" i="74" s="1"/>
  <c r="J388" i="74"/>
  <c r="L387" i="74"/>
  <c r="E387" i="74" s="1"/>
  <c r="AH387" i="74" s="1"/>
  <c r="J387" i="74"/>
  <c r="K387" i="74" s="1"/>
  <c r="M387" i="74" s="1"/>
  <c r="L386" i="74"/>
  <c r="E386" i="74" s="1"/>
  <c r="AH386" i="74" s="1"/>
  <c r="J386" i="74"/>
  <c r="L385" i="74"/>
  <c r="J385" i="74"/>
  <c r="E385" i="74"/>
  <c r="L384" i="74"/>
  <c r="E384" i="74" s="1"/>
  <c r="AH384" i="74" s="1"/>
  <c r="J384" i="74"/>
  <c r="L383" i="74"/>
  <c r="E383" i="74" s="1"/>
  <c r="J383" i="74"/>
  <c r="L382" i="74"/>
  <c r="E382" i="74" s="1"/>
  <c r="AH382" i="74" s="1"/>
  <c r="J382" i="74"/>
  <c r="L381" i="74"/>
  <c r="J381" i="74"/>
  <c r="E381" i="74"/>
  <c r="L380" i="74"/>
  <c r="E380" i="74" s="1"/>
  <c r="J380" i="74"/>
  <c r="L379" i="74"/>
  <c r="J379" i="74"/>
  <c r="E379" i="74"/>
  <c r="AH379" i="74" s="1"/>
  <c r="L378" i="74"/>
  <c r="J378" i="74"/>
  <c r="E378" i="74"/>
  <c r="AH378" i="74" s="1"/>
  <c r="L377" i="74"/>
  <c r="E377" i="74" s="1"/>
  <c r="J377" i="74"/>
  <c r="L376" i="74"/>
  <c r="K376" i="74"/>
  <c r="M376" i="74" s="1"/>
  <c r="J376" i="74"/>
  <c r="E376" i="74"/>
  <c r="AH376" i="74" s="1"/>
  <c r="L375" i="74"/>
  <c r="E375" i="74" s="1"/>
  <c r="J375" i="74"/>
  <c r="L374" i="74"/>
  <c r="E374" i="74" s="1"/>
  <c r="AH374" i="74" s="1"/>
  <c r="J374" i="74"/>
  <c r="L373" i="74"/>
  <c r="E373" i="74" s="1"/>
  <c r="AH373" i="74" s="1"/>
  <c r="J373" i="74"/>
  <c r="L372" i="74"/>
  <c r="J372" i="74"/>
  <c r="E372" i="74"/>
  <c r="AH372" i="74" s="1"/>
  <c r="L371" i="74"/>
  <c r="E371" i="74" s="1"/>
  <c r="J371" i="74"/>
  <c r="L370" i="74"/>
  <c r="J370" i="74"/>
  <c r="E370" i="74"/>
  <c r="L369" i="74"/>
  <c r="E369" i="74" s="1"/>
  <c r="J369" i="74"/>
  <c r="L368" i="74"/>
  <c r="J368" i="74"/>
  <c r="E368" i="74"/>
  <c r="AH368" i="74" s="1"/>
  <c r="L367" i="74"/>
  <c r="E367" i="74" s="1"/>
  <c r="J367" i="74"/>
  <c r="L366" i="74"/>
  <c r="E366" i="74" s="1"/>
  <c r="J366" i="74"/>
  <c r="L365" i="74"/>
  <c r="J365" i="74"/>
  <c r="E365" i="74"/>
  <c r="L364" i="74"/>
  <c r="E364" i="74" s="1"/>
  <c r="J364" i="74"/>
  <c r="L363" i="74"/>
  <c r="E363" i="74" s="1"/>
  <c r="J363" i="74"/>
  <c r="L362" i="74"/>
  <c r="E362" i="74" s="1"/>
  <c r="AH362" i="74" s="1"/>
  <c r="J362" i="74"/>
  <c r="L361" i="74"/>
  <c r="E361" i="74" s="1"/>
  <c r="J361" i="74"/>
  <c r="L360" i="74"/>
  <c r="E360" i="74" s="1"/>
  <c r="AH360" i="74" s="1"/>
  <c r="J360" i="74"/>
  <c r="L359" i="74"/>
  <c r="E359" i="74" s="1"/>
  <c r="AH359" i="74" s="1"/>
  <c r="J359" i="74"/>
  <c r="L358" i="74"/>
  <c r="J358" i="74"/>
  <c r="E358" i="74"/>
  <c r="L357" i="74"/>
  <c r="E357" i="74" s="1"/>
  <c r="J357" i="74"/>
  <c r="L356" i="74"/>
  <c r="E356" i="74" s="1"/>
  <c r="J356" i="74"/>
  <c r="L355" i="74"/>
  <c r="J355" i="74"/>
  <c r="E355" i="74"/>
  <c r="L354" i="74"/>
  <c r="E354" i="74" s="1"/>
  <c r="AH354" i="74" s="1"/>
  <c r="J354" i="74"/>
  <c r="L353" i="74"/>
  <c r="E353" i="74" s="1"/>
  <c r="J353" i="74"/>
  <c r="L352" i="74"/>
  <c r="J352" i="74"/>
  <c r="E352" i="74"/>
  <c r="AH352" i="74" s="1"/>
  <c r="L351" i="74"/>
  <c r="E351" i="74" s="1"/>
  <c r="J351" i="74"/>
  <c r="L350" i="74"/>
  <c r="K350" i="74"/>
  <c r="M350" i="74" s="1"/>
  <c r="J350" i="74"/>
  <c r="E350" i="74"/>
  <c r="AH350" i="74" s="1"/>
  <c r="L349" i="74"/>
  <c r="E349" i="74" s="1"/>
  <c r="J349" i="74"/>
  <c r="L348" i="74"/>
  <c r="E348" i="74" s="1"/>
  <c r="J348" i="74"/>
  <c r="L347" i="74"/>
  <c r="E347" i="74" s="1"/>
  <c r="J347" i="74"/>
  <c r="L346" i="74"/>
  <c r="J346" i="74"/>
  <c r="E346" i="74"/>
  <c r="AH346" i="74" s="1"/>
  <c r="L345" i="74"/>
  <c r="J345" i="74"/>
  <c r="E345" i="74"/>
  <c r="L344" i="74"/>
  <c r="E344" i="74" s="1"/>
  <c r="J344" i="74"/>
  <c r="L343" i="74"/>
  <c r="J343" i="74"/>
  <c r="E343" i="74"/>
  <c r="AH343" i="74" s="1"/>
  <c r="L342" i="74"/>
  <c r="E342" i="74" s="1"/>
  <c r="J342" i="74"/>
  <c r="L341" i="74"/>
  <c r="E341" i="74" s="1"/>
  <c r="AH341" i="74" s="1"/>
  <c r="K341" i="74"/>
  <c r="M341" i="74" s="1"/>
  <c r="J341" i="74"/>
  <c r="L340" i="74"/>
  <c r="J340" i="74"/>
  <c r="E340" i="74"/>
  <c r="L339" i="74"/>
  <c r="J339" i="74"/>
  <c r="E339" i="74"/>
  <c r="L338" i="74"/>
  <c r="E338" i="74" s="1"/>
  <c r="J338" i="74"/>
  <c r="L337" i="74"/>
  <c r="E337" i="74" s="1"/>
  <c r="J337" i="74"/>
  <c r="L336" i="74"/>
  <c r="E336" i="74" s="1"/>
  <c r="AH336" i="74" s="1"/>
  <c r="J336" i="74"/>
  <c r="L335" i="74"/>
  <c r="E335" i="74" s="1"/>
  <c r="AH335" i="74" s="1"/>
  <c r="J335" i="74"/>
  <c r="L334" i="74"/>
  <c r="J334" i="74"/>
  <c r="E334" i="74"/>
  <c r="L333" i="74"/>
  <c r="J333" i="74"/>
  <c r="K333" i="74" s="1"/>
  <c r="M333" i="74" s="1"/>
  <c r="E333" i="74"/>
  <c r="AH333" i="74" s="1"/>
  <c r="L332" i="74"/>
  <c r="E332" i="74" s="1"/>
  <c r="J332" i="74"/>
  <c r="L331" i="74"/>
  <c r="J331" i="74"/>
  <c r="E331" i="74"/>
  <c r="L330" i="74"/>
  <c r="E330" i="74" s="1"/>
  <c r="J330" i="74"/>
  <c r="L329" i="74"/>
  <c r="E329" i="74" s="1"/>
  <c r="J329" i="74"/>
  <c r="L328" i="74"/>
  <c r="E328" i="74" s="1"/>
  <c r="AH328" i="74" s="1"/>
  <c r="K328" i="74"/>
  <c r="M328" i="74" s="1"/>
  <c r="J328" i="74"/>
  <c r="L327" i="74"/>
  <c r="J327" i="74"/>
  <c r="E327" i="74"/>
  <c r="L326" i="74"/>
  <c r="E326" i="74" s="1"/>
  <c r="J326" i="74"/>
  <c r="L325" i="74"/>
  <c r="E325" i="74" s="1"/>
  <c r="J325" i="74"/>
  <c r="L324" i="74"/>
  <c r="J324" i="74"/>
  <c r="E324" i="74"/>
  <c r="AH324" i="74" s="1"/>
  <c r="L323" i="74"/>
  <c r="E323" i="74" s="1"/>
  <c r="AH323" i="74" s="1"/>
  <c r="K323" i="74"/>
  <c r="M323" i="74" s="1"/>
  <c r="J323" i="74"/>
  <c r="L322" i="74"/>
  <c r="E322" i="74" s="1"/>
  <c r="J322" i="74"/>
  <c r="L321" i="74"/>
  <c r="E321" i="74" s="1"/>
  <c r="AH321" i="74" s="1"/>
  <c r="J321" i="74"/>
  <c r="L320" i="74"/>
  <c r="E320" i="74" s="1"/>
  <c r="J320" i="74"/>
  <c r="L319" i="74"/>
  <c r="E319" i="74" s="1"/>
  <c r="J319" i="74"/>
  <c r="L318" i="74"/>
  <c r="E318" i="74" s="1"/>
  <c r="J318" i="74"/>
  <c r="L317" i="74"/>
  <c r="J317" i="74"/>
  <c r="E317" i="74"/>
  <c r="L316" i="74"/>
  <c r="E316" i="74" s="1"/>
  <c r="AH316" i="74" s="1"/>
  <c r="K316" i="74"/>
  <c r="M316" i="74" s="1"/>
  <c r="J316" i="74"/>
  <c r="L315" i="74"/>
  <c r="E315" i="74" s="1"/>
  <c r="AH315" i="74" s="1"/>
  <c r="J315" i="74"/>
  <c r="L314" i="74"/>
  <c r="E314" i="74" s="1"/>
  <c r="AH314" i="74" s="1"/>
  <c r="J314" i="74"/>
  <c r="K314" i="74" s="1"/>
  <c r="M314" i="74" s="1"/>
  <c r="L313" i="74"/>
  <c r="E313" i="74" s="1"/>
  <c r="AH313" i="74" s="1"/>
  <c r="J313" i="74"/>
  <c r="L312" i="74"/>
  <c r="E312" i="74" s="1"/>
  <c r="J312" i="74"/>
  <c r="L311" i="74"/>
  <c r="E311" i="74" s="1"/>
  <c r="AH311" i="74" s="1"/>
  <c r="J311" i="74"/>
  <c r="L310" i="74"/>
  <c r="E310" i="74" s="1"/>
  <c r="J310" i="74"/>
  <c r="L309" i="74"/>
  <c r="E309" i="74" s="1"/>
  <c r="AH309" i="74" s="1"/>
  <c r="J309" i="74"/>
  <c r="L308" i="74"/>
  <c r="J308" i="74"/>
  <c r="E308" i="74"/>
  <c r="AH308" i="74" s="1"/>
  <c r="L307" i="74"/>
  <c r="J307" i="74"/>
  <c r="E307" i="74"/>
  <c r="L306" i="74"/>
  <c r="J306" i="74"/>
  <c r="E306" i="74"/>
  <c r="L305" i="74"/>
  <c r="J305" i="74"/>
  <c r="E305" i="74"/>
  <c r="L304" i="74"/>
  <c r="E304" i="74" s="1"/>
  <c r="AH304" i="74" s="1"/>
  <c r="J304" i="74"/>
  <c r="K304" i="74" s="1"/>
  <c r="M304" i="74" s="1"/>
  <c r="M303" i="74"/>
  <c r="L303" i="74"/>
  <c r="E303" i="74" s="1"/>
  <c r="AH303" i="74" s="1"/>
  <c r="K303" i="74"/>
  <c r="J303" i="74"/>
  <c r="L302" i="74"/>
  <c r="E302" i="74" s="1"/>
  <c r="AH302" i="74" s="1"/>
  <c r="J302" i="74"/>
  <c r="L301" i="74"/>
  <c r="E301" i="74" s="1"/>
  <c r="AH301" i="74" s="1"/>
  <c r="J301" i="74"/>
  <c r="K301" i="74" s="1"/>
  <c r="M301" i="74" s="1"/>
  <c r="L300" i="74"/>
  <c r="E300" i="74" s="1"/>
  <c r="J300" i="74"/>
  <c r="L299" i="74"/>
  <c r="E299" i="74" s="1"/>
  <c r="AH299" i="74" s="1"/>
  <c r="J299" i="74"/>
  <c r="L298" i="74"/>
  <c r="J298" i="74"/>
  <c r="E298" i="74"/>
  <c r="L297" i="74"/>
  <c r="E297" i="74" s="1"/>
  <c r="J297" i="74"/>
  <c r="L296" i="74"/>
  <c r="J296" i="74"/>
  <c r="E296" i="74"/>
  <c r="L295" i="74"/>
  <c r="E295" i="74" s="1"/>
  <c r="J295" i="74"/>
  <c r="L294" i="74"/>
  <c r="E294" i="74" s="1"/>
  <c r="J294" i="74"/>
  <c r="M293" i="74"/>
  <c r="L293" i="74"/>
  <c r="E293" i="74" s="1"/>
  <c r="AH293" i="74" s="1"/>
  <c r="J293" i="74"/>
  <c r="K293" i="74" s="1"/>
  <c r="L292" i="74"/>
  <c r="J292" i="74"/>
  <c r="E292" i="74"/>
  <c r="L291" i="74"/>
  <c r="E291" i="74" s="1"/>
  <c r="J291" i="74"/>
  <c r="L290" i="74"/>
  <c r="E290" i="74" s="1"/>
  <c r="J290" i="74"/>
  <c r="L289" i="74"/>
  <c r="J289" i="74"/>
  <c r="E289" i="74"/>
  <c r="AH289" i="74" s="1"/>
  <c r="L288" i="74"/>
  <c r="E288" i="74" s="1"/>
  <c r="J288" i="74"/>
  <c r="L287" i="74"/>
  <c r="J287" i="74"/>
  <c r="E287" i="74"/>
  <c r="AH287" i="74" s="1"/>
  <c r="L286" i="74"/>
  <c r="J286" i="74"/>
  <c r="E286" i="74"/>
  <c r="AH286" i="74" s="1"/>
  <c r="L285" i="74"/>
  <c r="J285" i="74"/>
  <c r="E285" i="74"/>
  <c r="L284" i="74"/>
  <c r="J284" i="74"/>
  <c r="E284" i="74"/>
  <c r="L283" i="74"/>
  <c r="J283" i="74"/>
  <c r="E283" i="74"/>
  <c r="AH283" i="74" s="1"/>
  <c r="L282" i="74"/>
  <c r="E282" i="74" s="1"/>
  <c r="AH282" i="74" s="1"/>
  <c r="J282" i="74"/>
  <c r="K282" i="74" s="1"/>
  <c r="M282" i="74" s="1"/>
  <c r="L281" i="74"/>
  <c r="E281" i="74" s="1"/>
  <c r="J281" i="74"/>
  <c r="L280" i="74"/>
  <c r="J280" i="74"/>
  <c r="E280" i="74"/>
  <c r="L279" i="74"/>
  <c r="J279" i="74"/>
  <c r="E279" i="74"/>
  <c r="L278" i="74"/>
  <c r="E278" i="74" s="1"/>
  <c r="J278" i="74"/>
  <c r="L277" i="74"/>
  <c r="E277" i="74" s="1"/>
  <c r="AH277" i="74" s="1"/>
  <c r="J277" i="74"/>
  <c r="L276" i="74"/>
  <c r="E276" i="74" s="1"/>
  <c r="J276" i="74"/>
  <c r="L275" i="74"/>
  <c r="E275" i="74" s="1"/>
  <c r="J275" i="74"/>
  <c r="L274" i="74"/>
  <c r="K274" i="74"/>
  <c r="M274" i="74" s="1"/>
  <c r="J274" i="74"/>
  <c r="E274" i="74"/>
  <c r="AH274" i="74" s="1"/>
  <c r="L273" i="74"/>
  <c r="J273" i="74"/>
  <c r="E273" i="74"/>
  <c r="AH273" i="74" s="1"/>
  <c r="L272" i="74"/>
  <c r="E272" i="74" s="1"/>
  <c r="J272" i="74"/>
  <c r="L271" i="74"/>
  <c r="E271" i="74" s="1"/>
  <c r="J271" i="74"/>
  <c r="L270" i="74"/>
  <c r="E270" i="74" s="1"/>
  <c r="J270" i="74"/>
  <c r="L269" i="74"/>
  <c r="E269" i="74" s="1"/>
  <c r="J269" i="74"/>
  <c r="L268" i="74"/>
  <c r="E268" i="74" s="1"/>
  <c r="J268" i="74"/>
  <c r="L267" i="74"/>
  <c r="E267" i="74" s="1"/>
  <c r="AH267" i="74" s="1"/>
  <c r="J267" i="74"/>
  <c r="L266" i="74"/>
  <c r="J266" i="74"/>
  <c r="E266" i="74"/>
  <c r="AH266" i="74" s="1"/>
  <c r="L265" i="74"/>
  <c r="E265" i="74" s="1"/>
  <c r="J265" i="74"/>
  <c r="L264" i="74"/>
  <c r="J264" i="74"/>
  <c r="E264" i="74"/>
  <c r="AH264" i="74" s="1"/>
  <c r="L263" i="74"/>
  <c r="E263" i="74" s="1"/>
  <c r="AH263" i="74" s="1"/>
  <c r="J263" i="74"/>
  <c r="L262" i="74"/>
  <c r="E262" i="74" s="1"/>
  <c r="AH262" i="74" s="1"/>
  <c r="J262" i="74"/>
  <c r="L261" i="74"/>
  <c r="E261" i="74" s="1"/>
  <c r="J261" i="74"/>
  <c r="L260" i="74"/>
  <c r="E260" i="74" s="1"/>
  <c r="J260" i="74"/>
  <c r="L259" i="74"/>
  <c r="E259" i="74" s="1"/>
  <c r="AH259" i="74" s="1"/>
  <c r="J259" i="74"/>
  <c r="K259" i="74" s="1"/>
  <c r="M259" i="74" s="1"/>
  <c r="L258" i="74"/>
  <c r="E258" i="74" s="1"/>
  <c r="J258" i="74"/>
  <c r="L257" i="74"/>
  <c r="J257" i="74"/>
  <c r="E257" i="74"/>
  <c r="L256" i="74"/>
  <c r="E256" i="74" s="1"/>
  <c r="AH256" i="74" s="1"/>
  <c r="J256" i="74"/>
  <c r="K256" i="74" s="1"/>
  <c r="M256" i="74" s="1"/>
  <c r="L255" i="74"/>
  <c r="E255" i="74" s="1"/>
  <c r="J255" i="74"/>
  <c r="L254" i="74"/>
  <c r="J254" i="74"/>
  <c r="E254" i="74"/>
  <c r="AH254" i="74" s="1"/>
  <c r="L253" i="74"/>
  <c r="E253" i="74" s="1"/>
  <c r="J253" i="74"/>
  <c r="L252" i="74"/>
  <c r="J252" i="74"/>
  <c r="E252" i="74"/>
  <c r="AH252" i="74" s="1"/>
  <c r="L251" i="74"/>
  <c r="J251" i="74"/>
  <c r="E251" i="74"/>
  <c r="AH251" i="74" s="1"/>
  <c r="L250" i="74"/>
  <c r="E250" i="74" s="1"/>
  <c r="AH250" i="74" s="1"/>
  <c r="J250" i="74"/>
  <c r="L249" i="74"/>
  <c r="J249" i="74"/>
  <c r="E249" i="74"/>
  <c r="L248" i="74"/>
  <c r="J248" i="74"/>
  <c r="E248" i="74"/>
  <c r="L247" i="74"/>
  <c r="J247" i="74"/>
  <c r="E247" i="74"/>
  <c r="L246" i="74"/>
  <c r="J246" i="74"/>
  <c r="E246" i="74"/>
  <c r="AH246" i="74" s="1"/>
  <c r="L245" i="74"/>
  <c r="E245" i="74" s="1"/>
  <c r="AH245" i="74" s="1"/>
  <c r="J245" i="74"/>
  <c r="K245" i="74" s="1"/>
  <c r="M245" i="74" s="1"/>
  <c r="L244" i="74"/>
  <c r="J244" i="74"/>
  <c r="E244" i="74"/>
  <c r="L243" i="74"/>
  <c r="E243" i="74" s="1"/>
  <c r="J243" i="74"/>
  <c r="L242" i="74"/>
  <c r="J242" i="74"/>
  <c r="E242" i="74"/>
  <c r="L241" i="74"/>
  <c r="E241" i="74" s="1"/>
  <c r="AH241" i="74" s="1"/>
  <c r="J241" i="74"/>
  <c r="L240" i="74"/>
  <c r="J240" i="74"/>
  <c r="E240" i="74"/>
  <c r="AH240" i="74" s="1"/>
  <c r="L239" i="74"/>
  <c r="J239" i="74"/>
  <c r="E239" i="74"/>
  <c r="L238" i="74"/>
  <c r="E238" i="74" s="1"/>
  <c r="AH238" i="74" s="1"/>
  <c r="J238" i="74"/>
  <c r="L237" i="74"/>
  <c r="E237" i="74" s="1"/>
  <c r="J237" i="74"/>
  <c r="L236" i="74"/>
  <c r="J236" i="74"/>
  <c r="E236" i="74"/>
  <c r="L235" i="74"/>
  <c r="E235" i="74" s="1"/>
  <c r="AH235" i="74" s="1"/>
  <c r="J235" i="74"/>
  <c r="L234" i="74"/>
  <c r="J234" i="74"/>
  <c r="E234" i="74"/>
  <c r="L233" i="74"/>
  <c r="E233" i="74" s="1"/>
  <c r="J233" i="74"/>
  <c r="L232" i="74"/>
  <c r="E232" i="74" s="1"/>
  <c r="AH232" i="74" s="1"/>
  <c r="K232" i="74"/>
  <c r="M232" i="74" s="1"/>
  <c r="J232" i="74"/>
  <c r="L231" i="74"/>
  <c r="E231" i="74" s="1"/>
  <c r="J231" i="74"/>
  <c r="L230" i="74"/>
  <c r="J230" i="74"/>
  <c r="E230" i="74"/>
  <c r="AH230" i="74" s="1"/>
  <c r="L229" i="74"/>
  <c r="E229" i="74" s="1"/>
  <c r="AH229" i="74" s="1"/>
  <c r="J229" i="74"/>
  <c r="L228" i="74"/>
  <c r="E228" i="74" s="1"/>
  <c r="J228" i="74"/>
  <c r="L227" i="74"/>
  <c r="E227" i="74" s="1"/>
  <c r="AH227" i="74" s="1"/>
  <c r="J227" i="74"/>
  <c r="K227" i="74" s="1"/>
  <c r="M227" i="74" s="1"/>
  <c r="L226" i="74"/>
  <c r="E226" i="74" s="1"/>
  <c r="J226" i="74"/>
  <c r="L225" i="74"/>
  <c r="E225" i="74" s="1"/>
  <c r="J225" i="74"/>
  <c r="L224" i="74"/>
  <c r="J224" i="74"/>
  <c r="E224" i="74"/>
  <c r="AH224" i="74" s="1"/>
  <c r="L223" i="74"/>
  <c r="J223" i="74"/>
  <c r="E223" i="74"/>
  <c r="L222" i="74"/>
  <c r="J222" i="74"/>
  <c r="E222" i="74"/>
  <c r="AH222" i="74" s="1"/>
  <c r="L221" i="74"/>
  <c r="E221" i="74" s="1"/>
  <c r="AH221" i="74" s="1"/>
  <c r="K221" i="74"/>
  <c r="M221" i="74" s="1"/>
  <c r="J221" i="74"/>
  <c r="L220" i="74"/>
  <c r="E220" i="74" s="1"/>
  <c r="J220" i="74"/>
  <c r="L219" i="74"/>
  <c r="E219" i="74" s="1"/>
  <c r="AH219" i="74" s="1"/>
  <c r="J219" i="74"/>
  <c r="L218" i="74"/>
  <c r="E218" i="74" s="1"/>
  <c r="AH218" i="74" s="1"/>
  <c r="K218" i="74"/>
  <c r="M218" i="74" s="1"/>
  <c r="J218" i="74"/>
  <c r="L217" i="74"/>
  <c r="E217" i="74" s="1"/>
  <c r="AH217" i="74" s="1"/>
  <c r="J217" i="74"/>
  <c r="K217" i="74" s="1"/>
  <c r="M217" i="74" s="1"/>
  <c r="L216" i="74"/>
  <c r="E216" i="74" s="1"/>
  <c r="AH216" i="74" s="1"/>
  <c r="J216" i="74"/>
  <c r="L215" i="74"/>
  <c r="E215" i="74" s="1"/>
  <c r="J215" i="74"/>
  <c r="L214" i="74"/>
  <c r="J214" i="74"/>
  <c r="E214" i="74"/>
  <c r="L213" i="74"/>
  <c r="E213" i="74" s="1"/>
  <c r="J213" i="74"/>
  <c r="L212" i="74"/>
  <c r="J212" i="74"/>
  <c r="E212" i="74"/>
  <c r="L211" i="74"/>
  <c r="J211" i="74"/>
  <c r="E211" i="74"/>
  <c r="L210" i="74"/>
  <c r="E210" i="74" s="1"/>
  <c r="AH210" i="74" s="1"/>
  <c r="K210" i="74"/>
  <c r="M210" i="74" s="1"/>
  <c r="J210" i="74"/>
  <c r="L209" i="74"/>
  <c r="E209" i="74" s="1"/>
  <c r="J209" i="74"/>
  <c r="L208" i="74"/>
  <c r="J208" i="74"/>
  <c r="E208" i="74"/>
  <c r="AH208" i="74" s="1"/>
  <c r="L207" i="74"/>
  <c r="E207" i="74" s="1"/>
  <c r="AH207" i="74" s="1"/>
  <c r="J207" i="74"/>
  <c r="L206" i="74"/>
  <c r="J206" i="74"/>
  <c r="E206" i="74"/>
  <c r="L205" i="74"/>
  <c r="J205" i="74"/>
  <c r="E205" i="74"/>
  <c r="AH205" i="74" s="1"/>
  <c r="L204" i="74"/>
  <c r="E204" i="74" s="1"/>
  <c r="J204" i="74"/>
  <c r="L203" i="74"/>
  <c r="J203" i="74"/>
  <c r="E203" i="74"/>
  <c r="L202" i="74"/>
  <c r="J202" i="74"/>
  <c r="E202" i="74"/>
  <c r="AH202" i="74" s="1"/>
  <c r="L201" i="74"/>
  <c r="E201" i="74" s="1"/>
  <c r="AH201" i="74" s="1"/>
  <c r="J201" i="74"/>
  <c r="L200" i="74"/>
  <c r="J200" i="74"/>
  <c r="E200" i="74"/>
  <c r="L199" i="74"/>
  <c r="J199" i="74"/>
  <c r="E199" i="74"/>
  <c r="L198" i="74"/>
  <c r="J198" i="74"/>
  <c r="E198" i="74"/>
  <c r="L197" i="74"/>
  <c r="J197" i="74"/>
  <c r="E197" i="74"/>
  <c r="L196" i="74"/>
  <c r="J196" i="74"/>
  <c r="E196" i="74"/>
  <c r="AH196" i="74" s="1"/>
  <c r="L195" i="74"/>
  <c r="E195" i="74" s="1"/>
  <c r="J195" i="74"/>
  <c r="L194" i="74"/>
  <c r="J194" i="74"/>
  <c r="E194" i="74"/>
  <c r="AH194" i="74" s="1"/>
  <c r="L193" i="74"/>
  <c r="E193" i="74" s="1"/>
  <c r="J193" i="74"/>
  <c r="L192" i="74"/>
  <c r="E192" i="74" s="1"/>
  <c r="AH192" i="74" s="1"/>
  <c r="K192" i="74"/>
  <c r="M192" i="74" s="1"/>
  <c r="J192" i="74"/>
  <c r="L191" i="74"/>
  <c r="E191" i="74" s="1"/>
  <c r="J191" i="74"/>
  <c r="L190" i="74"/>
  <c r="E190" i="74" s="1"/>
  <c r="J190" i="74"/>
  <c r="L189" i="74"/>
  <c r="E189" i="74" s="1"/>
  <c r="J189" i="74"/>
  <c r="L188" i="74"/>
  <c r="E188" i="74" s="1"/>
  <c r="J188" i="74"/>
  <c r="L187" i="74"/>
  <c r="E187" i="74" s="1"/>
  <c r="J187" i="74"/>
  <c r="L186" i="74"/>
  <c r="E186" i="74" s="1"/>
  <c r="J186" i="74"/>
  <c r="L185" i="74"/>
  <c r="E185" i="74" s="1"/>
  <c r="J185" i="74"/>
  <c r="L184" i="74"/>
  <c r="J184" i="74"/>
  <c r="E184" i="74"/>
  <c r="AH184" i="74" s="1"/>
  <c r="L183" i="74"/>
  <c r="J183" i="74"/>
  <c r="E183" i="74"/>
  <c r="L182" i="74"/>
  <c r="J182" i="74"/>
  <c r="E182" i="74"/>
  <c r="L181" i="74"/>
  <c r="J181" i="74"/>
  <c r="E181" i="74"/>
  <c r="L180" i="74"/>
  <c r="E180" i="74" s="1"/>
  <c r="AH180" i="74" s="1"/>
  <c r="K180" i="74"/>
  <c r="M180" i="74" s="1"/>
  <c r="J180" i="74"/>
  <c r="L179" i="74"/>
  <c r="E179" i="74" s="1"/>
  <c r="AH179" i="74" s="1"/>
  <c r="J179" i="74"/>
  <c r="L178" i="74"/>
  <c r="E178" i="74" s="1"/>
  <c r="AH178" i="74" s="1"/>
  <c r="J178" i="74"/>
  <c r="L177" i="74"/>
  <c r="E177" i="74" s="1"/>
  <c r="J177" i="74"/>
  <c r="L176" i="74"/>
  <c r="J176" i="74"/>
  <c r="E176" i="74"/>
  <c r="L175" i="74"/>
  <c r="E175" i="74" s="1"/>
  <c r="J175" i="74"/>
  <c r="L174" i="74"/>
  <c r="E174" i="74" s="1"/>
  <c r="AH174" i="74" s="1"/>
  <c r="J174" i="74"/>
  <c r="L173" i="74"/>
  <c r="E173" i="74" s="1"/>
  <c r="J173" i="74"/>
  <c r="L172" i="74"/>
  <c r="E172" i="74" s="1"/>
  <c r="AH172" i="74" s="1"/>
  <c r="J172" i="74"/>
  <c r="K172" i="74" s="1"/>
  <c r="M172" i="74" s="1"/>
  <c r="M171" i="74"/>
  <c r="L171" i="74"/>
  <c r="E171" i="74" s="1"/>
  <c r="AH171" i="74" s="1"/>
  <c r="K171" i="74"/>
  <c r="J171" i="74"/>
  <c r="L170" i="74"/>
  <c r="J170" i="74"/>
  <c r="E170" i="74"/>
  <c r="L169" i="74"/>
  <c r="E169" i="74" s="1"/>
  <c r="AH169" i="74" s="1"/>
  <c r="K169" i="74"/>
  <c r="M169" i="74" s="1"/>
  <c r="J169" i="74"/>
  <c r="L168" i="74"/>
  <c r="J168" i="74"/>
  <c r="E168" i="74"/>
  <c r="L167" i="74"/>
  <c r="J167" i="74"/>
  <c r="E167" i="74"/>
  <c r="L166" i="74"/>
  <c r="E166" i="74" s="1"/>
  <c r="J166" i="74"/>
  <c r="L165" i="74"/>
  <c r="E165" i="74" s="1"/>
  <c r="AH165" i="74" s="1"/>
  <c r="J165" i="74"/>
  <c r="K165" i="74" s="1"/>
  <c r="M165" i="74" s="1"/>
  <c r="L164" i="74"/>
  <c r="J164" i="74"/>
  <c r="E164" i="74"/>
  <c r="AH164" i="74" s="1"/>
  <c r="L163" i="74"/>
  <c r="E163" i="74" s="1"/>
  <c r="AH163" i="74" s="1"/>
  <c r="J163" i="74"/>
  <c r="L162" i="74"/>
  <c r="J162" i="74"/>
  <c r="E162" i="74"/>
  <c r="AH162" i="74" s="1"/>
  <c r="L161" i="74"/>
  <c r="J161" i="74"/>
  <c r="E161" i="74"/>
  <c r="L160" i="74"/>
  <c r="E160" i="74" s="1"/>
  <c r="AH160" i="74" s="1"/>
  <c r="J160" i="74"/>
  <c r="L159" i="74"/>
  <c r="E159" i="74" s="1"/>
  <c r="J159" i="74"/>
  <c r="L158" i="74"/>
  <c r="J158" i="74"/>
  <c r="E158" i="74"/>
  <c r="AH158" i="74" s="1"/>
  <c r="L157" i="74"/>
  <c r="E157" i="74" s="1"/>
  <c r="AH157" i="74" s="1"/>
  <c r="J157" i="74"/>
  <c r="L156" i="74"/>
  <c r="E156" i="74" s="1"/>
  <c r="J156" i="74"/>
  <c r="L155" i="74"/>
  <c r="J155" i="74"/>
  <c r="E155" i="74"/>
  <c r="L154" i="74"/>
  <c r="J154" i="74"/>
  <c r="E154" i="74"/>
  <c r="AH154" i="74" s="1"/>
  <c r="L153" i="74"/>
  <c r="E153" i="74" s="1"/>
  <c r="AH153" i="74" s="1"/>
  <c r="J153" i="74"/>
  <c r="L152" i="74"/>
  <c r="J152" i="74"/>
  <c r="E152" i="74"/>
  <c r="L151" i="74"/>
  <c r="E151" i="74" s="1"/>
  <c r="J151" i="74"/>
  <c r="L150" i="74"/>
  <c r="E150" i="74" s="1"/>
  <c r="AH150" i="74" s="1"/>
  <c r="K150" i="74"/>
  <c r="M150" i="74" s="1"/>
  <c r="J150" i="74"/>
  <c r="L149" i="74"/>
  <c r="E149" i="74" s="1"/>
  <c r="AH149" i="74" s="1"/>
  <c r="J149" i="74"/>
  <c r="K149" i="74" s="1"/>
  <c r="M149" i="74" s="1"/>
  <c r="L148" i="74"/>
  <c r="E148" i="74" s="1"/>
  <c r="J148" i="74"/>
  <c r="L147" i="74"/>
  <c r="E147" i="74" s="1"/>
  <c r="AH147" i="74" s="1"/>
  <c r="J147" i="74"/>
  <c r="L146" i="74"/>
  <c r="J146" i="74"/>
  <c r="E146" i="74"/>
  <c r="AH146" i="74" s="1"/>
  <c r="L145" i="74"/>
  <c r="E145" i="74" s="1"/>
  <c r="J145" i="74"/>
  <c r="L144" i="74"/>
  <c r="E144" i="74" s="1"/>
  <c r="AH144" i="74" s="1"/>
  <c r="J144" i="74"/>
  <c r="L143" i="74"/>
  <c r="E143" i="74" s="1"/>
  <c r="AH143" i="74" s="1"/>
  <c r="J143" i="74"/>
  <c r="L142" i="74"/>
  <c r="E142" i="74" s="1"/>
  <c r="AH142" i="74" s="1"/>
  <c r="J142" i="74"/>
  <c r="L141" i="74"/>
  <c r="J141" i="74"/>
  <c r="E141" i="74"/>
  <c r="L140" i="74"/>
  <c r="E140" i="74" s="1"/>
  <c r="J140" i="74"/>
  <c r="L139" i="74"/>
  <c r="E139" i="74" s="1"/>
  <c r="J139" i="74"/>
  <c r="L138" i="74"/>
  <c r="J138" i="74"/>
  <c r="E138" i="74"/>
  <c r="L137" i="74"/>
  <c r="E137" i="74" s="1"/>
  <c r="J137" i="74"/>
  <c r="L136" i="74"/>
  <c r="J136" i="74"/>
  <c r="E136" i="74"/>
  <c r="AH136" i="74" s="1"/>
  <c r="L135" i="74"/>
  <c r="J135" i="74"/>
  <c r="E135" i="74"/>
  <c r="L134" i="74"/>
  <c r="E134" i="74" s="1"/>
  <c r="AH134" i="74" s="1"/>
  <c r="K134" i="74"/>
  <c r="M134" i="74" s="1"/>
  <c r="J134" i="74"/>
  <c r="L133" i="74"/>
  <c r="E133" i="74" s="1"/>
  <c r="J133" i="74"/>
  <c r="L132" i="74"/>
  <c r="J132" i="74"/>
  <c r="E132" i="74"/>
  <c r="L131" i="74"/>
  <c r="E131" i="74" s="1"/>
  <c r="AH131" i="74" s="1"/>
  <c r="K131" i="74"/>
  <c r="M131" i="74" s="1"/>
  <c r="J131" i="74"/>
  <c r="L130" i="74"/>
  <c r="J130" i="74"/>
  <c r="E130" i="74"/>
  <c r="L129" i="74"/>
  <c r="E129" i="74" s="1"/>
  <c r="J129" i="74"/>
  <c r="L128" i="74"/>
  <c r="E128" i="74" s="1"/>
  <c r="J128" i="74"/>
  <c r="L127" i="74"/>
  <c r="E127" i="74" s="1"/>
  <c r="K127" i="74"/>
  <c r="M127" i="74" s="1"/>
  <c r="J127" i="74"/>
  <c r="L126" i="74"/>
  <c r="E126" i="74" s="1"/>
  <c r="AH126" i="74" s="1"/>
  <c r="J126" i="74"/>
  <c r="K126" i="74" s="1"/>
  <c r="M126" i="74" s="1"/>
  <c r="L125" i="74"/>
  <c r="E125" i="74" s="1"/>
  <c r="AH125" i="74" s="1"/>
  <c r="J125" i="74"/>
  <c r="K125" i="74" s="1"/>
  <c r="M125" i="74" s="1"/>
  <c r="L124" i="74"/>
  <c r="E124" i="74" s="1"/>
  <c r="J124" i="74"/>
  <c r="L123" i="74"/>
  <c r="E123" i="74" s="1"/>
  <c r="J123" i="74"/>
  <c r="L122" i="74"/>
  <c r="E122" i="74" s="1"/>
  <c r="J122" i="74"/>
  <c r="L121" i="74"/>
  <c r="E121" i="74" s="1"/>
  <c r="J121" i="74"/>
  <c r="L120" i="74"/>
  <c r="E120" i="74" s="1"/>
  <c r="AH120" i="74" s="1"/>
  <c r="K120" i="74"/>
  <c r="M120" i="74" s="1"/>
  <c r="J120" i="74"/>
  <c r="L119" i="74"/>
  <c r="E119" i="74" s="1"/>
  <c r="AH119" i="74" s="1"/>
  <c r="J119" i="74"/>
  <c r="K119" i="74" s="1"/>
  <c r="M119" i="74" s="1"/>
  <c r="L118" i="74"/>
  <c r="E118" i="74" s="1"/>
  <c r="AH118" i="74" s="1"/>
  <c r="J118" i="74"/>
  <c r="K118" i="74" s="1"/>
  <c r="M118" i="74" s="1"/>
  <c r="L117" i="74"/>
  <c r="E117" i="74" s="1"/>
  <c r="AH117" i="74" s="1"/>
  <c r="J117" i="74"/>
  <c r="K117" i="74" s="1"/>
  <c r="M117" i="74" s="1"/>
  <c r="L116" i="74"/>
  <c r="E116" i="74" s="1"/>
  <c r="J116" i="74"/>
  <c r="L115" i="74"/>
  <c r="E115" i="74" s="1"/>
  <c r="AH115" i="74" s="1"/>
  <c r="J115" i="74"/>
  <c r="K115" i="74" s="1"/>
  <c r="M115" i="74" s="1"/>
  <c r="L114" i="74"/>
  <c r="E114" i="74" s="1"/>
  <c r="AH114" i="74" s="1"/>
  <c r="J114" i="74"/>
  <c r="K114" i="74" s="1"/>
  <c r="M114" i="74" s="1"/>
  <c r="L113" i="74"/>
  <c r="E113" i="74" s="1"/>
  <c r="J113" i="74"/>
  <c r="L112" i="74"/>
  <c r="E112" i="74" s="1"/>
  <c r="J112" i="74"/>
  <c r="L111" i="74"/>
  <c r="E111" i="74" s="1"/>
  <c r="J111" i="74"/>
  <c r="L110" i="74"/>
  <c r="E110" i="74" s="1"/>
  <c r="AH110" i="74" s="1"/>
  <c r="K110" i="74"/>
  <c r="M110" i="74" s="1"/>
  <c r="J110" i="74"/>
  <c r="L109" i="74"/>
  <c r="E109" i="74" s="1"/>
  <c r="AH109" i="74" s="1"/>
  <c r="J109" i="74"/>
  <c r="K109" i="74" s="1"/>
  <c r="M109" i="74" s="1"/>
  <c r="L108" i="74"/>
  <c r="E108" i="74" s="1"/>
  <c r="J108" i="74"/>
  <c r="L107" i="74"/>
  <c r="E107" i="74" s="1"/>
  <c r="AH107" i="74" s="1"/>
  <c r="K107" i="74"/>
  <c r="M107" i="74" s="1"/>
  <c r="J107" i="74"/>
  <c r="L106" i="74"/>
  <c r="E106" i="74" s="1"/>
  <c r="AH106" i="74" s="1"/>
  <c r="J106" i="74"/>
  <c r="K106" i="74" s="1"/>
  <c r="M106" i="74" s="1"/>
  <c r="L105" i="74"/>
  <c r="E105" i="74" s="1"/>
  <c r="AH105" i="74" s="1"/>
  <c r="J105" i="74"/>
  <c r="K105" i="74" s="1"/>
  <c r="M105" i="74" s="1"/>
  <c r="L104" i="74"/>
  <c r="E104" i="74" s="1"/>
  <c r="J104" i="74"/>
  <c r="L103" i="74"/>
  <c r="E103" i="74" s="1"/>
  <c r="J103" i="74"/>
  <c r="L102" i="74"/>
  <c r="E102" i="74" s="1"/>
  <c r="AH102" i="74" s="1"/>
  <c r="J102" i="74"/>
  <c r="K102" i="74" s="1"/>
  <c r="M102" i="74" s="1"/>
  <c r="L101" i="74"/>
  <c r="E101" i="74" s="1"/>
  <c r="AH101" i="74" s="1"/>
  <c r="J101" i="74"/>
  <c r="K101" i="74" s="1"/>
  <c r="M101" i="74" s="1"/>
  <c r="L100" i="74"/>
  <c r="E100" i="74" s="1"/>
  <c r="AH100" i="74" s="1"/>
  <c r="J100" i="74"/>
  <c r="L99" i="74"/>
  <c r="E99" i="74" s="1"/>
  <c r="J99" i="74"/>
  <c r="L98" i="74"/>
  <c r="E98" i="74" s="1"/>
  <c r="J98" i="74"/>
  <c r="L97" i="74"/>
  <c r="E97" i="74" s="1"/>
  <c r="AH97" i="74" s="1"/>
  <c r="J97" i="74"/>
  <c r="K97" i="74" s="1"/>
  <c r="M97" i="74" s="1"/>
  <c r="L96" i="74"/>
  <c r="E96" i="74" s="1"/>
  <c r="J96" i="74"/>
  <c r="L95" i="74"/>
  <c r="E95" i="74" s="1"/>
  <c r="J95" i="74"/>
  <c r="L94" i="74"/>
  <c r="E94" i="74" s="1"/>
  <c r="J94" i="74"/>
  <c r="L93" i="74"/>
  <c r="E93" i="74" s="1"/>
  <c r="J93" i="74"/>
  <c r="L92" i="74"/>
  <c r="E92" i="74" s="1"/>
  <c r="AH92" i="74" s="1"/>
  <c r="J92" i="74"/>
  <c r="L91" i="74"/>
  <c r="E91" i="74" s="1"/>
  <c r="AH91" i="74" s="1"/>
  <c r="J91" i="74"/>
  <c r="K91" i="74" s="1"/>
  <c r="M91" i="74" s="1"/>
  <c r="L90" i="74"/>
  <c r="E90" i="74" s="1"/>
  <c r="J90" i="74"/>
  <c r="L89" i="74"/>
  <c r="E89" i="74" s="1"/>
  <c r="AH89" i="74" s="1"/>
  <c r="J89" i="74"/>
  <c r="K89" i="74" s="1"/>
  <c r="M89" i="74" s="1"/>
  <c r="L88" i="74"/>
  <c r="E88" i="74" s="1"/>
  <c r="J88" i="74"/>
  <c r="L87" i="74"/>
  <c r="E87" i="74" s="1"/>
  <c r="J87" i="74"/>
  <c r="L86" i="74"/>
  <c r="E86" i="74" s="1"/>
  <c r="AH86" i="74" s="1"/>
  <c r="J86" i="74"/>
  <c r="K86" i="74" s="1"/>
  <c r="M86" i="74" s="1"/>
  <c r="L85" i="74"/>
  <c r="E85" i="74" s="1"/>
  <c r="AH85" i="74" s="1"/>
  <c r="J85" i="74"/>
  <c r="K85" i="74" s="1"/>
  <c r="M85" i="74" s="1"/>
  <c r="L84" i="74"/>
  <c r="E84" i="74" s="1"/>
  <c r="AH84" i="74" s="1"/>
  <c r="J84" i="74"/>
  <c r="L83" i="74"/>
  <c r="E83" i="74" s="1"/>
  <c r="AH83" i="74" s="1"/>
  <c r="J83" i="74"/>
  <c r="L82" i="74"/>
  <c r="E82" i="74" s="1"/>
  <c r="J82" i="74"/>
  <c r="L81" i="74"/>
  <c r="E81" i="74" s="1"/>
  <c r="J81" i="74"/>
  <c r="L80" i="74"/>
  <c r="E80" i="74" s="1"/>
  <c r="AH80" i="74" s="1"/>
  <c r="K80" i="74"/>
  <c r="M80" i="74" s="1"/>
  <c r="J80" i="74"/>
  <c r="L79" i="74"/>
  <c r="E79" i="74" s="1"/>
  <c r="AH79" i="74" s="1"/>
  <c r="J79" i="74"/>
  <c r="K79" i="74" s="1"/>
  <c r="M79" i="74" s="1"/>
  <c r="L78" i="74"/>
  <c r="E78" i="74" s="1"/>
  <c r="AH78" i="74" s="1"/>
  <c r="J78" i="74"/>
  <c r="K78" i="74" s="1"/>
  <c r="M78" i="74" s="1"/>
  <c r="L77" i="74"/>
  <c r="E77" i="74" s="1"/>
  <c r="AH77" i="74" s="1"/>
  <c r="K77" i="74"/>
  <c r="M77" i="74" s="1"/>
  <c r="J77" i="74"/>
  <c r="L76" i="74"/>
  <c r="E76" i="74" s="1"/>
  <c r="J76" i="74"/>
  <c r="L75" i="74"/>
  <c r="E75" i="74" s="1"/>
  <c r="J75" i="74"/>
  <c r="S74" i="74"/>
  <c r="L74" i="74"/>
  <c r="E74" i="74" s="1"/>
  <c r="J74" i="74"/>
  <c r="L73" i="74"/>
  <c r="E73" i="74" s="1"/>
  <c r="AH73" i="74" s="1"/>
  <c r="K73" i="74"/>
  <c r="M73" i="74" s="1"/>
  <c r="J73" i="74"/>
  <c r="O72" i="74"/>
  <c r="L72" i="74"/>
  <c r="E72" i="74" s="1"/>
  <c r="AH72" i="74" s="1"/>
  <c r="J72" i="74"/>
  <c r="K72" i="74" s="1"/>
  <c r="M72" i="74" s="1"/>
  <c r="L71" i="74"/>
  <c r="E71" i="74" s="1"/>
  <c r="AH71" i="74" s="1"/>
  <c r="J71" i="74"/>
  <c r="K71" i="74" s="1"/>
  <c r="M71" i="74" s="1"/>
  <c r="L70" i="74"/>
  <c r="E70" i="74" s="1"/>
  <c r="AH70" i="74" s="1"/>
  <c r="J70" i="74"/>
  <c r="L69" i="74"/>
  <c r="E69" i="74" s="1"/>
  <c r="AH69" i="74" s="1"/>
  <c r="J69" i="74"/>
  <c r="K69" i="74" s="1"/>
  <c r="M69" i="74" s="1"/>
  <c r="O68" i="74"/>
  <c r="L68" i="74"/>
  <c r="E68" i="74" s="1"/>
  <c r="AH68" i="74" s="1"/>
  <c r="J68" i="74"/>
  <c r="L67" i="74"/>
  <c r="E67" i="74" s="1"/>
  <c r="J67" i="74"/>
  <c r="L66" i="74"/>
  <c r="E66" i="74" s="1"/>
  <c r="AH66" i="74" s="1"/>
  <c r="J66" i="74"/>
  <c r="T65" i="74"/>
  <c r="L65" i="74"/>
  <c r="E65" i="74" s="1"/>
  <c r="AH65" i="74" s="1"/>
  <c r="J65" i="74"/>
  <c r="K65" i="74" s="1"/>
  <c r="M65" i="74" s="1"/>
  <c r="L64" i="74"/>
  <c r="E64" i="74" s="1"/>
  <c r="AH64" i="74" s="1"/>
  <c r="J64" i="74"/>
  <c r="L63" i="74"/>
  <c r="E63" i="74" s="1"/>
  <c r="J63" i="74"/>
  <c r="O62" i="74"/>
  <c r="L62" i="74"/>
  <c r="E62" i="74" s="1"/>
  <c r="AH62" i="74" s="1"/>
  <c r="J62" i="74"/>
  <c r="K62" i="74" s="1"/>
  <c r="M62" i="74" s="1"/>
  <c r="L61" i="74"/>
  <c r="E61" i="74" s="1"/>
  <c r="AH61" i="74" s="1"/>
  <c r="J61" i="74"/>
  <c r="L60" i="74"/>
  <c r="E60" i="74" s="1"/>
  <c r="J60" i="74"/>
  <c r="S59" i="74"/>
  <c r="P59" i="74"/>
  <c r="L59" i="74"/>
  <c r="E59" i="74" s="1"/>
  <c r="J59" i="74"/>
  <c r="L58" i="74"/>
  <c r="J58" i="74"/>
  <c r="E58" i="74"/>
  <c r="P57" i="74"/>
  <c r="L57" i="74"/>
  <c r="J57" i="74"/>
  <c r="E57" i="74"/>
  <c r="AH57" i="74" s="1"/>
  <c r="L56" i="74"/>
  <c r="E56" i="74" s="1"/>
  <c r="J56" i="74"/>
  <c r="L55" i="74"/>
  <c r="E55" i="74" s="1"/>
  <c r="J55" i="74"/>
  <c r="U54" i="74"/>
  <c r="L54" i="74"/>
  <c r="E54" i="74" s="1"/>
  <c r="J54" i="74"/>
  <c r="T53" i="74"/>
  <c r="L53" i="74"/>
  <c r="E53" i="74" s="1"/>
  <c r="J53" i="74"/>
  <c r="L52" i="74"/>
  <c r="E52" i="74" s="1"/>
  <c r="AH52" i="74" s="1"/>
  <c r="J52" i="74"/>
  <c r="S51" i="74"/>
  <c r="P51" i="74"/>
  <c r="L51" i="74"/>
  <c r="J51" i="74"/>
  <c r="E51" i="74"/>
  <c r="L50" i="74"/>
  <c r="J50" i="74"/>
  <c r="E50" i="74"/>
  <c r="Q49" i="74"/>
  <c r="L49" i="74"/>
  <c r="E49" i="74" s="1"/>
  <c r="J49" i="74"/>
  <c r="L48" i="74"/>
  <c r="E48" i="74" s="1"/>
  <c r="J48" i="74"/>
  <c r="O47" i="74"/>
  <c r="L47" i="74"/>
  <c r="E47" i="74" s="1"/>
  <c r="J47" i="74"/>
  <c r="L46" i="74"/>
  <c r="E46" i="74" s="1"/>
  <c r="J46" i="74"/>
  <c r="L45" i="74"/>
  <c r="E45" i="74" s="1"/>
  <c r="AH45" i="74" s="1"/>
  <c r="J45" i="74"/>
  <c r="O44" i="74"/>
  <c r="L44" i="74"/>
  <c r="E44" i="74" s="1"/>
  <c r="AH44" i="74" s="1"/>
  <c r="J44" i="74"/>
  <c r="L43" i="74"/>
  <c r="E43" i="74" s="1"/>
  <c r="AH43" i="74" s="1"/>
  <c r="J43" i="74"/>
  <c r="L42" i="74"/>
  <c r="E42" i="74" s="1"/>
  <c r="J42" i="74"/>
  <c r="R41" i="74"/>
  <c r="P41" i="74"/>
  <c r="L41" i="74"/>
  <c r="E41" i="74" s="1"/>
  <c r="J41" i="74"/>
  <c r="T35" i="74"/>
  <c r="L40" i="74"/>
  <c r="E40" i="74" s="1"/>
  <c r="AH40" i="74" s="1"/>
  <c r="J40" i="74"/>
  <c r="Q39" i="74"/>
  <c r="P39" i="74"/>
  <c r="L39" i="74"/>
  <c r="E39" i="74" s="1"/>
  <c r="AH39" i="74" s="1"/>
  <c r="J39" i="74"/>
  <c r="U38" i="74"/>
  <c r="L38" i="74"/>
  <c r="E38" i="74" s="1"/>
  <c r="AH38" i="74" s="1"/>
  <c r="J38" i="74"/>
  <c r="R37" i="74"/>
  <c r="L37" i="74"/>
  <c r="E37" i="74" s="1"/>
  <c r="AH37" i="74" s="1"/>
  <c r="J37" i="74"/>
  <c r="S36" i="74"/>
  <c r="O36" i="74"/>
  <c r="L36" i="74"/>
  <c r="E36" i="74" s="1"/>
  <c r="AH36" i="74" s="1"/>
  <c r="J36" i="74"/>
  <c r="Q35" i="74"/>
  <c r="L35" i="74"/>
  <c r="J35" i="74"/>
  <c r="E35" i="74"/>
  <c r="V34" i="74"/>
  <c r="U34" i="74"/>
  <c r="P34" i="74"/>
  <c r="L34" i="74"/>
  <c r="E34" i="74" s="1"/>
  <c r="AH34" i="74" s="1"/>
  <c r="J34" i="74"/>
  <c r="Q33" i="74"/>
  <c r="O33" i="74"/>
  <c r="L33" i="74"/>
  <c r="J33" i="74"/>
  <c r="E33" i="74"/>
  <c r="U32" i="74"/>
  <c r="T32" i="74"/>
  <c r="L32" i="74"/>
  <c r="E32" i="74" s="1"/>
  <c r="AH32" i="74" s="1"/>
  <c r="J32" i="74"/>
  <c r="Y31" i="74"/>
  <c r="T31" i="74"/>
  <c r="P31" i="74"/>
  <c r="L31" i="74"/>
  <c r="E31" i="74" s="1"/>
  <c r="AH31" i="74" s="1"/>
  <c r="J31" i="74"/>
  <c r="K31" i="74" s="1"/>
  <c r="M31" i="74" s="1"/>
  <c r="Y30" i="74"/>
  <c r="S30" i="74"/>
  <c r="R30" i="74"/>
  <c r="L30" i="74"/>
  <c r="E30" i="74" s="1"/>
  <c r="J30" i="74"/>
  <c r="AA29" i="74"/>
  <c r="S29" i="74"/>
  <c r="O29" i="74"/>
  <c r="L29" i="74"/>
  <c r="J29" i="74"/>
  <c r="E29" i="74"/>
  <c r="AH29" i="74" s="1"/>
  <c r="U28" i="74"/>
  <c r="R28" i="74"/>
  <c r="L28" i="74"/>
  <c r="E28" i="74" s="1"/>
  <c r="J28" i="74"/>
  <c r="O67" i="74"/>
  <c r="AB27" i="74"/>
  <c r="S27" i="74"/>
  <c r="P27" i="74"/>
  <c r="O27" i="74"/>
  <c r="L27" i="74"/>
  <c r="E27" i="74" s="1"/>
  <c r="AH27" i="74" s="1"/>
  <c r="J27" i="74"/>
  <c r="O84" i="74"/>
  <c r="S26" i="74"/>
  <c r="R26" i="74"/>
  <c r="L26" i="74"/>
  <c r="E26" i="74" s="1"/>
  <c r="AH26" i="74" s="1"/>
  <c r="J26" i="74"/>
  <c r="AA25" i="74"/>
  <c r="Z25" i="74"/>
  <c r="R25" i="74"/>
  <c r="O25" i="74"/>
  <c r="L25" i="74"/>
  <c r="J25" i="74"/>
  <c r="E25" i="74"/>
  <c r="AH25" i="74" s="1"/>
  <c r="U24" i="74"/>
  <c r="T24" i="74"/>
  <c r="R24" i="74"/>
  <c r="Q24" i="74"/>
  <c r="L24" i="74"/>
  <c r="E24" i="74" s="1"/>
  <c r="AH24" i="74" s="1"/>
  <c r="J24" i="74"/>
  <c r="Z23" i="74"/>
  <c r="Y23" i="74"/>
  <c r="Q23" i="74"/>
  <c r="L23" i="74"/>
  <c r="E23" i="74" s="1"/>
  <c r="AH23" i="74" s="1"/>
  <c r="J23" i="74"/>
  <c r="AB22" i="74"/>
  <c r="AA22" i="74"/>
  <c r="S22" i="74"/>
  <c r="R22" i="74"/>
  <c r="P22" i="74"/>
  <c r="O22" i="74"/>
  <c r="L22" i="74"/>
  <c r="E22" i="74" s="1"/>
  <c r="J22" i="74"/>
  <c r="AA21" i="74"/>
  <c r="W21" i="74"/>
  <c r="U21" i="74"/>
  <c r="T21" i="74"/>
  <c r="P21" i="74"/>
  <c r="L21" i="74"/>
  <c r="E21" i="74" s="1"/>
  <c r="AH21" i="74" s="1"/>
  <c r="J21" i="74"/>
  <c r="Z20" i="74"/>
  <c r="V20" i="74"/>
  <c r="U20" i="74"/>
  <c r="R20" i="74"/>
  <c r="Q20" i="74"/>
  <c r="O20" i="74"/>
  <c r="L20" i="74"/>
  <c r="E20" i="74" s="1"/>
  <c r="AH20" i="74" s="1"/>
  <c r="J20" i="74"/>
  <c r="L19" i="74"/>
  <c r="E19" i="74" s="1"/>
  <c r="AH19" i="74" s="1"/>
  <c r="J19" i="74"/>
  <c r="O21" i="74" s="1"/>
  <c r="S126" i="74"/>
  <c r="G18" i="74"/>
  <c r="S15" i="74"/>
  <c r="R15" i="74"/>
  <c r="Q15" i="74"/>
  <c r="P15" i="74"/>
  <c r="O15" i="74"/>
  <c r="B10" i="74"/>
  <c r="AH228" i="74" l="1"/>
  <c r="K228" i="74"/>
  <c r="M228" i="74" s="1"/>
  <c r="K633" i="74"/>
  <c r="M633" i="74" s="1"/>
  <c r="AH633" i="74"/>
  <c r="K140" i="74"/>
  <c r="M140" i="74" s="1"/>
  <c r="AH140" i="74"/>
  <c r="K253" i="74"/>
  <c r="M253" i="74" s="1"/>
  <c r="AH253" i="74"/>
  <c r="K320" i="74"/>
  <c r="M320" i="74" s="1"/>
  <c r="AH320" i="74"/>
  <c r="AH383" i="74"/>
  <c r="K383" i="74"/>
  <c r="M383" i="74" s="1"/>
  <c r="K576" i="74"/>
  <c r="M576" i="74" s="1"/>
  <c r="AH576" i="74"/>
  <c r="K54" i="74"/>
  <c r="M54" i="74" s="1"/>
  <c r="AH54" i="74"/>
  <c r="K128" i="74"/>
  <c r="M128" i="74" s="1"/>
  <c r="AH128" i="74"/>
  <c r="K564" i="74"/>
  <c r="M564" i="74" s="1"/>
  <c r="AH564" i="74"/>
  <c r="K641" i="74"/>
  <c r="M641" i="74" s="1"/>
  <c r="AH641" i="74"/>
  <c r="K767" i="74"/>
  <c r="M767" i="74" s="1"/>
  <c r="AH767" i="74"/>
  <c r="AH156" i="74"/>
  <c r="K156" i="74"/>
  <c r="M156" i="74" s="1"/>
  <c r="AH297" i="74"/>
  <c r="K297" i="74"/>
  <c r="M297" i="74" s="1"/>
  <c r="K444" i="74"/>
  <c r="M444" i="74" s="1"/>
  <c r="AH444" i="74"/>
  <c r="K599" i="74"/>
  <c r="M599" i="74" s="1"/>
  <c r="AH599" i="74"/>
  <c r="K191" i="74"/>
  <c r="M191" i="74" s="1"/>
  <c r="AH191" i="74"/>
  <c r="K204" i="74"/>
  <c r="M204" i="74" s="1"/>
  <c r="AH204" i="74"/>
  <c r="K270" i="74"/>
  <c r="M270" i="74" s="1"/>
  <c r="AH270" i="74"/>
  <c r="K850" i="74"/>
  <c r="M850" i="74" s="1"/>
  <c r="AH850" i="74"/>
  <c r="K49" i="74"/>
  <c r="M49" i="74" s="1"/>
  <c r="AH49" i="74"/>
  <c r="K326" i="74"/>
  <c r="M326" i="74" s="1"/>
  <c r="AH326" i="74"/>
  <c r="K438" i="74"/>
  <c r="M438" i="74" s="1"/>
  <c r="AH438" i="74"/>
  <c r="K188" i="74"/>
  <c r="M188" i="74" s="1"/>
  <c r="AH188" i="74"/>
  <c r="K225" i="74"/>
  <c r="M225" i="74" s="1"/>
  <c r="AH225" i="74"/>
  <c r="AH518" i="74"/>
  <c r="K518" i="74"/>
  <c r="M518" i="74" s="1"/>
  <c r="AH562" i="74"/>
  <c r="K562" i="74"/>
  <c r="M562" i="74" s="1"/>
  <c r="K260" i="74"/>
  <c r="M260" i="74" s="1"/>
  <c r="AH260" i="74"/>
  <c r="K488" i="74"/>
  <c r="M488" i="74" s="1"/>
  <c r="AH488" i="74"/>
  <c r="AH630" i="74"/>
  <c r="K630" i="74"/>
  <c r="M630" i="74" s="1"/>
  <c r="AH380" i="74"/>
  <c r="K380" i="74"/>
  <c r="M380" i="74" s="1"/>
  <c r="AH570" i="74"/>
  <c r="K570" i="74"/>
  <c r="M570" i="74" s="1"/>
  <c r="K706" i="74"/>
  <c r="M706" i="74" s="1"/>
  <c r="AH706" i="74"/>
  <c r="K46" i="74"/>
  <c r="M46" i="74" s="1"/>
  <c r="AH46" i="74"/>
  <c r="K220" i="74"/>
  <c r="M220" i="74" s="1"/>
  <c r="AH220" i="74"/>
  <c r="K377" i="74"/>
  <c r="M377" i="74" s="1"/>
  <c r="AH377" i="74"/>
  <c r="AH426" i="74"/>
  <c r="K426" i="74"/>
  <c r="M426" i="74" s="1"/>
  <c r="AH502" i="74"/>
  <c r="K502" i="74"/>
  <c r="M502" i="74" s="1"/>
  <c r="K536" i="74"/>
  <c r="M536" i="74" s="1"/>
  <c r="AH536" i="74"/>
  <c r="K802" i="74"/>
  <c r="M802" i="74" s="1"/>
  <c r="AH802" i="74"/>
  <c r="K166" i="74"/>
  <c r="M166" i="74" s="1"/>
  <c r="AH166" i="74"/>
  <c r="K367" i="74"/>
  <c r="M367" i="74" s="1"/>
  <c r="AH367" i="74"/>
  <c r="AH458" i="74"/>
  <c r="K458" i="74"/>
  <c r="M458" i="74" s="1"/>
  <c r="K526" i="74"/>
  <c r="M526" i="74" s="1"/>
  <c r="AH526" i="74"/>
  <c r="K307" i="74"/>
  <c r="M307" i="74" s="1"/>
  <c r="AH307" i="74"/>
  <c r="K313" i="74"/>
  <c r="M313" i="74" s="1"/>
  <c r="AH327" i="74"/>
  <c r="K327" i="74"/>
  <c r="M327" i="74" s="1"/>
  <c r="K442" i="74"/>
  <c r="M442" i="74" s="1"/>
  <c r="AH442" i="74"/>
  <c r="K489" i="74"/>
  <c r="M489" i="74" s="1"/>
  <c r="AH489" i="74"/>
  <c r="K636" i="74"/>
  <c r="M636" i="74" s="1"/>
  <c r="K881" i="74"/>
  <c r="M881" i="74" s="1"/>
  <c r="AH881" i="74"/>
  <c r="K121" i="74"/>
  <c r="M121" i="74" s="1"/>
  <c r="AH121" i="74"/>
  <c r="K185" i="74"/>
  <c r="M185" i="74" s="1"/>
  <c r="AH185" i="74"/>
  <c r="K239" i="74"/>
  <c r="M239" i="74" s="1"/>
  <c r="AH239" i="74"/>
  <c r="K248" i="74"/>
  <c r="M248" i="74" s="1"/>
  <c r="AH248" i="74"/>
  <c r="K511" i="74"/>
  <c r="M511" i="74" s="1"/>
  <c r="AH511" i="74"/>
  <c r="K662" i="74"/>
  <c r="M662" i="74" s="1"/>
  <c r="AH662" i="74"/>
  <c r="K713" i="74"/>
  <c r="M713" i="74" s="1"/>
  <c r="AH713" i="74"/>
  <c r="K74" i="74"/>
  <c r="M74" i="74" s="1"/>
  <c r="AH74" i="74"/>
  <c r="K135" i="74"/>
  <c r="M135" i="74" s="1"/>
  <c r="AH135" i="74"/>
  <c r="AH141" i="74"/>
  <c r="K141" i="74"/>
  <c r="M141" i="74" s="1"/>
  <c r="K281" i="74"/>
  <c r="M281" i="74" s="1"/>
  <c r="AH281" i="74"/>
  <c r="K298" i="74"/>
  <c r="M298" i="74" s="1"/>
  <c r="AH298" i="74"/>
  <c r="K381" i="74"/>
  <c r="M381" i="74" s="1"/>
  <c r="AH381" i="74"/>
  <c r="K527" i="74"/>
  <c r="M527" i="74" s="1"/>
  <c r="AH527" i="74"/>
  <c r="K628" i="74"/>
  <c r="M628" i="74" s="1"/>
  <c r="AH628" i="74"/>
  <c r="K684" i="74"/>
  <c r="M684" i="74" s="1"/>
  <c r="AH684" i="74"/>
  <c r="K50" i="74"/>
  <c r="M50" i="74" s="1"/>
  <c r="AH50" i="74"/>
  <c r="K81" i="74"/>
  <c r="M81" i="74" s="1"/>
  <c r="AH81" i="74"/>
  <c r="K310" i="74"/>
  <c r="M310" i="74" s="1"/>
  <c r="AH310" i="74"/>
  <c r="K337" i="74"/>
  <c r="M337" i="74" s="1"/>
  <c r="AH337" i="74"/>
  <c r="K361" i="74"/>
  <c r="M361" i="74" s="1"/>
  <c r="AH361" i="74"/>
  <c r="K375" i="74"/>
  <c r="M375" i="74" s="1"/>
  <c r="AH375" i="74"/>
  <c r="K407" i="74"/>
  <c r="M407" i="74" s="1"/>
  <c r="AH407" i="74"/>
  <c r="K424" i="74"/>
  <c r="M424" i="74" s="1"/>
  <c r="AH424" i="74"/>
  <c r="K508" i="74"/>
  <c r="M508" i="74" s="1"/>
  <c r="K151" i="74"/>
  <c r="M151" i="74" s="1"/>
  <c r="AH151" i="74"/>
  <c r="K254" i="74"/>
  <c r="M254" i="74" s="1"/>
  <c r="K355" i="74"/>
  <c r="M355" i="74" s="1"/>
  <c r="AH355" i="74"/>
  <c r="K460" i="74"/>
  <c r="M460" i="74" s="1"/>
  <c r="AH460" i="74"/>
  <c r="K496" i="74"/>
  <c r="M496" i="74" s="1"/>
  <c r="AH496" i="74"/>
  <c r="K560" i="74"/>
  <c r="M560" i="74" s="1"/>
  <c r="AH560" i="74"/>
  <c r="K593" i="74"/>
  <c r="M593" i="74" s="1"/>
  <c r="AH593" i="74"/>
  <c r="K619" i="74"/>
  <c r="M619" i="74" s="1"/>
  <c r="AH619" i="74"/>
  <c r="K745" i="74"/>
  <c r="M745" i="74" s="1"/>
  <c r="AH745" i="74"/>
  <c r="K93" i="74"/>
  <c r="M93" i="74" s="1"/>
  <c r="AH93" i="74"/>
  <c r="K148" i="74"/>
  <c r="M148" i="74" s="1"/>
  <c r="AH148" i="74"/>
  <c r="K158" i="74"/>
  <c r="M158" i="74" s="1"/>
  <c r="K196" i="74"/>
  <c r="M196" i="74" s="1"/>
  <c r="K208" i="74"/>
  <c r="M208" i="74" s="1"/>
  <c r="K249" i="74"/>
  <c r="M249" i="74" s="1"/>
  <c r="AH249" i="74"/>
  <c r="K401" i="74"/>
  <c r="M401" i="74" s="1"/>
  <c r="AH401" i="74"/>
  <c r="K414" i="74"/>
  <c r="M414" i="74" s="1"/>
  <c r="AH414" i="74"/>
  <c r="K541" i="74"/>
  <c r="M541" i="74" s="1"/>
  <c r="AH541" i="74"/>
  <c r="K577" i="74"/>
  <c r="M577" i="74" s="1"/>
  <c r="AH577" i="74"/>
  <c r="K613" i="74"/>
  <c r="M613" i="74" s="1"/>
  <c r="AH613" i="74"/>
  <c r="K682" i="74"/>
  <c r="M682" i="74" s="1"/>
  <c r="AH682" i="74"/>
  <c r="K82" i="74"/>
  <c r="M82" i="74" s="1"/>
  <c r="AH82" i="74"/>
  <c r="K193" i="74"/>
  <c r="M193" i="74" s="1"/>
  <c r="AH193" i="74"/>
  <c r="K230" i="74"/>
  <c r="M230" i="74" s="1"/>
  <c r="K246" i="74"/>
  <c r="M246" i="74" s="1"/>
  <c r="K272" i="74"/>
  <c r="M272" i="74" s="1"/>
  <c r="AH272" i="74"/>
  <c r="K338" i="74"/>
  <c r="M338" i="74" s="1"/>
  <c r="AH338" i="74"/>
  <c r="K348" i="74"/>
  <c r="M348" i="74" s="1"/>
  <c r="AH348" i="74"/>
  <c r="K391" i="74"/>
  <c r="M391" i="74" s="1"/>
  <c r="AH391" i="74"/>
  <c r="K408" i="74"/>
  <c r="M408" i="74" s="1"/>
  <c r="AH408" i="74"/>
  <c r="K453" i="74"/>
  <c r="M453" i="74" s="1"/>
  <c r="K112" i="74"/>
  <c r="M112" i="74" s="1"/>
  <c r="AH112" i="74"/>
  <c r="K181" i="74"/>
  <c r="M181" i="74" s="1"/>
  <c r="AH181" i="74"/>
  <c r="K187" i="74"/>
  <c r="M187" i="74" s="1"/>
  <c r="AH187" i="74"/>
  <c r="AH200" i="74"/>
  <c r="K200" i="74"/>
  <c r="M200" i="74" s="1"/>
  <c r="AH206" i="74"/>
  <c r="K206" i="74"/>
  <c r="M206" i="74" s="1"/>
  <c r="K224" i="74"/>
  <c r="M224" i="74" s="1"/>
  <c r="K234" i="74"/>
  <c r="M234" i="74" s="1"/>
  <c r="AH234" i="74"/>
  <c r="K252" i="74"/>
  <c r="M252" i="74" s="1"/>
  <c r="AH322" i="74"/>
  <c r="K322" i="74"/>
  <c r="M322" i="74" s="1"/>
  <c r="K339" i="74"/>
  <c r="M339" i="74" s="1"/>
  <c r="AH339" i="74"/>
  <c r="AH471" i="74"/>
  <c r="K471" i="74"/>
  <c r="M471" i="74" s="1"/>
  <c r="K481" i="74"/>
  <c r="M481" i="74" s="1"/>
  <c r="AH481" i="74"/>
  <c r="AH501" i="74"/>
  <c r="K501" i="74"/>
  <c r="M501" i="74" s="1"/>
  <c r="K670" i="74"/>
  <c r="M670" i="74" s="1"/>
  <c r="AH670" i="74"/>
  <c r="K94" i="74"/>
  <c r="M94" i="74" s="1"/>
  <c r="AH94" i="74"/>
  <c r="K98" i="74"/>
  <c r="M98" i="74" s="1"/>
  <c r="AH98" i="74"/>
  <c r="K136" i="74"/>
  <c r="M136" i="74" s="1"/>
  <c r="K139" i="74"/>
  <c r="M139" i="74" s="1"/>
  <c r="AH139" i="74"/>
  <c r="K162" i="74"/>
  <c r="M162" i="74" s="1"/>
  <c r="K215" i="74"/>
  <c r="M215" i="74" s="1"/>
  <c r="AH215" i="74"/>
  <c r="K240" i="74"/>
  <c r="M240" i="74" s="1"/>
  <c r="K244" i="74"/>
  <c r="M244" i="74" s="1"/>
  <c r="AH244" i="74"/>
  <c r="K247" i="74"/>
  <c r="M247" i="74" s="1"/>
  <c r="AH247" i="74"/>
  <c r="AH255" i="74"/>
  <c r="K255" i="74"/>
  <c r="M255" i="74" s="1"/>
  <c r="K280" i="74"/>
  <c r="M280" i="74" s="1"/>
  <c r="AH280" i="74"/>
  <c r="K352" i="74"/>
  <c r="M352" i="74" s="1"/>
  <c r="K415" i="74"/>
  <c r="M415" i="74" s="1"/>
  <c r="AH415" i="74"/>
  <c r="K418" i="74"/>
  <c r="M418" i="74" s="1"/>
  <c r="K440" i="74"/>
  <c r="M440" i="74" s="1"/>
  <c r="AH440" i="74"/>
  <c r="K447" i="74"/>
  <c r="M447" i="74" s="1"/>
  <c r="AH447" i="74"/>
  <c r="K451" i="74"/>
  <c r="M451" i="74" s="1"/>
  <c r="AH451" i="74"/>
  <c r="K457" i="74"/>
  <c r="M457" i="74" s="1"/>
  <c r="AH457" i="74"/>
  <c r="K484" i="74"/>
  <c r="M484" i="74" s="1"/>
  <c r="AH484" i="74"/>
  <c r="AH498" i="74"/>
  <c r="K498" i="74"/>
  <c r="M498" i="74" s="1"/>
  <c r="K513" i="74"/>
  <c r="M513" i="74" s="1"/>
  <c r="AH513" i="74"/>
  <c r="K544" i="74"/>
  <c r="M544" i="74" s="1"/>
  <c r="K578" i="74"/>
  <c r="M578" i="74" s="1"/>
  <c r="AH578" i="74"/>
  <c r="K585" i="74"/>
  <c r="M585" i="74" s="1"/>
  <c r="AH585" i="74"/>
  <c r="K632" i="74"/>
  <c r="M632" i="74" s="1"/>
  <c r="AH632" i="74"/>
  <c r="K667" i="74"/>
  <c r="M667" i="74" s="1"/>
  <c r="AH667" i="74"/>
  <c r="K730" i="74"/>
  <c r="M730" i="74" s="1"/>
  <c r="AH730" i="74"/>
  <c r="K749" i="74"/>
  <c r="M749" i="74" s="1"/>
  <c r="AH773" i="74"/>
  <c r="K773" i="74"/>
  <c r="M773" i="74" s="1"/>
  <c r="K808" i="74"/>
  <c r="M808" i="74" s="1"/>
  <c r="AH808" i="74"/>
  <c r="K849" i="74"/>
  <c r="M849" i="74" s="1"/>
  <c r="AH849" i="74"/>
  <c r="K852" i="74"/>
  <c r="M852" i="74" s="1"/>
  <c r="AH852" i="74"/>
  <c r="K856" i="74"/>
  <c r="M856" i="74" s="1"/>
  <c r="AH856" i="74"/>
  <c r="K863" i="74"/>
  <c r="M863" i="74" s="1"/>
  <c r="AH863" i="74"/>
  <c r="K103" i="74"/>
  <c r="M103" i="74" s="1"/>
  <c r="AH103" i="74"/>
  <c r="K137" i="74"/>
  <c r="M137" i="74" s="1"/>
  <c r="AH137" i="74"/>
  <c r="K160" i="74"/>
  <c r="M160" i="74" s="1"/>
  <c r="K213" i="74"/>
  <c r="M213" i="74" s="1"/>
  <c r="AH213" i="74"/>
  <c r="K223" i="74"/>
  <c r="M223" i="74" s="1"/>
  <c r="AH223" i="74"/>
  <c r="K257" i="74"/>
  <c r="M257" i="74" s="1"/>
  <c r="AH257" i="74"/>
  <c r="K353" i="74"/>
  <c r="M353" i="74" s="1"/>
  <c r="AH353" i="74"/>
  <c r="K364" i="74"/>
  <c r="M364" i="74" s="1"/>
  <c r="AH364" i="74"/>
  <c r="K390" i="74"/>
  <c r="M390" i="74" s="1"/>
  <c r="AH390" i="74"/>
  <c r="K396" i="74"/>
  <c r="M396" i="74" s="1"/>
  <c r="AH396" i="74"/>
  <c r="K466" i="74"/>
  <c r="M466" i="74" s="1"/>
  <c r="AH466" i="74"/>
  <c r="K469" i="74"/>
  <c r="M469" i="74" s="1"/>
  <c r="AH469" i="74"/>
  <c r="K486" i="74"/>
  <c r="M486" i="74" s="1"/>
  <c r="AH486" i="74"/>
  <c r="K521" i="74"/>
  <c r="M521" i="74" s="1"/>
  <c r="AH521" i="74"/>
  <c r="K552" i="74"/>
  <c r="M552" i="74" s="1"/>
  <c r="AH552" i="74"/>
  <c r="K555" i="74"/>
  <c r="M555" i="74" s="1"/>
  <c r="AH555" i="74"/>
  <c r="K565" i="74"/>
  <c r="M565" i="74" s="1"/>
  <c r="AH565" i="74"/>
  <c r="K680" i="74"/>
  <c r="M680" i="74" s="1"/>
  <c r="AH680" i="74"/>
  <c r="K690" i="74"/>
  <c r="M690" i="74" s="1"/>
  <c r="AH690" i="74"/>
  <c r="K693" i="74"/>
  <c r="M693" i="74" s="1"/>
  <c r="AH693" i="74"/>
  <c r="K700" i="74"/>
  <c r="M700" i="74" s="1"/>
  <c r="AH700" i="74"/>
  <c r="K717" i="74"/>
  <c r="M717" i="74" s="1"/>
  <c r="AH717" i="74"/>
  <c r="K727" i="74"/>
  <c r="M727" i="74" s="1"/>
  <c r="AH727" i="74"/>
  <c r="AH787" i="74"/>
  <c r="K787" i="74"/>
  <c r="M787" i="74" s="1"/>
  <c r="K798" i="74"/>
  <c r="M798" i="74" s="1"/>
  <c r="AH798" i="74"/>
  <c r="K58" i="74"/>
  <c r="M58" i="74" s="1"/>
  <c r="AH58" i="74"/>
  <c r="K176" i="74"/>
  <c r="M176" i="74" s="1"/>
  <c r="AH176" i="74"/>
  <c r="K179" i="74"/>
  <c r="M179" i="74" s="1"/>
  <c r="K242" i="74"/>
  <c r="M242" i="74" s="1"/>
  <c r="AH242" i="74"/>
  <c r="K357" i="74"/>
  <c r="M357" i="74" s="1"/>
  <c r="AH357" i="74"/>
  <c r="K365" i="74"/>
  <c r="M365" i="74" s="1"/>
  <c r="AH365" i="74"/>
  <c r="K371" i="74"/>
  <c r="M371" i="74" s="1"/>
  <c r="AH371" i="74"/>
  <c r="K429" i="74"/>
  <c r="M429" i="74" s="1"/>
  <c r="AH429" i="74"/>
  <c r="K462" i="74"/>
  <c r="M462" i="74" s="1"/>
  <c r="AH462" i="74"/>
  <c r="AH470" i="74"/>
  <c r="K470" i="74"/>
  <c r="M470" i="74" s="1"/>
  <c r="K479" i="74"/>
  <c r="M479" i="74" s="1"/>
  <c r="AH479" i="74"/>
  <c r="K543" i="74"/>
  <c r="M543" i="74" s="1"/>
  <c r="AH543" i="74"/>
  <c r="K549" i="74"/>
  <c r="M549" i="74" s="1"/>
  <c r="AH549" i="74"/>
  <c r="K556" i="74"/>
  <c r="M556" i="74" s="1"/>
  <c r="AH556" i="74"/>
  <c r="K606" i="74"/>
  <c r="M606" i="74" s="1"/>
  <c r="AH606" i="74"/>
  <c r="K704" i="74"/>
  <c r="M704" i="74" s="1"/>
  <c r="AH704" i="74"/>
  <c r="AH710" i="74"/>
  <c r="K710" i="74"/>
  <c r="M710" i="74" s="1"/>
  <c r="AH731" i="74"/>
  <c r="K731" i="74"/>
  <c r="M731" i="74" s="1"/>
  <c r="K757" i="74"/>
  <c r="M757" i="74" s="1"/>
  <c r="AH757" i="74"/>
  <c r="K760" i="74"/>
  <c r="M760" i="74" s="1"/>
  <c r="AH760" i="74"/>
  <c r="K788" i="74"/>
  <c r="M788" i="74" s="1"/>
  <c r="AH788" i="74"/>
  <c r="K799" i="74"/>
  <c r="M799" i="74" s="1"/>
  <c r="AH799" i="74"/>
  <c r="K833" i="74"/>
  <c r="M833" i="74" s="1"/>
  <c r="AH833" i="74"/>
  <c r="K885" i="74"/>
  <c r="M885" i="74" s="1"/>
  <c r="AH885" i="74"/>
  <c r="K88" i="74"/>
  <c r="M88" i="74" s="1"/>
  <c r="AH88" i="74"/>
  <c r="K96" i="74"/>
  <c r="M96" i="74" s="1"/>
  <c r="AH96" i="74"/>
  <c r="AH138" i="74"/>
  <c r="K138" i="74"/>
  <c r="M138" i="74" s="1"/>
  <c r="K161" i="74"/>
  <c r="M161" i="74" s="1"/>
  <c r="AH161" i="74"/>
  <c r="K167" i="74"/>
  <c r="M167" i="74" s="1"/>
  <c r="AH167" i="74"/>
  <c r="K170" i="74"/>
  <c r="M170" i="74" s="1"/>
  <c r="AH170" i="74"/>
  <c r="K211" i="74"/>
  <c r="M211" i="74" s="1"/>
  <c r="AH211" i="74"/>
  <c r="K214" i="74"/>
  <c r="M214" i="74" s="1"/>
  <c r="AH214" i="74"/>
  <c r="K294" i="74"/>
  <c r="M294" i="74" s="1"/>
  <c r="AH294" i="74"/>
  <c r="K358" i="74"/>
  <c r="M358" i="74" s="1"/>
  <c r="AH358" i="74"/>
  <c r="K439" i="74"/>
  <c r="M439" i="74" s="1"/>
  <c r="AH439" i="74"/>
  <c r="K455" i="74"/>
  <c r="M455" i="74" s="1"/>
  <c r="AH455" i="74"/>
  <c r="K512" i="74"/>
  <c r="M512" i="74" s="1"/>
  <c r="AH512" i="74"/>
  <c r="K530" i="74"/>
  <c r="M530" i="74" s="1"/>
  <c r="K559" i="74"/>
  <c r="M559" i="74" s="1"/>
  <c r="AH559" i="74"/>
  <c r="K571" i="74"/>
  <c r="M571" i="74" s="1"/>
  <c r="AH571" i="74"/>
  <c r="K589" i="74"/>
  <c r="M589" i="74" s="1"/>
  <c r="AH589" i="74"/>
  <c r="K600" i="74"/>
  <c r="M600" i="74" s="1"/>
  <c r="AH600" i="74"/>
  <c r="K624" i="74"/>
  <c r="M624" i="74" s="1"/>
  <c r="AH624" i="74"/>
  <c r="AH666" i="74"/>
  <c r="K666" i="74"/>
  <c r="M666" i="74" s="1"/>
  <c r="K707" i="74"/>
  <c r="M707" i="74" s="1"/>
  <c r="AH707" i="74"/>
  <c r="K720" i="74"/>
  <c r="M720" i="74" s="1"/>
  <c r="AH720" i="74"/>
  <c r="AH724" i="74"/>
  <c r="K724" i="74"/>
  <c r="M724" i="74" s="1"/>
  <c r="K768" i="74"/>
  <c r="M768" i="74" s="1"/>
  <c r="AH768" i="74"/>
  <c r="AH841" i="74"/>
  <c r="K841" i="74"/>
  <c r="M841" i="74" s="1"/>
  <c r="K844" i="74"/>
  <c r="M844" i="74" s="1"/>
  <c r="AH844" i="74"/>
  <c r="K871" i="74"/>
  <c r="M871" i="74" s="1"/>
  <c r="AH871" i="74"/>
  <c r="K55" i="74"/>
  <c r="M55" i="74" s="1"/>
  <c r="AH55" i="74"/>
  <c r="K104" i="74"/>
  <c r="M104" i="74" s="1"/>
  <c r="AH104" i="74"/>
  <c r="K132" i="74"/>
  <c r="M132" i="74" s="1"/>
  <c r="AH132" i="74"/>
  <c r="K183" i="74"/>
  <c r="M183" i="74" s="1"/>
  <c r="AH183" i="74"/>
  <c r="K199" i="74"/>
  <c r="M199" i="74" s="1"/>
  <c r="AH199" i="74"/>
  <c r="K226" i="74"/>
  <c r="M226" i="74" s="1"/>
  <c r="AH226" i="74"/>
  <c r="K236" i="74"/>
  <c r="M236" i="74" s="1"/>
  <c r="AH236" i="74"/>
  <c r="K285" i="74"/>
  <c r="M285" i="74" s="1"/>
  <c r="AH285" i="74"/>
  <c r="K291" i="74"/>
  <c r="M291" i="74" s="1"/>
  <c r="AH291" i="74"/>
  <c r="AH347" i="74"/>
  <c r="K347" i="74"/>
  <c r="M347" i="74" s="1"/>
  <c r="K411" i="74"/>
  <c r="M411" i="74" s="1"/>
  <c r="AH411" i="74"/>
  <c r="AH420" i="74"/>
  <c r="K420" i="74"/>
  <c r="M420" i="74" s="1"/>
  <c r="K436" i="74"/>
  <c r="M436" i="74" s="1"/>
  <c r="K449" i="74"/>
  <c r="M449" i="74" s="1"/>
  <c r="AH449" i="74"/>
  <c r="K459" i="74"/>
  <c r="M459" i="74" s="1"/>
  <c r="AH459" i="74"/>
  <c r="K500" i="74"/>
  <c r="M500" i="74" s="1"/>
  <c r="AH500" i="74"/>
  <c r="K515" i="74"/>
  <c r="M515" i="74" s="1"/>
  <c r="AH515" i="74"/>
  <c r="K657" i="74"/>
  <c r="M657" i="74" s="1"/>
  <c r="AH657" i="74"/>
  <c r="AH725" i="74"/>
  <c r="K725" i="74"/>
  <c r="M725" i="74" s="1"/>
  <c r="K754" i="74"/>
  <c r="M754" i="74" s="1"/>
  <c r="AH754" i="74"/>
  <c r="K781" i="74"/>
  <c r="M781" i="74" s="1"/>
  <c r="AH781" i="74"/>
  <c r="K816" i="74"/>
  <c r="M816" i="74" s="1"/>
  <c r="AH816" i="74"/>
  <c r="K827" i="74"/>
  <c r="M827" i="74" s="1"/>
  <c r="AH827" i="74"/>
  <c r="K838" i="74"/>
  <c r="M838" i="74" s="1"/>
  <c r="AH838" i="74"/>
  <c r="AH865" i="74"/>
  <c r="K865" i="74"/>
  <c r="M865" i="74" s="1"/>
  <c r="K868" i="74"/>
  <c r="M868" i="74" s="1"/>
  <c r="AH868" i="74"/>
  <c r="K111" i="74"/>
  <c r="M111" i="74" s="1"/>
  <c r="AH111" i="74"/>
  <c r="K122" i="74"/>
  <c r="M122" i="74" s="1"/>
  <c r="AH122" i="74"/>
  <c r="K155" i="74"/>
  <c r="M155" i="74" s="1"/>
  <c r="AH155" i="74"/>
  <c r="K186" i="74"/>
  <c r="M186" i="74" s="1"/>
  <c r="AH186" i="74"/>
  <c r="K261" i="74"/>
  <c r="M261" i="74" s="1"/>
  <c r="AH261" i="74"/>
  <c r="K268" i="74"/>
  <c r="M268" i="74" s="1"/>
  <c r="AH268" i="74"/>
  <c r="K279" i="74"/>
  <c r="M279" i="74" s="1"/>
  <c r="AH279" i="74"/>
  <c r="K292" i="74"/>
  <c r="M292" i="74" s="1"/>
  <c r="AH292" i="74"/>
  <c r="K305" i="74"/>
  <c r="M305" i="74" s="1"/>
  <c r="AH305" i="74"/>
  <c r="K344" i="74"/>
  <c r="M344" i="74" s="1"/>
  <c r="AH344" i="74"/>
  <c r="K463" i="74"/>
  <c r="M463" i="74" s="1"/>
  <c r="AH463" i="74"/>
  <c r="K490" i="74"/>
  <c r="M490" i="74" s="1"/>
  <c r="AH490" i="74"/>
  <c r="K537" i="74"/>
  <c r="M537" i="74" s="1"/>
  <c r="AH537" i="74"/>
  <c r="K563" i="74"/>
  <c r="M563" i="74" s="1"/>
  <c r="AH563" i="74"/>
  <c r="K651" i="74"/>
  <c r="M651" i="74" s="1"/>
  <c r="AH651" i="74"/>
  <c r="K714" i="74"/>
  <c r="M714" i="74" s="1"/>
  <c r="AH714" i="74"/>
  <c r="K718" i="74"/>
  <c r="M718" i="74" s="1"/>
  <c r="AH718" i="74"/>
  <c r="K748" i="74"/>
  <c r="M748" i="74" s="1"/>
  <c r="AH748" i="74"/>
  <c r="K751" i="74"/>
  <c r="M751" i="74" s="1"/>
  <c r="AH751" i="74"/>
  <c r="K817" i="74"/>
  <c r="M817" i="74" s="1"/>
  <c r="AH817" i="74"/>
  <c r="K820" i="74"/>
  <c r="M820" i="74" s="1"/>
  <c r="AH820" i="74"/>
  <c r="K830" i="74"/>
  <c r="M830" i="74" s="1"/>
  <c r="AH830" i="74"/>
  <c r="K834" i="74"/>
  <c r="M834" i="74" s="1"/>
  <c r="AH834" i="74"/>
  <c r="AH862" i="74"/>
  <c r="K862" i="74"/>
  <c r="M862" i="74" s="1"/>
  <c r="K47" i="74"/>
  <c r="M47" i="74" s="1"/>
  <c r="AH47" i="74"/>
  <c r="K129" i="74"/>
  <c r="M129" i="74" s="1"/>
  <c r="AH129" i="74"/>
  <c r="K152" i="74"/>
  <c r="M152" i="74" s="1"/>
  <c r="AH152" i="74"/>
  <c r="K164" i="74"/>
  <c r="M164" i="74" s="1"/>
  <c r="K173" i="74"/>
  <c r="M173" i="74" s="1"/>
  <c r="AH173" i="74"/>
  <c r="K233" i="74"/>
  <c r="M233" i="74" s="1"/>
  <c r="AH233" i="74"/>
  <c r="K288" i="74"/>
  <c r="M288" i="74" s="1"/>
  <c r="AH288" i="74"/>
  <c r="K295" i="74"/>
  <c r="M295" i="74" s="1"/>
  <c r="AH295" i="74"/>
  <c r="K345" i="74"/>
  <c r="M345" i="74" s="1"/>
  <c r="AH345" i="74"/>
  <c r="K351" i="74"/>
  <c r="M351" i="74" s="1"/>
  <c r="AH351" i="74"/>
  <c r="K404" i="74"/>
  <c r="M404" i="74" s="1"/>
  <c r="AH404" i="74"/>
  <c r="K446" i="74"/>
  <c r="M446" i="74" s="1"/>
  <c r="AH446" i="74"/>
  <c r="K483" i="74"/>
  <c r="M483" i="74" s="1"/>
  <c r="AH483" i="74"/>
  <c r="K493" i="74"/>
  <c r="M493" i="74" s="1"/>
  <c r="AH493" i="74"/>
  <c r="AH506" i="74"/>
  <c r="K506" i="74"/>
  <c r="M506" i="74" s="1"/>
  <c r="K538" i="74"/>
  <c r="M538" i="74" s="1"/>
  <c r="AH538" i="74"/>
  <c r="K550" i="74"/>
  <c r="M550" i="74" s="1"/>
  <c r="AH550" i="74"/>
  <c r="K590" i="74"/>
  <c r="M590" i="74" s="1"/>
  <c r="AH590" i="74"/>
  <c r="K625" i="74"/>
  <c r="M625" i="74" s="1"/>
  <c r="AH625" i="74"/>
  <c r="K643" i="74"/>
  <c r="M643" i="74" s="1"/>
  <c r="AH643" i="74"/>
  <c r="K675" i="74"/>
  <c r="M675" i="74" s="1"/>
  <c r="AH675" i="74"/>
  <c r="AH688" i="74"/>
  <c r="K688" i="74"/>
  <c r="M688" i="74" s="1"/>
  <c r="K698" i="74"/>
  <c r="M698" i="74" s="1"/>
  <c r="K721" i="74"/>
  <c r="M721" i="74" s="1"/>
  <c r="AH721" i="74"/>
  <c r="AH775" i="74"/>
  <c r="K775" i="74"/>
  <c r="M775" i="74" s="1"/>
  <c r="AH810" i="74"/>
  <c r="K810" i="74"/>
  <c r="M810" i="74" s="1"/>
  <c r="K858" i="74"/>
  <c r="M858" i="74" s="1"/>
  <c r="AH858" i="74"/>
  <c r="K872" i="74"/>
  <c r="M872" i="74" s="1"/>
  <c r="AH872" i="74"/>
  <c r="K53" i="74"/>
  <c r="M53" i="74" s="1"/>
  <c r="AH53" i="74"/>
  <c r="K56" i="74"/>
  <c r="M56" i="74" s="1"/>
  <c r="AH56" i="74"/>
  <c r="K75" i="74"/>
  <c r="M75" i="74" s="1"/>
  <c r="AH75" i="74"/>
  <c r="K108" i="74"/>
  <c r="M108" i="74" s="1"/>
  <c r="AH108" i="74"/>
  <c r="K145" i="74"/>
  <c r="M145" i="74" s="1"/>
  <c r="AH145" i="74"/>
  <c r="K168" i="74"/>
  <c r="M168" i="74" s="1"/>
  <c r="AH168" i="74"/>
  <c r="K212" i="74"/>
  <c r="M212" i="74" s="1"/>
  <c r="AH212" i="74"/>
  <c r="K258" i="74"/>
  <c r="M258" i="74" s="1"/>
  <c r="AH258" i="74"/>
  <c r="K275" i="74"/>
  <c r="M275" i="74" s="1"/>
  <c r="AH275" i="74"/>
  <c r="K398" i="74"/>
  <c r="M398" i="74" s="1"/>
  <c r="AH398" i="74"/>
  <c r="K405" i="74"/>
  <c r="M405" i="74" s="1"/>
  <c r="AH405" i="74"/>
  <c r="K494" i="74"/>
  <c r="M494" i="74" s="1"/>
  <c r="AH494" i="74"/>
  <c r="K516" i="74"/>
  <c r="M516" i="74" s="1"/>
  <c r="AH516" i="74"/>
  <c r="K531" i="74"/>
  <c r="M531" i="74" s="1"/>
  <c r="AH531" i="74"/>
  <c r="K547" i="74"/>
  <c r="M547" i="74" s="1"/>
  <c r="AH547" i="74"/>
  <c r="K604" i="74"/>
  <c r="M604" i="74" s="1"/>
  <c r="AH604" i="74"/>
  <c r="K652" i="74"/>
  <c r="M652" i="74" s="1"/>
  <c r="AH652" i="74"/>
  <c r="K660" i="74"/>
  <c r="M660" i="74" s="1"/>
  <c r="K691" i="74"/>
  <c r="M691" i="74" s="1"/>
  <c r="AH691" i="74"/>
  <c r="K695" i="74"/>
  <c r="M695" i="74" s="1"/>
  <c r="AH695" i="74"/>
  <c r="K736" i="74"/>
  <c r="M736" i="74" s="1"/>
  <c r="AH736" i="74"/>
  <c r="AH786" i="74"/>
  <c r="K786" i="74"/>
  <c r="M786" i="74" s="1"/>
  <c r="K59" i="74"/>
  <c r="M59" i="74" s="1"/>
  <c r="AH59" i="74"/>
  <c r="K177" i="74"/>
  <c r="M177" i="74" s="1"/>
  <c r="AH177" i="74"/>
  <c r="K190" i="74"/>
  <c r="M190" i="74" s="1"/>
  <c r="AH190" i="74"/>
  <c r="K197" i="74"/>
  <c r="M197" i="74" s="1"/>
  <c r="AH197" i="74"/>
  <c r="K203" i="74"/>
  <c r="M203" i="74" s="1"/>
  <c r="AH203" i="74"/>
  <c r="K269" i="74"/>
  <c r="M269" i="74" s="1"/>
  <c r="AH269" i="74"/>
  <c r="K370" i="74"/>
  <c r="M370" i="74" s="1"/>
  <c r="AH370" i="74"/>
  <c r="K402" i="74"/>
  <c r="M402" i="74" s="1"/>
  <c r="AH402" i="74"/>
  <c r="AH422" i="74"/>
  <c r="K422" i="74"/>
  <c r="M422" i="74" s="1"/>
  <c r="K425" i="74"/>
  <c r="M425" i="74" s="1"/>
  <c r="AH425" i="74"/>
  <c r="K497" i="74"/>
  <c r="M497" i="74" s="1"/>
  <c r="AH497" i="74"/>
  <c r="K566" i="74"/>
  <c r="M566" i="74" s="1"/>
  <c r="AH566" i="74"/>
  <c r="K582" i="74"/>
  <c r="M582" i="74" s="1"/>
  <c r="AH582" i="74"/>
  <c r="K611" i="74"/>
  <c r="M611" i="74" s="1"/>
  <c r="AH611" i="74"/>
  <c r="K622" i="74"/>
  <c r="M622" i="74" s="1"/>
  <c r="K655" i="74"/>
  <c r="M655" i="74" s="1"/>
  <c r="AH655" i="74"/>
  <c r="AH658" i="74"/>
  <c r="K658" i="74"/>
  <c r="M658" i="74" s="1"/>
  <c r="K715" i="74"/>
  <c r="M715" i="74" s="1"/>
  <c r="AH715" i="74"/>
  <c r="K732" i="74"/>
  <c r="M732" i="74" s="1"/>
  <c r="AH732" i="74"/>
  <c r="K752" i="74"/>
  <c r="M752" i="74" s="1"/>
  <c r="AH752" i="74"/>
  <c r="K755" i="74"/>
  <c r="M755" i="74" s="1"/>
  <c r="K90" i="74"/>
  <c r="M90" i="74" s="1"/>
  <c r="AH90" i="74"/>
  <c r="K45" i="74"/>
  <c r="M45" i="74" s="1"/>
  <c r="K48" i="74"/>
  <c r="M48" i="74" s="1"/>
  <c r="AH48" i="74"/>
  <c r="K66" i="74"/>
  <c r="M66" i="74" s="1"/>
  <c r="K116" i="74"/>
  <c r="M116" i="74" s="1"/>
  <c r="AH116" i="74"/>
  <c r="AH133" i="74"/>
  <c r="K133" i="74"/>
  <c r="M133" i="74" s="1"/>
  <c r="K178" i="74"/>
  <c r="M178" i="74" s="1"/>
  <c r="K184" i="74"/>
  <c r="M184" i="74" s="1"/>
  <c r="K194" i="74"/>
  <c r="M194" i="74" s="1"/>
  <c r="K209" i="74"/>
  <c r="M209" i="74" s="1"/>
  <c r="AH209" i="74"/>
  <c r="K237" i="74"/>
  <c r="M237" i="74" s="1"/>
  <c r="AH237" i="74"/>
  <c r="K266" i="74"/>
  <c r="M266" i="74" s="1"/>
  <c r="K276" i="74"/>
  <c r="M276" i="74" s="1"/>
  <c r="AH276" i="74"/>
  <c r="K286" i="74"/>
  <c r="M286" i="74" s="1"/>
  <c r="K319" i="74"/>
  <c r="M319" i="74" s="1"/>
  <c r="AH319" i="74"/>
  <c r="K332" i="74"/>
  <c r="M332" i="74" s="1"/>
  <c r="AH332" i="74"/>
  <c r="K342" i="74"/>
  <c r="M342" i="74" s="1"/>
  <c r="AH342" i="74"/>
  <c r="K349" i="74"/>
  <c r="M349" i="74" s="1"/>
  <c r="AH349" i="74"/>
  <c r="K389" i="74"/>
  <c r="M389" i="74" s="1"/>
  <c r="K399" i="74"/>
  <c r="M399" i="74" s="1"/>
  <c r="K409" i="74"/>
  <c r="M409" i="74" s="1"/>
  <c r="K416" i="74"/>
  <c r="M416" i="74" s="1"/>
  <c r="AH416" i="74"/>
  <c r="K468" i="74"/>
  <c r="M468" i="74" s="1"/>
  <c r="AH468" i="74"/>
  <c r="K478" i="74"/>
  <c r="M478" i="74" s="1"/>
  <c r="K491" i="74"/>
  <c r="M491" i="74" s="1"/>
  <c r="K532" i="74"/>
  <c r="M532" i="74" s="1"/>
  <c r="K539" i="74"/>
  <c r="M539" i="74" s="1"/>
  <c r="AH539" i="74"/>
  <c r="K542" i="74"/>
  <c r="M542" i="74" s="1"/>
  <c r="AH542" i="74"/>
  <c r="K572" i="74"/>
  <c r="M572" i="74" s="1"/>
  <c r="K588" i="74"/>
  <c r="M588" i="74" s="1"/>
  <c r="AH598" i="74"/>
  <c r="K598" i="74"/>
  <c r="M598" i="74" s="1"/>
  <c r="K617" i="74"/>
  <c r="M617" i="74" s="1"/>
  <c r="AH617" i="74"/>
  <c r="K638" i="74"/>
  <c r="M638" i="74" s="1"/>
  <c r="K679" i="74"/>
  <c r="M679" i="74" s="1"/>
  <c r="AH679" i="74"/>
  <c r="K692" i="74"/>
  <c r="M692" i="74" s="1"/>
  <c r="AH692" i="74"/>
  <c r="K699" i="74"/>
  <c r="M699" i="74" s="1"/>
  <c r="AH699" i="74"/>
  <c r="K726" i="74"/>
  <c r="M726" i="74" s="1"/>
  <c r="AH726" i="74"/>
  <c r="K740" i="74"/>
  <c r="M740" i="74" s="1"/>
  <c r="AH740" i="74"/>
  <c r="K766" i="74"/>
  <c r="M766" i="74" s="1"/>
  <c r="AH766" i="74"/>
  <c r="K780" i="74"/>
  <c r="M780" i="74" s="1"/>
  <c r="AH780" i="74"/>
  <c r="K797" i="74"/>
  <c r="M797" i="74" s="1"/>
  <c r="AH797" i="74"/>
  <c r="K804" i="74"/>
  <c r="M804" i="74" s="1"/>
  <c r="AH804" i="74"/>
  <c r="K812" i="74"/>
  <c r="M812" i="74" s="1"/>
  <c r="AH812" i="74"/>
  <c r="K839" i="74"/>
  <c r="M839" i="74" s="1"/>
  <c r="AH839" i="74"/>
  <c r="K846" i="74"/>
  <c r="M846" i="74" s="1"/>
  <c r="K317" i="74"/>
  <c r="M317" i="74" s="1"/>
  <c r="AH317" i="74"/>
  <c r="K524" i="74"/>
  <c r="M524" i="74" s="1"/>
  <c r="AH524" i="74"/>
  <c r="K505" i="74"/>
  <c r="M505" i="74" s="1"/>
  <c r="AH505" i="74"/>
  <c r="K154" i="74"/>
  <c r="M154" i="74" s="1"/>
  <c r="K202" i="74"/>
  <c r="M202" i="74" s="1"/>
  <c r="K876" i="74"/>
  <c r="M876" i="74" s="1"/>
  <c r="AH876" i="74"/>
  <c r="K130" i="74"/>
  <c r="M130" i="74" s="1"/>
  <c r="AH130" i="74"/>
  <c r="K57" i="74"/>
  <c r="M57" i="74" s="1"/>
  <c r="K146" i="74"/>
  <c r="M146" i="74" s="1"/>
  <c r="K222" i="74"/>
  <c r="M222" i="74" s="1"/>
  <c r="AH231" i="74"/>
  <c r="K231" i="74"/>
  <c r="M231" i="74" s="1"/>
  <c r="K329" i="74"/>
  <c r="M329" i="74" s="1"/>
  <c r="AH329" i="74"/>
  <c r="AH356" i="74"/>
  <c r="K356" i="74"/>
  <c r="M356" i="74" s="1"/>
  <c r="K412" i="74"/>
  <c r="M412" i="74" s="1"/>
  <c r="K428" i="74"/>
  <c r="M428" i="74" s="1"/>
  <c r="AH428" i="74"/>
  <c r="K495" i="74"/>
  <c r="M495" i="74" s="1"/>
  <c r="AH495" i="74"/>
  <c r="K510" i="74"/>
  <c r="M510" i="74" s="1"/>
  <c r="AH510" i="74"/>
  <c r="K529" i="74"/>
  <c r="M529" i="74" s="1"/>
  <c r="AH529" i="74"/>
  <c r="K558" i="74"/>
  <c r="M558" i="74" s="1"/>
  <c r="K627" i="74"/>
  <c r="M627" i="74" s="1"/>
  <c r="AH627" i="74"/>
  <c r="K647" i="74"/>
  <c r="M647" i="74" s="1"/>
  <c r="AH647" i="74"/>
  <c r="AH650" i="74"/>
  <c r="K650" i="74"/>
  <c r="M650" i="74" s="1"/>
  <c r="K712" i="74"/>
  <c r="M712" i="74" s="1"/>
  <c r="AH712" i="74"/>
  <c r="K733" i="74"/>
  <c r="M733" i="74" s="1"/>
  <c r="K777" i="74"/>
  <c r="M777" i="74" s="1"/>
  <c r="AH777" i="74"/>
  <c r="K801" i="74"/>
  <c r="M801" i="74" s="1"/>
  <c r="AH801" i="74"/>
  <c r="K840" i="74"/>
  <c r="M840" i="74" s="1"/>
  <c r="AH840" i="74"/>
  <c r="K875" i="74"/>
  <c r="M875" i="74" s="1"/>
  <c r="AH875" i="74"/>
  <c r="K487" i="74"/>
  <c r="M487" i="74" s="1"/>
  <c r="AH487" i="74"/>
  <c r="K296" i="74"/>
  <c r="M296" i="74" s="1"/>
  <c r="AH296" i="74"/>
  <c r="AH880" i="74"/>
  <c r="K880" i="74"/>
  <c r="M880" i="74" s="1"/>
  <c r="K51" i="74"/>
  <c r="M51" i="74" s="1"/>
  <c r="AH51" i="74"/>
  <c r="K63" i="74"/>
  <c r="M63" i="74" s="1"/>
  <c r="AH63" i="74"/>
  <c r="K87" i="74"/>
  <c r="M87" i="74" s="1"/>
  <c r="AH87" i="74"/>
  <c r="AH113" i="74"/>
  <c r="K113" i="74"/>
  <c r="M113" i="74" s="1"/>
  <c r="K143" i="74"/>
  <c r="M143" i="74" s="1"/>
  <c r="K175" i="74"/>
  <c r="M175" i="74" s="1"/>
  <c r="AH175" i="74"/>
  <c r="K182" i="74"/>
  <c r="M182" i="74" s="1"/>
  <c r="AH182" i="74"/>
  <c r="K198" i="74"/>
  <c r="M198" i="74" s="1"/>
  <c r="AH198" i="74"/>
  <c r="K250" i="74"/>
  <c r="M250" i="74" s="1"/>
  <c r="K284" i="74"/>
  <c r="M284" i="74" s="1"/>
  <c r="AH284" i="74"/>
  <c r="K300" i="74"/>
  <c r="M300" i="74" s="1"/>
  <c r="AH300" i="74"/>
  <c r="K309" i="74"/>
  <c r="M309" i="74" s="1"/>
  <c r="K336" i="74"/>
  <c r="M336" i="74" s="1"/>
  <c r="K340" i="74"/>
  <c r="M340" i="74" s="1"/>
  <c r="AH340" i="74"/>
  <c r="K360" i="74"/>
  <c r="M360" i="74" s="1"/>
  <c r="K393" i="74"/>
  <c r="M393" i="74" s="1"/>
  <c r="AH393" i="74"/>
  <c r="AH400" i="74"/>
  <c r="K400" i="74"/>
  <c r="M400" i="74" s="1"/>
  <c r="K403" i="74"/>
  <c r="M403" i="74" s="1"/>
  <c r="AH403" i="74"/>
  <c r="K432" i="74"/>
  <c r="M432" i="74" s="1"/>
  <c r="K441" i="74"/>
  <c r="M441" i="74" s="1"/>
  <c r="AH441" i="74"/>
  <c r="K448" i="74"/>
  <c r="M448" i="74" s="1"/>
  <c r="K465" i="74"/>
  <c r="M465" i="74" s="1"/>
  <c r="AH465" i="74"/>
  <c r="K485" i="74"/>
  <c r="M485" i="74" s="1"/>
  <c r="AH485" i="74"/>
  <c r="AH492" i="74"/>
  <c r="K492" i="74"/>
  <c r="M492" i="74" s="1"/>
  <c r="AH507" i="74"/>
  <c r="K507" i="74"/>
  <c r="M507" i="74" s="1"/>
  <c r="K514" i="74"/>
  <c r="M514" i="74" s="1"/>
  <c r="K533" i="74"/>
  <c r="M533" i="74" s="1"/>
  <c r="AH533" i="74"/>
  <c r="K579" i="74"/>
  <c r="M579" i="74" s="1"/>
  <c r="AH579" i="74"/>
  <c r="AH612" i="74"/>
  <c r="K612" i="74"/>
  <c r="M612" i="74" s="1"/>
  <c r="K623" i="74"/>
  <c r="M623" i="74" s="1"/>
  <c r="AH623" i="74"/>
  <c r="K671" i="74"/>
  <c r="M671" i="74" s="1"/>
  <c r="AH671" i="74"/>
  <c r="AH674" i="74"/>
  <c r="K674" i="74"/>
  <c r="M674" i="74" s="1"/>
  <c r="K689" i="74"/>
  <c r="M689" i="74" s="1"/>
  <c r="AH689" i="74"/>
  <c r="K723" i="74"/>
  <c r="M723" i="74" s="1"/>
  <c r="AH723" i="74"/>
  <c r="K763" i="74"/>
  <c r="M763" i="74" s="1"/>
  <c r="AH763" i="74"/>
  <c r="K791" i="74"/>
  <c r="M791" i="74" s="1"/>
  <c r="AH791" i="74"/>
  <c r="K843" i="74"/>
  <c r="M843" i="74" s="1"/>
  <c r="AH843" i="74"/>
  <c r="K614" i="74"/>
  <c r="M614" i="74" s="1"/>
  <c r="K676" i="74"/>
  <c r="M676" i="74" s="1"/>
  <c r="K776" i="74"/>
  <c r="M776" i="74" s="1"/>
  <c r="AH776" i="74"/>
  <c r="K779" i="74"/>
  <c r="M779" i="74" s="1"/>
  <c r="K805" i="74"/>
  <c r="M805" i="74" s="1"/>
  <c r="AH805" i="74"/>
  <c r="K811" i="74"/>
  <c r="M811" i="74" s="1"/>
  <c r="AH811" i="74"/>
  <c r="K821" i="74"/>
  <c r="M821" i="74" s="1"/>
  <c r="AH821" i="74"/>
  <c r="K837" i="74"/>
  <c r="M837" i="74" s="1"/>
  <c r="AH837" i="74"/>
  <c r="K853" i="74"/>
  <c r="M853" i="74" s="1"/>
  <c r="AH853" i="74"/>
  <c r="K869" i="74"/>
  <c r="M869" i="74" s="1"/>
  <c r="AH869" i="74"/>
  <c r="K882" i="74"/>
  <c r="M882" i="74" s="1"/>
  <c r="AH882" i="74"/>
  <c r="K824" i="74"/>
  <c r="M824" i="74" s="1"/>
  <c r="AH824" i="74"/>
  <c r="K835" i="74"/>
  <c r="M835" i="74" s="1"/>
  <c r="AH835" i="74"/>
  <c r="K845" i="74"/>
  <c r="M845" i="74" s="1"/>
  <c r="AH845" i="74"/>
  <c r="K883" i="74"/>
  <c r="M883" i="74" s="1"/>
  <c r="AH883" i="74"/>
  <c r="K887" i="74"/>
  <c r="M887" i="74" s="1"/>
  <c r="AH887" i="74"/>
  <c r="K597" i="74"/>
  <c r="M597" i="74" s="1"/>
  <c r="AH597" i="74"/>
  <c r="K603" i="74"/>
  <c r="M603" i="74" s="1"/>
  <c r="AH603" i="74"/>
  <c r="K609" i="74"/>
  <c r="M609" i="74" s="1"/>
  <c r="AH609" i="74"/>
  <c r="K634" i="74"/>
  <c r="M634" i="74" s="1"/>
  <c r="AH634" i="74"/>
  <c r="K642" i="74"/>
  <c r="M642" i="74" s="1"/>
  <c r="AH642" i="74"/>
  <c r="K645" i="74"/>
  <c r="M645" i="74" s="1"/>
  <c r="AH645" i="74"/>
  <c r="K653" i="74"/>
  <c r="M653" i="74" s="1"/>
  <c r="AH653" i="74"/>
  <c r="K677" i="74"/>
  <c r="M677" i="74" s="1"/>
  <c r="AH677" i="74"/>
  <c r="K746" i="74"/>
  <c r="M746" i="74" s="1"/>
  <c r="AH746" i="74"/>
  <c r="K753" i="74"/>
  <c r="M753" i="74" s="1"/>
  <c r="AH753" i="74"/>
  <c r="K758" i="74"/>
  <c r="M758" i="74" s="1"/>
  <c r="AH758" i="74"/>
  <c r="K792" i="74"/>
  <c r="M792" i="74" s="1"/>
  <c r="AH792" i="74"/>
  <c r="K60" i="74"/>
  <c r="M60" i="74" s="1"/>
  <c r="AH60" i="74"/>
  <c r="K70" i="74"/>
  <c r="M70" i="74" s="1"/>
  <c r="K76" i="74"/>
  <c r="M76" i="74" s="1"/>
  <c r="AH76" i="74"/>
  <c r="K123" i="74"/>
  <c r="M123" i="74" s="1"/>
  <c r="AH123" i="74"/>
  <c r="K243" i="74"/>
  <c r="M243" i="74" s="1"/>
  <c r="AH243" i="74"/>
  <c r="K277" i="74"/>
  <c r="M277" i="74" s="1"/>
  <c r="K308" i="74"/>
  <c r="M308" i="74" s="1"/>
  <c r="K311" i="74"/>
  <c r="M311" i="74" s="1"/>
  <c r="K324" i="74"/>
  <c r="M324" i="74" s="1"/>
  <c r="K330" i="74"/>
  <c r="M330" i="74" s="1"/>
  <c r="AH330" i="74"/>
  <c r="K362" i="74"/>
  <c r="M362" i="74" s="1"/>
  <c r="K406" i="74"/>
  <c r="M406" i="74" s="1"/>
  <c r="AH406" i="74"/>
  <c r="K419" i="74"/>
  <c r="M419" i="74" s="1"/>
  <c r="AH419" i="74"/>
  <c r="K467" i="74"/>
  <c r="M467" i="74" s="1"/>
  <c r="K473" i="74"/>
  <c r="M473" i="74" s="1"/>
  <c r="AH473" i="74"/>
  <c r="K509" i="74"/>
  <c r="M509" i="74" s="1"/>
  <c r="K620" i="74"/>
  <c r="M620" i="74" s="1"/>
  <c r="K728" i="74"/>
  <c r="M728" i="74" s="1"/>
  <c r="AH728" i="74"/>
  <c r="K784" i="74"/>
  <c r="M784" i="74" s="1"/>
  <c r="AH784" i="74"/>
  <c r="K789" i="74"/>
  <c r="M789" i="74" s="1"/>
  <c r="AH789" i="74"/>
  <c r="K793" i="74"/>
  <c r="M793" i="74" s="1"/>
  <c r="AH793" i="74"/>
  <c r="K818" i="74"/>
  <c r="M818" i="74" s="1"/>
  <c r="AH818" i="74"/>
  <c r="K822" i="74"/>
  <c r="M822" i="74" s="1"/>
  <c r="AH822" i="74"/>
  <c r="K884" i="74"/>
  <c r="M884" i="74" s="1"/>
  <c r="AH884" i="74"/>
  <c r="K765" i="74"/>
  <c r="M765" i="74" s="1"/>
  <c r="AH765" i="74"/>
  <c r="K771" i="74"/>
  <c r="M771" i="74" s="1"/>
  <c r="AH771" i="74"/>
  <c r="K848" i="74"/>
  <c r="M848" i="74" s="1"/>
  <c r="AH848" i="74"/>
  <c r="K874" i="74"/>
  <c r="M874" i="74" s="1"/>
  <c r="AH874" i="74"/>
  <c r="K306" i="74"/>
  <c r="M306" i="74" s="1"/>
  <c r="AH306" i="74"/>
  <c r="K331" i="74"/>
  <c r="M331" i="74" s="1"/>
  <c r="AH331" i="74"/>
  <c r="K334" i="74"/>
  <c r="M334" i="74" s="1"/>
  <c r="AH334" i="74"/>
  <c r="K369" i="74"/>
  <c r="M369" i="74" s="1"/>
  <c r="AH369" i="74"/>
  <c r="K385" i="74"/>
  <c r="M385" i="74" s="1"/>
  <c r="AH385" i="74"/>
  <c r="K397" i="74"/>
  <c r="M397" i="74" s="1"/>
  <c r="AH397" i="74"/>
  <c r="K417" i="74"/>
  <c r="M417" i="74" s="1"/>
  <c r="AH417" i="74"/>
  <c r="K437" i="74"/>
  <c r="M437" i="74" s="1"/>
  <c r="AH437" i="74"/>
  <c r="K452" i="74"/>
  <c r="M452" i="74" s="1"/>
  <c r="AH452" i="74"/>
  <c r="K474" i="74"/>
  <c r="M474" i="74" s="1"/>
  <c r="AH474" i="74"/>
  <c r="K477" i="74"/>
  <c r="M477" i="74" s="1"/>
  <c r="AH477" i="74"/>
  <c r="K525" i="74"/>
  <c r="M525" i="74" s="1"/>
  <c r="AH525" i="74"/>
  <c r="K534" i="74"/>
  <c r="M534" i="74" s="1"/>
  <c r="AH534" i="74"/>
  <c r="K569" i="74"/>
  <c r="M569" i="74" s="1"/>
  <c r="AH569" i="74"/>
  <c r="K580" i="74"/>
  <c r="M580" i="74" s="1"/>
  <c r="K587" i="74"/>
  <c r="M587" i="74" s="1"/>
  <c r="AH587" i="74"/>
  <c r="K592" i="74"/>
  <c r="M592" i="74" s="1"/>
  <c r="AH592" i="74"/>
  <c r="K610" i="74"/>
  <c r="M610" i="74" s="1"/>
  <c r="AH610" i="74"/>
  <c r="K640" i="74"/>
  <c r="M640" i="74" s="1"/>
  <c r="AH640" i="74"/>
  <c r="K656" i="74"/>
  <c r="M656" i="74" s="1"/>
  <c r="AH656" i="74"/>
  <c r="K664" i="74"/>
  <c r="M664" i="74" s="1"/>
  <c r="AH664" i="74"/>
  <c r="K683" i="74"/>
  <c r="M683" i="74" s="1"/>
  <c r="AH683" i="74"/>
  <c r="K702" i="74"/>
  <c r="M702" i="74" s="1"/>
  <c r="AH702" i="74"/>
  <c r="K705" i="74"/>
  <c r="M705" i="74" s="1"/>
  <c r="AH705" i="74"/>
  <c r="K729" i="74"/>
  <c r="M729" i="74" s="1"/>
  <c r="AH729" i="74"/>
  <c r="K734" i="74"/>
  <c r="M734" i="74" s="1"/>
  <c r="AH734" i="74"/>
  <c r="K744" i="74"/>
  <c r="M744" i="74" s="1"/>
  <c r="AH744" i="74"/>
  <c r="K52" i="74"/>
  <c r="M52" i="74" s="1"/>
  <c r="K61" i="74"/>
  <c r="M61" i="74" s="1"/>
  <c r="K67" i="74"/>
  <c r="M67" i="74" s="1"/>
  <c r="AH67" i="74"/>
  <c r="K84" i="74"/>
  <c r="M84" i="74" s="1"/>
  <c r="K95" i="74"/>
  <c r="M95" i="74" s="1"/>
  <c r="AH95" i="74"/>
  <c r="K99" i="74"/>
  <c r="M99" i="74" s="1"/>
  <c r="AH99" i="74"/>
  <c r="K144" i="74"/>
  <c r="M144" i="74" s="1"/>
  <c r="K147" i="74"/>
  <c r="M147" i="74" s="1"/>
  <c r="K159" i="74"/>
  <c r="M159" i="74" s="1"/>
  <c r="AH159" i="74"/>
  <c r="K174" i="74"/>
  <c r="M174" i="74" s="1"/>
  <c r="K189" i="74"/>
  <c r="M189" i="74" s="1"/>
  <c r="AH189" i="74"/>
  <c r="K195" i="74"/>
  <c r="M195" i="74" s="1"/>
  <c r="AH195" i="74"/>
  <c r="K271" i="74"/>
  <c r="M271" i="74" s="1"/>
  <c r="AH271" i="74"/>
  <c r="K290" i="74"/>
  <c r="M290" i="74" s="1"/>
  <c r="AH290" i="74"/>
  <c r="K318" i="74"/>
  <c r="M318" i="74" s="1"/>
  <c r="AH318" i="74"/>
  <c r="K366" i="74"/>
  <c r="M366" i="74" s="1"/>
  <c r="AH366" i="74"/>
  <c r="K388" i="74"/>
  <c r="M388" i="74" s="1"/>
  <c r="AH388" i="74"/>
  <c r="K413" i="74"/>
  <c r="M413" i="74" s="1"/>
  <c r="AH413" i="74"/>
  <c r="K557" i="74"/>
  <c r="M557" i="74" s="1"/>
  <c r="AH557" i="74"/>
  <c r="K694" i="74"/>
  <c r="M694" i="74" s="1"/>
  <c r="K750" i="74"/>
  <c r="M750" i="74" s="1"/>
  <c r="K803" i="74"/>
  <c r="M803" i="74" s="1"/>
  <c r="K806" i="74"/>
  <c r="M806" i="74" s="1"/>
  <c r="AH806" i="74"/>
  <c r="K825" i="74"/>
  <c r="M825" i="74" s="1"/>
  <c r="AH825" i="74"/>
  <c r="K828" i="74"/>
  <c r="M828" i="74" s="1"/>
  <c r="K851" i="74"/>
  <c r="M851" i="74" s="1"/>
  <c r="K854" i="74"/>
  <c r="M854" i="74" s="1"/>
  <c r="AH854" i="74"/>
  <c r="K857" i="74"/>
  <c r="M857" i="74" s="1"/>
  <c r="AH857" i="74"/>
  <c r="K870" i="74"/>
  <c r="M870" i="74" s="1"/>
  <c r="AH870" i="74"/>
  <c r="K741" i="74"/>
  <c r="M741" i="74" s="1"/>
  <c r="AH741" i="74"/>
  <c r="K756" i="74"/>
  <c r="M756" i="74" s="1"/>
  <c r="K790" i="74"/>
  <c r="M790" i="74" s="1"/>
  <c r="K800" i="74"/>
  <c r="M800" i="74" s="1"/>
  <c r="AH800" i="74"/>
  <c r="K813" i="74"/>
  <c r="M813" i="74" s="1"/>
  <c r="AH813" i="74"/>
  <c r="K819" i="74"/>
  <c r="M819" i="74" s="1"/>
  <c r="AH819" i="74"/>
  <c r="K832" i="74"/>
  <c r="M832" i="74" s="1"/>
  <c r="K867" i="74"/>
  <c r="M867" i="74" s="1"/>
  <c r="AH867" i="74"/>
  <c r="K877" i="74"/>
  <c r="M877" i="74" s="1"/>
  <c r="AH877" i="74"/>
  <c r="K92" i="74"/>
  <c r="M92" i="74" s="1"/>
  <c r="K124" i="74"/>
  <c r="M124" i="74" s="1"/>
  <c r="AH124" i="74"/>
  <c r="K241" i="74"/>
  <c r="M241" i="74" s="1"/>
  <c r="K265" i="74"/>
  <c r="M265" i="74" s="1"/>
  <c r="AH265" i="74"/>
  <c r="K278" i="74"/>
  <c r="M278" i="74" s="1"/>
  <c r="AH278" i="74"/>
  <c r="K312" i="74"/>
  <c r="M312" i="74" s="1"/>
  <c r="AH312" i="74"/>
  <c r="K325" i="74"/>
  <c r="M325" i="74" s="1"/>
  <c r="AH325" i="74"/>
  <c r="K363" i="74"/>
  <c r="M363" i="74" s="1"/>
  <c r="AH363" i="74"/>
  <c r="K548" i="74"/>
  <c r="M548" i="74" s="1"/>
  <c r="K551" i="74"/>
  <c r="M551" i="74" s="1"/>
  <c r="AH551" i="74"/>
  <c r="K607" i="74"/>
  <c r="M607" i="74" s="1"/>
  <c r="AH607" i="74"/>
  <c r="K686" i="74"/>
  <c r="M686" i="74" s="1"/>
  <c r="K708" i="74"/>
  <c r="M708" i="74" s="1"/>
  <c r="K772" i="74"/>
  <c r="M772" i="74" s="1"/>
  <c r="AH772" i="74"/>
  <c r="K842" i="74"/>
  <c r="M842" i="74" s="1"/>
  <c r="AH842" i="74"/>
  <c r="K861" i="74"/>
  <c r="M861" i="74" s="1"/>
  <c r="AH861" i="74"/>
  <c r="K864" i="74"/>
  <c r="M864" i="74" s="1"/>
  <c r="AH864" i="74"/>
  <c r="K28" i="74"/>
  <c r="M28" i="74" s="1"/>
  <c r="AH28" i="74"/>
  <c r="K30" i="74"/>
  <c r="M30" i="74" s="1"/>
  <c r="AH30" i="74"/>
  <c r="K42" i="74"/>
  <c r="M42" i="74" s="1"/>
  <c r="AH42" i="74"/>
  <c r="K41" i="74"/>
  <c r="M41" i="74" s="1"/>
  <c r="AH41" i="74"/>
  <c r="K22" i="74"/>
  <c r="M22" i="74" s="1"/>
  <c r="AH22" i="74"/>
  <c r="AI19" i="74" s="1" a="1"/>
  <c r="K33" i="74"/>
  <c r="M33" i="74" s="1"/>
  <c r="AH33" i="74"/>
  <c r="K35" i="74"/>
  <c r="M35" i="74" s="1"/>
  <c r="AH35" i="74"/>
  <c r="X34" i="74"/>
  <c r="V23" i="74"/>
  <c r="U26" i="74"/>
  <c r="AB31" i="74"/>
  <c r="U33" i="74"/>
  <c r="R35" i="74"/>
  <c r="W23" i="74"/>
  <c r="V26" i="74"/>
  <c r="T38" i="74"/>
  <c r="U52" i="74"/>
  <c r="K36" i="74"/>
  <c r="M36" i="74" s="1"/>
  <c r="K37" i="74"/>
  <c r="M37" i="74" s="1"/>
  <c r="K21" i="74"/>
  <c r="V22" i="74"/>
  <c r="W25" i="74"/>
  <c r="S28" i="74"/>
  <c r="O38" i="74"/>
  <c r="O49" i="74"/>
  <c r="O41" i="74"/>
  <c r="S60" i="74"/>
  <c r="R52" i="74"/>
  <c r="Q73" i="74"/>
  <c r="AA20" i="74"/>
  <c r="AA27" i="74"/>
  <c r="AB21" i="74"/>
  <c r="Y28" i="74"/>
  <c r="V33" i="74"/>
  <c r="X37" i="74"/>
  <c r="S39" i="74"/>
  <c r="Q58" i="74"/>
  <c r="X27" i="74"/>
  <c r="P56" i="74"/>
  <c r="T64" i="74"/>
  <c r="Y27" i="74"/>
  <c r="U30" i="74"/>
  <c r="O32" i="74"/>
  <c r="X25" i="74"/>
  <c r="X29" i="74"/>
  <c r="AA32" i="74"/>
  <c r="O40" i="74"/>
  <c r="P42" i="74"/>
  <c r="O45" i="74"/>
  <c r="O50" i="74"/>
  <c r="Q40" i="74"/>
  <c r="O48" i="74"/>
  <c r="X24" i="74"/>
  <c r="V28" i="74"/>
  <c r="Z31" i="74"/>
  <c r="S78" i="74"/>
  <c r="Y26" i="74"/>
  <c r="AB36" i="74"/>
  <c r="T73" i="74"/>
  <c r="O71" i="74"/>
  <c r="O76" i="74"/>
  <c r="Z33" i="74"/>
  <c r="W38" i="74"/>
  <c r="R68" i="74"/>
  <c r="AA33" i="74"/>
  <c r="Q48" i="74"/>
  <c r="R50" i="74"/>
  <c r="Q63" i="74"/>
  <c r="Y29" i="74"/>
  <c r="W32" i="74"/>
  <c r="O43" i="74"/>
  <c r="X35" i="74"/>
  <c r="Z37" i="74"/>
  <c r="R69" i="74"/>
  <c r="R72" i="74"/>
  <c r="O77" i="74"/>
  <c r="AB37" i="74"/>
  <c r="Q64" i="74"/>
  <c r="R77" i="74"/>
  <c r="S121" i="74"/>
  <c r="S86" i="74"/>
  <c r="P80" i="74"/>
  <c r="Q77" i="74"/>
  <c r="S73" i="74"/>
  <c r="Q72" i="74"/>
  <c r="T69" i="74"/>
  <c r="Q68" i="74"/>
  <c r="S64" i="74"/>
  <c r="P63" i="74"/>
  <c r="R59" i="74"/>
  <c r="P58" i="74"/>
  <c r="O57" i="74"/>
  <c r="O56" i="74"/>
  <c r="T52" i="74"/>
  <c r="R51" i="74"/>
  <c r="Q50" i="74"/>
  <c r="P49" i="74"/>
  <c r="P48" i="74"/>
  <c r="O42" i="74"/>
  <c r="Q41" i="74"/>
  <c r="P40" i="74"/>
  <c r="R39" i="74"/>
  <c r="V38" i="74"/>
  <c r="AA37" i="74"/>
  <c r="S35" i="74"/>
  <c r="W34" i="74"/>
  <c r="AB33" i="74"/>
  <c r="P33" i="74"/>
  <c r="V32" i="74"/>
  <c r="AA31" i="74"/>
  <c r="O31" i="74"/>
  <c r="T30" i="74"/>
  <c r="Z29" i="74"/>
  <c r="T28" i="74"/>
  <c r="Z27" i="74"/>
  <c r="T26" i="74"/>
  <c r="Y25" i="74"/>
  <c r="S24" i="74"/>
  <c r="X23" i="74"/>
  <c r="Q22" i="74"/>
  <c r="AB20" i="74"/>
  <c r="P20" i="74"/>
  <c r="R64" i="74"/>
  <c r="O63" i="74"/>
  <c r="T60" i="74"/>
  <c r="Q59" i="74"/>
  <c r="O58" i="74"/>
  <c r="U53" i="74"/>
  <c r="S52" i="74"/>
  <c r="Q51" i="74"/>
  <c r="P50" i="74"/>
  <c r="S88" i="74"/>
  <c r="O86" i="74"/>
  <c r="O80" i="74"/>
  <c r="T78" i="74"/>
  <c r="P77" i="74"/>
  <c r="T74" i="74"/>
  <c r="R73" i="74"/>
  <c r="P72" i="74"/>
  <c r="S69" i="74"/>
  <c r="P68" i="74"/>
  <c r="S83" i="74"/>
  <c r="S81" i="74"/>
  <c r="R78" i="74"/>
  <c r="T75" i="74"/>
  <c r="R74" i="74"/>
  <c r="P73" i="74"/>
  <c r="T70" i="74"/>
  <c r="Q69" i="74"/>
  <c r="S65" i="74"/>
  <c r="P64" i="74"/>
  <c r="R60" i="74"/>
  <c r="O59" i="74"/>
  <c r="T54" i="74"/>
  <c r="S53" i="74"/>
  <c r="Q52" i="74"/>
  <c r="O51" i="74"/>
  <c r="Z45" i="74"/>
  <c r="W43" i="74"/>
  <c r="AB42" i="74"/>
  <c r="O39" i="74"/>
  <c r="S38" i="74"/>
  <c r="W37" i="74"/>
  <c r="Z36" i="74"/>
  <c r="AB35" i="74"/>
  <c r="P35" i="74"/>
  <c r="T34" i="74"/>
  <c r="Y33" i="74"/>
  <c r="S32" i="74"/>
  <c r="X31" i="74"/>
  <c r="Q30" i="74"/>
  <c r="W29" i="74"/>
  <c r="Q28" i="74"/>
  <c r="W27" i="74"/>
  <c r="Q26" i="74"/>
  <c r="V25" i="74"/>
  <c r="AB24" i="74"/>
  <c r="P24" i="74"/>
  <c r="U23" i="74"/>
  <c r="Z22" i="74"/>
  <c r="S21" i="74"/>
  <c r="Y20" i="74"/>
  <c r="Q81" i="74"/>
  <c r="P74" i="74"/>
  <c r="Q65" i="74"/>
  <c r="T55" i="74"/>
  <c r="U47" i="74"/>
  <c r="U43" i="74"/>
  <c r="AB39" i="74"/>
  <c r="U36" i="74"/>
  <c r="W33" i="74"/>
  <c r="O30" i="74"/>
  <c r="O28" i="74"/>
  <c r="T25" i="74"/>
  <c r="Q21" i="74"/>
  <c r="P32" i="74"/>
  <c r="Z28" i="74"/>
  <c r="Z26" i="74"/>
  <c r="R23" i="74"/>
  <c r="R81" i="74"/>
  <c r="Q78" i="74"/>
  <c r="S75" i="74"/>
  <c r="Q74" i="74"/>
  <c r="O73" i="74"/>
  <c r="S70" i="74"/>
  <c r="P69" i="74"/>
  <c r="T66" i="74"/>
  <c r="R65" i="74"/>
  <c r="O64" i="74"/>
  <c r="T61" i="74"/>
  <c r="Q60" i="74"/>
  <c r="U55" i="74"/>
  <c r="S54" i="74"/>
  <c r="R53" i="74"/>
  <c r="P52" i="74"/>
  <c r="U46" i="74"/>
  <c r="X45" i="74"/>
  <c r="Z44" i="74"/>
  <c r="V43" i="74"/>
  <c r="AA42" i="74"/>
  <c r="R38" i="74"/>
  <c r="U37" i="74"/>
  <c r="V36" i="74"/>
  <c r="AA35" i="74"/>
  <c r="O35" i="74"/>
  <c r="S34" i="74"/>
  <c r="X33" i="74"/>
  <c r="R32" i="74"/>
  <c r="W31" i="74"/>
  <c r="AB30" i="74"/>
  <c r="P30" i="74"/>
  <c r="V29" i="74"/>
  <c r="AB28" i="74"/>
  <c r="P28" i="74"/>
  <c r="V27" i="74"/>
  <c r="AB26" i="74"/>
  <c r="P26" i="74"/>
  <c r="U25" i="74"/>
  <c r="AA24" i="74"/>
  <c r="O24" i="74"/>
  <c r="T23" i="74"/>
  <c r="Y22" i="74"/>
  <c r="R21" i="74"/>
  <c r="X20" i="74"/>
  <c r="R87" i="74"/>
  <c r="O78" i="74"/>
  <c r="R75" i="74"/>
  <c r="R70" i="74"/>
  <c r="O69" i="74"/>
  <c r="S66" i="74"/>
  <c r="S61" i="74"/>
  <c r="P60" i="74"/>
  <c r="R54" i="74"/>
  <c r="Q53" i="74"/>
  <c r="O52" i="74"/>
  <c r="T46" i="74"/>
  <c r="U45" i="74"/>
  <c r="U44" i="74"/>
  <c r="W42" i="74"/>
  <c r="AB41" i="74"/>
  <c r="Q38" i="74"/>
  <c r="T37" i="74"/>
  <c r="Z35" i="74"/>
  <c r="R34" i="74"/>
  <c r="Q32" i="74"/>
  <c r="V31" i="74"/>
  <c r="AA30" i="74"/>
  <c r="U29" i="74"/>
  <c r="AA28" i="74"/>
  <c r="U27" i="74"/>
  <c r="AA26" i="74"/>
  <c r="O26" i="74"/>
  <c r="Z24" i="74"/>
  <c r="S23" i="74"/>
  <c r="X22" i="74"/>
  <c r="W20" i="74"/>
  <c r="AB32" i="74"/>
  <c r="U31" i="74"/>
  <c r="Z30" i="74"/>
  <c r="T29" i="74"/>
  <c r="T27" i="74"/>
  <c r="S25" i="74"/>
  <c r="Y24" i="74"/>
  <c r="W22" i="74"/>
  <c r="O90" i="74"/>
  <c r="P87" i="74"/>
  <c r="Q85" i="74"/>
  <c r="T82" i="74"/>
  <c r="P81" i="74"/>
  <c r="T79" i="74"/>
  <c r="Q75" i="74"/>
  <c r="O74" i="74"/>
  <c r="T71" i="74"/>
  <c r="Q70" i="74"/>
  <c r="T67" i="74"/>
  <c r="R66" i="74"/>
  <c r="P65" i="74"/>
  <c r="T62" i="74"/>
  <c r="R61" i="74"/>
  <c r="O60" i="74"/>
  <c r="U57" i="74"/>
  <c r="U56" i="74"/>
  <c r="S55" i="74"/>
  <c r="Q54" i="74"/>
  <c r="P53" i="74"/>
  <c r="AA48" i="74"/>
  <c r="T47" i="74"/>
  <c r="S46" i="74"/>
  <c r="T45" i="74"/>
  <c r="T44" i="74"/>
  <c r="T43" i="74"/>
  <c r="U42" i="74"/>
  <c r="AA41" i="74"/>
  <c r="V40" i="74"/>
  <c r="AA39" i="74"/>
  <c r="P38" i="74"/>
  <c r="S37" i="74"/>
  <c r="T36" i="74"/>
  <c r="Y35" i="74"/>
  <c r="Q34" i="74"/>
  <c r="O87" i="74"/>
  <c r="S82" i="74"/>
  <c r="O81" i="74"/>
  <c r="R79" i="74"/>
  <c r="T76" i="74"/>
  <c r="P75" i="74"/>
  <c r="S71" i="74"/>
  <c r="P70" i="74"/>
  <c r="S67" i="74"/>
  <c r="Q66" i="74"/>
  <c r="O65" i="74"/>
  <c r="S62" i="74"/>
  <c r="Q61" i="74"/>
  <c r="U58" i="74"/>
  <c r="T57" i="74"/>
  <c r="T56" i="74"/>
  <c r="R55" i="74"/>
  <c r="P54" i="74"/>
  <c r="O53" i="74"/>
  <c r="U49" i="74"/>
  <c r="U48" i="74"/>
  <c r="S47" i="74"/>
  <c r="R46" i="74"/>
  <c r="S45" i="74"/>
  <c r="S44" i="74"/>
  <c r="S43" i="74"/>
  <c r="T42" i="74"/>
  <c r="Z41" i="74"/>
  <c r="U40" i="74"/>
  <c r="W39" i="74"/>
  <c r="AB38" i="74"/>
  <c r="Q125" i="74"/>
  <c r="R82" i="74"/>
  <c r="Q79" i="74"/>
  <c r="R76" i="74"/>
  <c r="O75" i="74"/>
  <c r="R71" i="74"/>
  <c r="O70" i="74"/>
  <c r="R67" i="74"/>
  <c r="P66" i="74"/>
  <c r="T63" i="74"/>
  <c r="R62" i="74"/>
  <c r="P61" i="74"/>
  <c r="T58" i="74"/>
  <c r="S57" i="74"/>
  <c r="S56" i="74"/>
  <c r="Q55" i="74"/>
  <c r="O54" i="74"/>
  <c r="U50" i="74"/>
  <c r="T49" i="74"/>
  <c r="T48" i="74"/>
  <c r="R47" i="74"/>
  <c r="Q46" i="74"/>
  <c r="R45" i="74"/>
  <c r="R44" i="74"/>
  <c r="R43" i="74"/>
  <c r="S42" i="74"/>
  <c r="U41" i="74"/>
  <c r="T40" i="74"/>
  <c r="V39" i="74"/>
  <c r="AA38" i="74"/>
  <c r="Q37" i="74"/>
  <c r="R36" i="74"/>
  <c r="W35" i="74"/>
  <c r="O34" i="74"/>
  <c r="T33" i="74"/>
  <c r="Z32" i="74"/>
  <c r="S31" i="74"/>
  <c r="X30" i="74"/>
  <c r="R29" i="74"/>
  <c r="X28" i="74"/>
  <c r="R27" i="74"/>
  <c r="X26" i="74"/>
  <c r="Q25" i="74"/>
  <c r="W24" i="74"/>
  <c r="AB23" i="74"/>
  <c r="P23" i="74"/>
  <c r="U22" i="74"/>
  <c r="Z21" i="74"/>
  <c r="T20" i="74"/>
  <c r="S77" i="74"/>
  <c r="P76" i="74"/>
  <c r="P71" i="74"/>
  <c r="P67" i="74"/>
  <c r="P62" i="74"/>
  <c r="R58" i="74"/>
  <c r="Q56" i="74"/>
  <c r="T51" i="74"/>
  <c r="R49" i="74"/>
  <c r="P47" i="74"/>
  <c r="P45" i="74"/>
  <c r="P43" i="74"/>
  <c r="S41" i="74"/>
  <c r="T39" i="74"/>
  <c r="O37" i="74"/>
  <c r="U35" i="74"/>
  <c r="R33" i="74"/>
  <c r="Q31" i="74"/>
  <c r="AB29" i="74"/>
  <c r="O89" i="74"/>
  <c r="Q82" i="74"/>
  <c r="O79" i="74"/>
  <c r="T77" i="74"/>
  <c r="Q76" i="74"/>
  <c r="T72" i="74"/>
  <c r="Q71" i="74"/>
  <c r="T68" i="74"/>
  <c r="Q67" i="74"/>
  <c r="O66" i="74"/>
  <c r="S63" i="74"/>
  <c r="Q62" i="74"/>
  <c r="O61" i="74"/>
  <c r="S58" i="74"/>
  <c r="R57" i="74"/>
  <c r="R56" i="74"/>
  <c r="P55" i="74"/>
  <c r="U51" i="74"/>
  <c r="T50" i="74"/>
  <c r="S49" i="74"/>
  <c r="S48" i="74"/>
  <c r="Q47" i="74"/>
  <c r="P46" i="74"/>
  <c r="Q45" i="74"/>
  <c r="Q44" i="74"/>
  <c r="Q43" i="74"/>
  <c r="R42" i="74"/>
  <c r="T41" i="74"/>
  <c r="S40" i="74"/>
  <c r="U39" i="74"/>
  <c r="Z38" i="74"/>
  <c r="P37" i="74"/>
  <c r="Q36" i="74"/>
  <c r="V35" i="74"/>
  <c r="AB34" i="74"/>
  <c r="S33" i="74"/>
  <c r="Y32" i="74"/>
  <c r="R31" i="74"/>
  <c r="W30" i="74"/>
  <c r="Q29" i="74"/>
  <c r="W28" i="74"/>
  <c r="Q27" i="74"/>
  <c r="W26" i="74"/>
  <c r="AB25" i="74"/>
  <c r="P25" i="74"/>
  <c r="V24" i="74"/>
  <c r="AA23" i="74"/>
  <c r="O23" i="74"/>
  <c r="T22" i="74"/>
  <c r="Y21" i="74"/>
  <c r="S20" i="74"/>
  <c r="P82" i="74"/>
  <c r="S72" i="74"/>
  <c r="S68" i="74"/>
  <c r="R63" i="74"/>
  <c r="T59" i="74"/>
  <c r="Q57" i="74"/>
  <c r="O55" i="74"/>
  <c r="S50" i="74"/>
  <c r="R48" i="74"/>
  <c r="O46" i="74"/>
  <c r="P44" i="74"/>
  <c r="Q42" i="74"/>
  <c r="R40" i="74"/>
  <c r="X38" i="74"/>
  <c r="P36" i="74"/>
  <c r="Y34" i="74"/>
  <c r="X32" i="74"/>
  <c r="V30" i="74"/>
  <c r="P29" i="74"/>
  <c r="R80" i="74"/>
  <c r="K32" i="74"/>
  <c r="M32" i="74" s="1"/>
  <c r="K38" i="74"/>
  <c r="M38" i="74" s="1"/>
  <c r="K19" i="74"/>
  <c r="M19" i="74" s="1"/>
  <c r="E43" i="61" s="1"/>
  <c r="K39" i="74"/>
  <c r="M39" i="74" s="1"/>
  <c r="K27" i="74"/>
  <c r="M27" i="74" s="1"/>
  <c r="K29" i="74"/>
  <c r="M29" i="74" s="1"/>
  <c r="K24" i="74"/>
  <c r="M24" i="74" s="1"/>
  <c r="K25" i="74"/>
  <c r="M25" i="74" s="1"/>
  <c r="K40" i="74"/>
  <c r="M40" i="74" s="1"/>
  <c r="K34" i="74"/>
  <c r="M34" i="74" s="1"/>
  <c r="K26" i="74"/>
  <c r="M26" i="74" s="1"/>
  <c r="K43" i="74"/>
  <c r="M43" i="74" s="1"/>
  <c r="Z40" i="74"/>
  <c r="W41" i="74"/>
  <c r="R83" i="74"/>
  <c r="Q87" i="74"/>
  <c r="O101" i="74"/>
  <c r="Y36" i="74"/>
  <c r="AB40" i="74"/>
  <c r="X41" i="74"/>
  <c r="Y41" i="74"/>
  <c r="S80" i="74"/>
  <c r="T83" i="74"/>
  <c r="S76" i="74"/>
  <c r="P79" i="74"/>
  <c r="O82" i="74"/>
  <c r="S84" i="74"/>
  <c r="Z42" i="74"/>
  <c r="Q80" i="74"/>
  <c r="T81" i="74"/>
  <c r="Q84" i="74"/>
  <c r="Q86" i="74"/>
  <c r="T94" i="74"/>
  <c r="Z46" i="74"/>
  <c r="W47" i="74"/>
  <c r="O83" i="74"/>
  <c r="T88" i="74"/>
  <c r="P91" i="74"/>
  <c r="W36" i="74"/>
  <c r="X39" i="74"/>
  <c r="T80" i="74"/>
  <c r="P83" i="74"/>
  <c r="X36" i="74"/>
  <c r="Z39" i="74"/>
  <c r="P78" i="74"/>
  <c r="S79" i="74"/>
  <c r="Q83" i="74"/>
  <c r="P85" i="74"/>
  <c r="W40" i="74"/>
  <c r="Z47" i="74"/>
  <c r="T84" i="74"/>
  <c r="P86" i="74"/>
  <c r="S87" i="74"/>
  <c r="AA34" i="74"/>
  <c r="Y37" i="74"/>
  <c r="X40" i="74"/>
  <c r="T87" i="74"/>
  <c r="P92" i="74"/>
  <c r="R95" i="74"/>
  <c r="Y40" i="74"/>
  <c r="R86" i="74"/>
  <c r="S92" i="74"/>
  <c r="S95" i="74"/>
  <c r="O85" i="74"/>
  <c r="Q90" i="74"/>
  <c r="R88" i="74"/>
  <c r="S90" i="74"/>
  <c r="Q92" i="74"/>
  <c r="P97" i="74"/>
  <c r="O93" i="74"/>
  <c r="O105" i="74"/>
  <c r="P89" i="74"/>
  <c r="R91" i="74"/>
  <c r="R89" i="74"/>
  <c r="S91" i="74"/>
  <c r="T86" i="74"/>
  <c r="Q96" i="74"/>
  <c r="R85" i="74"/>
  <c r="O94" i="74"/>
  <c r="Z34" i="74"/>
  <c r="AA36" i="74"/>
  <c r="V37" i="74"/>
  <c r="Y39" i="74"/>
  <c r="X42" i="74"/>
  <c r="T85" i="74"/>
  <c r="P88" i="74"/>
  <c r="S94" i="74"/>
  <c r="Y45" i="74"/>
  <c r="R90" i="74"/>
  <c r="T93" i="74"/>
  <c r="S99" i="74"/>
  <c r="Y46" i="74"/>
  <c r="O95" i="74"/>
  <c r="O97" i="74"/>
  <c r="R102" i="74"/>
  <c r="Y42" i="74"/>
  <c r="Y47" i="74"/>
  <c r="Q97" i="74"/>
  <c r="Q112" i="74"/>
  <c r="T125" i="74"/>
  <c r="W48" i="74"/>
  <c r="X51" i="74"/>
  <c r="T95" i="74"/>
  <c r="T97" i="74"/>
  <c r="P100" i="74"/>
  <c r="O115" i="74"/>
  <c r="AB47" i="74"/>
  <c r="Y48" i="74"/>
  <c r="O88" i="74"/>
  <c r="S89" i="74"/>
  <c r="O91" i="74"/>
  <c r="T92" i="74"/>
  <c r="P94" i="74"/>
  <c r="Q94" i="74"/>
  <c r="Z43" i="74"/>
  <c r="W44" i="74"/>
  <c r="R84" i="74"/>
  <c r="Q88" i="74"/>
  <c r="Q91" i="74"/>
  <c r="R94" i="74"/>
  <c r="AB43" i="74"/>
  <c r="Y44" i="74"/>
  <c r="P96" i="74"/>
  <c r="R98" i="74"/>
  <c r="Q113" i="74"/>
  <c r="P104" i="74"/>
  <c r="AA44" i="74"/>
  <c r="W45" i="74"/>
  <c r="P90" i="74"/>
  <c r="T91" i="74"/>
  <c r="P93" i="74"/>
  <c r="Q93" i="74"/>
  <c r="P84" i="74"/>
  <c r="S85" i="74"/>
  <c r="Q89" i="74"/>
  <c r="T90" i="74"/>
  <c r="S93" i="74"/>
  <c r="T96" i="74"/>
  <c r="S98" i="74"/>
  <c r="AA53" i="74"/>
  <c r="W54" i="74"/>
  <c r="Y55" i="74"/>
  <c r="T89" i="74"/>
  <c r="R92" i="74"/>
  <c r="P95" i="74"/>
  <c r="W51" i="74"/>
  <c r="AA52" i="74"/>
  <c r="X54" i="74"/>
  <c r="O99" i="74"/>
  <c r="AB48" i="74"/>
  <c r="V49" i="74"/>
  <c r="AB50" i="74"/>
  <c r="V51" i="74"/>
  <c r="V53" i="74"/>
  <c r="O92" i="74"/>
  <c r="R93" i="74"/>
  <c r="O96" i="74"/>
  <c r="P99" i="74"/>
  <c r="Q101" i="74"/>
  <c r="R99" i="74"/>
  <c r="AA54" i="74"/>
  <c r="R96" i="74"/>
  <c r="O98" i="74"/>
  <c r="Q104" i="74"/>
  <c r="P98" i="74"/>
  <c r="O102" i="74"/>
  <c r="Q95" i="74"/>
  <c r="Q98" i="74"/>
  <c r="Q102" i="74"/>
  <c r="Y38" i="74"/>
  <c r="AA40" i="74"/>
  <c r="V41" i="74"/>
  <c r="Y43" i="74"/>
  <c r="Z48" i="74"/>
  <c r="T102" i="74"/>
  <c r="O110" i="74"/>
  <c r="R107" i="74"/>
  <c r="P110" i="74"/>
  <c r="R101" i="74"/>
  <c r="T103" i="74"/>
  <c r="P105" i="74"/>
  <c r="T99" i="74"/>
  <c r="S101" i="74"/>
  <c r="Q105" i="74"/>
  <c r="O100" i="74"/>
  <c r="R105" i="74"/>
  <c r="S113" i="74"/>
  <c r="Q116" i="74"/>
  <c r="S105" i="74"/>
  <c r="O108" i="74"/>
  <c r="P102" i="74"/>
  <c r="O104" i="74"/>
  <c r="V42" i="74"/>
  <c r="AB44" i="74"/>
  <c r="V45" i="74"/>
  <c r="Z49" i="74"/>
  <c r="AA50" i="74"/>
  <c r="T101" i="74"/>
  <c r="O103" i="74"/>
  <c r="R104" i="74"/>
  <c r="S108" i="74"/>
  <c r="Z55" i="74"/>
  <c r="V56" i="74"/>
  <c r="R97" i="74"/>
  <c r="Q100" i="74"/>
  <c r="P103" i="74"/>
  <c r="S104" i="74"/>
  <c r="AA55" i="74"/>
  <c r="X56" i="74"/>
  <c r="S97" i="74"/>
  <c r="R100" i="74"/>
  <c r="Q103" i="74"/>
  <c r="T106" i="74"/>
  <c r="X44" i="74"/>
  <c r="AA47" i="74"/>
  <c r="V48" i="74"/>
  <c r="S100" i="74"/>
  <c r="S103" i="74"/>
  <c r="S96" i="74"/>
  <c r="Q99" i="74"/>
  <c r="T100" i="74"/>
  <c r="R103" i="74"/>
  <c r="P106" i="74"/>
  <c r="P108" i="74"/>
  <c r="O113" i="74"/>
  <c r="X43" i="74"/>
  <c r="AA45" i="74"/>
  <c r="X46" i="74"/>
  <c r="AA49" i="74"/>
  <c r="Z50" i="74"/>
  <c r="P109" i="74"/>
  <c r="P107" i="74"/>
  <c r="AA51" i="74"/>
  <c r="AB52" i="74"/>
  <c r="W53" i="74"/>
  <c r="R113" i="74"/>
  <c r="V55" i="74"/>
  <c r="T104" i="74"/>
  <c r="S107" i="74"/>
  <c r="R109" i="74"/>
  <c r="O106" i="74"/>
  <c r="T107" i="74"/>
  <c r="Q106" i="74"/>
  <c r="R112" i="74"/>
  <c r="T117" i="74"/>
  <c r="X50" i="74"/>
  <c r="Z57" i="74"/>
  <c r="W58" i="74"/>
  <c r="T98" i="74"/>
  <c r="P101" i="74"/>
  <c r="S102" i="74"/>
  <c r="R106" i="74"/>
  <c r="S106" i="74"/>
  <c r="S111" i="74"/>
  <c r="R114" i="74"/>
  <c r="T111" i="74"/>
  <c r="S119" i="74"/>
  <c r="AA43" i="74"/>
  <c r="V44" i="74"/>
  <c r="AB45" i="74"/>
  <c r="V46" i="74"/>
  <c r="X49" i="74"/>
  <c r="AB54" i="74"/>
  <c r="W55" i="74"/>
  <c r="O107" i="74"/>
  <c r="Q110" i="74"/>
  <c r="O112" i="74"/>
  <c r="T113" i="74"/>
  <c r="O120" i="74"/>
  <c r="T123" i="74"/>
  <c r="T110" i="74"/>
  <c r="P112" i="74"/>
  <c r="O118" i="74"/>
  <c r="R118" i="74"/>
  <c r="S118" i="74"/>
  <c r="S109" i="74"/>
  <c r="O114" i="74"/>
  <c r="S116" i="74"/>
  <c r="P124" i="74"/>
  <c r="AB58" i="74"/>
  <c r="T109" i="74"/>
  <c r="O111" i="74"/>
  <c r="P114" i="74"/>
  <c r="T116" i="74"/>
  <c r="Z51" i="74"/>
  <c r="V52" i="74"/>
  <c r="W57" i="74"/>
  <c r="T105" i="74"/>
  <c r="Q108" i="74"/>
  <c r="P111" i="74"/>
  <c r="S112" i="74"/>
  <c r="Q115" i="74"/>
  <c r="T121" i="74"/>
  <c r="Y52" i="74"/>
  <c r="X57" i="74"/>
  <c r="R108" i="74"/>
  <c r="Q111" i="74"/>
  <c r="R115" i="74"/>
  <c r="P117" i="74"/>
  <c r="O119" i="74"/>
  <c r="R126" i="74"/>
  <c r="Y57" i="74"/>
  <c r="R117" i="74"/>
  <c r="R119" i="74"/>
  <c r="Y53" i="74"/>
  <c r="AB57" i="74"/>
  <c r="V58" i="74"/>
  <c r="T124" i="74"/>
  <c r="S114" i="74"/>
  <c r="O116" i="74"/>
  <c r="O122" i="74"/>
  <c r="O109" i="74"/>
  <c r="R110" i="74"/>
  <c r="P113" i="74"/>
  <c r="T114" i="74"/>
  <c r="P116" i="74"/>
  <c r="P122" i="74"/>
  <c r="X47" i="74"/>
  <c r="AB49" i="74"/>
  <c r="W50" i="74"/>
  <c r="Z53" i="74"/>
  <c r="AA57" i="74"/>
  <c r="T118" i="74"/>
  <c r="Q120" i="74"/>
  <c r="R122" i="74"/>
  <c r="Q107" i="74"/>
  <c r="T108" i="74"/>
  <c r="R111" i="74"/>
  <c r="T112" i="74"/>
  <c r="P115" i="74"/>
  <c r="R120" i="74"/>
  <c r="S122" i="74"/>
  <c r="AB46" i="74"/>
  <c r="V47" i="74"/>
  <c r="Y49" i="74"/>
  <c r="Z52" i="74"/>
  <c r="Y56" i="74"/>
  <c r="Q109" i="74"/>
  <c r="S110" i="74"/>
  <c r="Q114" i="74"/>
  <c r="T115" i="74"/>
  <c r="O117" i="74"/>
  <c r="Q117" i="74"/>
  <c r="Q122" i="74"/>
  <c r="Q124" i="74"/>
  <c r="O121" i="74"/>
  <c r="Q127" i="74"/>
  <c r="AA46" i="74"/>
  <c r="W49" i="74"/>
  <c r="Y51" i="74"/>
  <c r="X55" i="74"/>
  <c r="AA58" i="74"/>
  <c r="R116" i="74"/>
  <c r="T119" i="74"/>
  <c r="P121" i="74"/>
  <c r="O123" i="74"/>
  <c r="S125" i="74"/>
  <c r="W46" i="74"/>
  <c r="X48" i="74"/>
  <c r="Y50" i="74"/>
  <c r="X53" i="74"/>
  <c r="AB56" i="74"/>
  <c r="P118" i="74"/>
  <c r="Q121" i="74"/>
  <c r="S115" i="74"/>
  <c r="Q118" i="74"/>
  <c r="O124" i="74"/>
  <c r="O19" i="74"/>
  <c r="Q19" i="74"/>
  <c r="R19" i="74"/>
  <c r="AB55" i="74"/>
  <c r="W56" i="74"/>
  <c r="Y58" i="74"/>
  <c r="S117" i="74"/>
  <c r="P120" i="74"/>
  <c r="Q123" i="74"/>
  <c r="P19" i="74"/>
  <c r="AB19" i="74"/>
  <c r="AB53" i="74"/>
  <c r="V54" i="74"/>
  <c r="Z56" i="74"/>
  <c r="P119" i="74"/>
  <c r="T120" i="74"/>
  <c r="R123" i="74"/>
  <c r="O125" i="74"/>
  <c r="O127" i="74"/>
  <c r="Z19" i="74"/>
  <c r="S123" i="74"/>
  <c r="T126" i="74"/>
  <c r="S19" i="74"/>
  <c r="P127" i="74"/>
  <c r="T19" i="74"/>
  <c r="R124" i="74"/>
  <c r="R127" i="74"/>
  <c r="U19" i="74"/>
  <c r="N15" i="74"/>
  <c r="V50" i="74"/>
  <c r="AB51" i="74"/>
  <c r="W52" i="74"/>
  <c r="Z54" i="74"/>
  <c r="V57" i="74"/>
  <c r="Q119" i="74"/>
  <c r="S120" i="74"/>
  <c r="P123" i="74"/>
  <c r="S124" i="74"/>
  <c r="O126" i="74"/>
  <c r="T127" i="74"/>
  <c r="W19" i="74"/>
  <c r="P126" i="74"/>
  <c r="R125" i="74"/>
  <c r="X58" i="74"/>
  <c r="Q126" i="74"/>
  <c r="S127" i="74"/>
  <c r="X19" i="74"/>
  <c r="X52" i="74"/>
  <c r="Y54" i="74"/>
  <c r="AA56" i="74"/>
  <c r="Z58" i="74"/>
  <c r="R121" i="74"/>
  <c r="T122" i="74"/>
  <c r="P125" i="74"/>
  <c r="K23" i="74"/>
  <c r="M23" i="74" s="1"/>
  <c r="K44" i="74"/>
  <c r="M44" i="74" s="1"/>
  <c r="K20" i="74"/>
  <c r="M20" i="74" s="1"/>
  <c r="J72" i="61" s="1"/>
  <c r="J103" i="61" s="1"/>
  <c r="K83" i="74"/>
  <c r="M83" i="74" s="1"/>
  <c r="K64" i="74"/>
  <c r="M64" i="74" s="1"/>
  <c r="K68" i="74"/>
  <c r="M68" i="74" s="1"/>
  <c r="K100" i="74"/>
  <c r="M100" i="74" s="1"/>
  <c r="K299" i="74"/>
  <c r="M299" i="74" s="1"/>
  <c r="K382" i="74"/>
  <c r="M382" i="74" s="1"/>
  <c r="K264" i="74"/>
  <c r="M264" i="74" s="1"/>
  <c r="K267" i="74"/>
  <c r="M267" i="74" s="1"/>
  <c r="K335" i="74"/>
  <c r="M335" i="74" s="1"/>
  <c r="K373" i="74"/>
  <c r="M373" i="74" s="1"/>
  <c r="K302" i="74"/>
  <c r="M302" i="74" s="1"/>
  <c r="K142" i="74"/>
  <c r="M142" i="74" s="1"/>
  <c r="K216" i="74"/>
  <c r="M216" i="74" s="1"/>
  <c r="K157" i="74"/>
  <c r="M157" i="74" s="1"/>
  <c r="K163" i="74"/>
  <c r="M163" i="74" s="1"/>
  <c r="K251" i="74"/>
  <c r="M251" i="74" s="1"/>
  <c r="K289" i="74"/>
  <c r="M289" i="74" s="1"/>
  <c r="K359" i="74"/>
  <c r="M359" i="74" s="1"/>
  <c r="K535" i="74"/>
  <c r="M535" i="74" s="1"/>
  <c r="K229" i="74"/>
  <c r="M229" i="74" s="1"/>
  <c r="K235" i="74"/>
  <c r="M235" i="74" s="1"/>
  <c r="K379" i="74"/>
  <c r="M379" i="74" s="1"/>
  <c r="K384" i="74"/>
  <c r="M384" i="74" s="1"/>
  <c r="K430" i="74"/>
  <c r="M430" i="74" s="1"/>
  <c r="K435" i="74"/>
  <c r="M435" i="74" s="1"/>
  <c r="K454" i="74"/>
  <c r="M454" i="74" s="1"/>
  <c r="K584" i="74"/>
  <c r="M584" i="74" s="1"/>
  <c r="K433" i="74"/>
  <c r="M433" i="74" s="1"/>
  <c r="K517" i="74"/>
  <c r="M517" i="74" s="1"/>
  <c r="K520" i="74"/>
  <c r="M520" i="74" s="1"/>
  <c r="K207" i="74"/>
  <c r="M207" i="74" s="1"/>
  <c r="K315" i="74"/>
  <c r="M315" i="74" s="1"/>
  <c r="K374" i="74"/>
  <c r="M374" i="74" s="1"/>
  <c r="K476" i="74"/>
  <c r="M476" i="74" s="1"/>
  <c r="K153" i="74"/>
  <c r="M153" i="74" s="1"/>
  <c r="K205" i="74"/>
  <c r="M205" i="74" s="1"/>
  <c r="K287" i="74"/>
  <c r="M287" i="74" s="1"/>
  <c r="K321" i="74"/>
  <c r="M321" i="74" s="1"/>
  <c r="K354" i="74"/>
  <c r="M354" i="74" s="1"/>
  <c r="K392" i="74"/>
  <c r="M392" i="74" s="1"/>
  <c r="K263" i="74"/>
  <c r="M263" i="74" s="1"/>
  <c r="K343" i="74"/>
  <c r="M343" i="74" s="1"/>
  <c r="K372" i="74"/>
  <c r="M372" i="74" s="1"/>
  <c r="K378" i="74"/>
  <c r="M378" i="74" s="1"/>
  <c r="K386" i="74"/>
  <c r="M386" i="74" s="1"/>
  <c r="K722" i="74"/>
  <c r="M722" i="74" s="1"/>
  <c r="K591" i="74"/>
  <c r="M591" i="74" s="1"/>
  <c r="K523" i="74"/>
  <c r="M523" i="74" s="1"/>
  <c r="K573" i="74"/>
  <c r="M573" i="74" s="1"/>
  <c r="K575" i="74"/>
  <c r="M575" i="74" s="1"/>
  <c r="K605" i="74"/>
  <c r="M605" i="74" s="1"/>
  <c r="K219" i="74"/>
  <c r="M219" i="74" s="1"/>
  <c r="K262" i="74"/>
  <c r="M262" i="74" s="1"/>
  <c r="K421" i="74"/>
  <c r="M421" i="74" s="1"/>
  <c r="K659" i="74"/>
  <c r="M659" i="74" s="1"/>
  <c r="K701" i="74"/>
  <c r="M701" i="74" s="1"/>
  <c r="K410" i="74"/>
  <c r="M410" i="74" s="1"/>
  <c r="K461" i="74"/>
  <c r="M461" i="74" s="1"/>
  <c r="K472" i="74"/>
  <c r="M472" i="74" s="1"/>
  <c r="K503" i="74"/>
  <c r="M503" i="74" s="1"/>
  <c r="K545" i="74"/>
  <c r="M545" i="74" s="1"/>
  <c r="K595" i="74"/>
  <c r="M595" i="74" s="1"/>
  <c r="K601" i="74"/>
  <c r="M601" i="74" s="1"/>
  <c r="K764" i="74"/>
  <c r="M764" i="74" s="1"/>
  <c r="K747" i="74"/>
  <c r="M747" i="74" s="1"/>
  <c r="K782" i="74"/>
  <c r="M782" i="74" s="1"/>
  <c r="K553" i="74"/>
  <c r="M553" i="74" s="1"/>
  <c r="K561" i="74"/>
  <c r="M561" i="74" s="1"/>
  <c r="K581" i="74"/>
  <c r="M581" i="74" s="1"/>
  <c r="K831" i="74"/>
  <c r="M831" i="74" s="1"/>
  <c r="K431" i="74"/>
  <c r="M431" i="74" s="1"/>
  <c r="K445" i="74"/>
  <c r="M445" i="74" s="1"/>
  <c r="K475" i="74"/>
  <c r="M475" i="74" s="1"/>
  <c r="K554" i="74"/>
  <c r="M554" i="74" s="1"/>
  <c r="K615" i="74"/>
  <c r="M615" i="74" s="1"/>
  <c r="K635" i="74"/>
  <c r="M635" i="74" s="1"/>
  <c r="K201" i="74"/>
  <c r="M201" i="74" s="1"/>
  <c r="K238" i="74"/>
  <c r="M238" i="74" s="1"/>
  <c r="K273" i="74"/>
  <c r="M273" i="74" s="1"/>
  <c r="K346" i="74"/>
  <c r="M346" i="74" s="1"/>
  <c r="K661" i="74"/>
  <c r="M661" i="74" s="1"/>
  <c r="K673" i="74"/>
  <c r="M673" i="74" s="1"/>
  <c r="K795" i="74"/>
  <c r="M795" i="74" s="1"/>
  <c r="K807" i="74"/>
  <c r="M807" i="74" s="1"/>
  <c r="K879" i="74"/>
  <c r="M879" i="74" s="1"/>
  <c r="K829" i="74"/>
  <c r="M829" i="74" s="1"/>
  <c r="K836" i="74"/>
  <c r="M836" i="74" s="1"/>
  <c r="K860" i="74"/>
  <c r="M860" i="74" s="1"/>
  <c r="K621" i="74"/>
  <c r="M621" i="74" s="1"/>
  <c r="K283" i="74"/>
  <c r="M283" i="74" s="1"/>
  <c r="K368" i="74"/>
  <c r="M368" i="74" s="1"/>
  <c r="K427" i="74"/>
  <c r="M427" i="74" s="1"/>
  <c r="K464" i="74"/>
  <c r="M464" i="74" s="1"/>
  <c r="K499" i="74"/>
  <c r="M499" i="74" s="1"/>
  <c r="K873" i="74"/>
  <c r="M873" i="74" s="1"/>
  <c r="K567" i="74"/>
  <c r="M567" i="74" s="1"/>
  <c r="K583" i="74"/>
  <c r="M583" i="74" s="1"/>
  <c r="K637" i="74"/>
  <c r="M637" i="74" s="1"/>
  <c r="K681" i="74"/>
  <c r="M681" i="74" s="1"/>
  <c r="K697" i="74"/>
  <c r="M697" i="74" s="1"/>
  <c r="K716" i="74"/>
  <c r="M716" i="74" s="1"/>
  <c r="K826" i="74"/>
  <c r="M826" i="74" s="1"/>
  <c r="K602" i="74"/>
  <c r="M602" i="74" s="1"/>
  <c r="K644" i="74"/>
  <c r="M644" i="74" s="1"/>
  <c r="K665" i="74"/>
  <c r="M665" i="74" s="1"/>
  <c r="K866" i="74"/>
  <c r="M866" i="74" s="1"/>
  <c r="K631" i="74"/>
  <c r="M631" i="74" s="1"/>
  <c r="K649" i="74"/>
  <c r="M649" i="74" s="1"/>
  <c r="K669" i="74"/>
  <c r="M669" i="74" s="1"/>
  <c r="K778" i="74"/>
  <c r="M778" i="74" s="1"/>
  <c r="K878" i="74"/>
  <c r="M878" i="74" s="1"/>
  <c r="K629" i="74"/>
  <c r="M629" i="74" s="1"/>
  <c r="K685" i="74"/>
  <c r="M685" i="74" s="1"/>
  <c r="K703" i="74"/>
  <c r="M703" i="74" s="1"/>
  <c r="K719" i="74"/>
  <c r="M719" i="74" s="1"/>
  <c r="K735" i="74"/>
  <c r="M735" i="74" s="1"/>
  <c r="K794" i="74"/>
  <c r="M794" i="74" s="1"/>
  <c r="K639" i="74"/>
  <c r="M639" i="74" s="1"/>
  <c r="K663" i="74"/>
  <c r="M663" i="74" s="1"/>
  <c r="K687" i="74"/>
  <c r="M687" i="74" s="1"/>
  <c r="K711" i="74"/>
  <c r="M711" i="74" s="1"/>
  <c r="K743" i="74"/>
  <c r="M743" i="74" s="1"/>
  <c r="K815" i="74"/>
  <c r="M815" i="74" s="1"/>
  <c r="K709" i="74"/>
  <c r="M709" i="74" s="1"/>
  <c r="V21" i="74" l="1"/>
  <c r="M21" i="74"/>
  <c r="E105" i="61" s="1"/>
  <c r="J99" i="61" s="1"/>
  <c r="X21" i="74"/>
  <c r="E34" i="61"/>
  <c r="E25" i="61"/>
  <c r="AI19" i="74"/>
  <c r="E7" i="74"/>
  <c r="AA19" i="74"/>
  <c r="Y19" i="74"/>
  <c r="V19" i="74"/>
  <c r="V127" i="74"/>
  <c r="X127" i="74" s="1"/>
  <c r="Z127" i="74" s="1"/>
  <c r="AB127" i="74" s="1"/>
  <c r="I5" i="74" s="1"/>
  <c r="T14" i="74"/>
  <c r="R14" i="74"/>
  <c r="S14" i="74"/>
  <c r="Q14" i="74"/>
  <c r="U127" i="74"/>
  <c r="W127" i="74" s="1"/>
  <c r="Y127" i="74" s="1"/>
  <c r="AA127" i="74" s="1"/>
  <c r="C10" i="74" l="1"/>
  <c r="C11" i="61" s="1"/>
  <c r="J97" i="61"/>
  <c r="I6" i="74"/>
  <c r="I3" i="74"/>
  <c r="I4" i="74"/>
  <c r="V14" i="74"/>
  <c r="W14" i="74"/>
  <c r="U14" i="74"/>
  <c r="I7" i="74" l="1"/>
  <c r="O10" i="74" a="1"/>
  <c r="O10" i="74" s="1"/>
  <c r="E10" i="74" a="1"/>
  <c r="E10" i="74" s="1"/>
  <c r="F10" i="74" a="1"/>
  <c r="F10" i="74" s="1"/>
  <c r="M10" i="74" a="1"/>
  <c r="M10" i="74" s="1"/>
  <c r="H10" i="74" a="1"/>
  <c r="H10" i="74" s="1"/>
  <c r="I10" i="74" a="1"/>
  <c r="I10" i="74" s="1"/>
  <c r="G10" i="74" a="1"/>
  <c r="G10" i="74" s="1"/>
  <c r="D10" i="74" a="1"/>
  <c r="D10" i="74" s="1"/>
  <c r="D11" i="47" l="1"/>
  <c r="D10" i="47"/>
  <c r="B10" i="39"/>
  <c r="B8" i="39"/>
  <c r="C9" i="36"/>
  <c r="C8" i="36"/>
  <c r="D9" i="61"/>
  <c r="C9" i="61"/>
  <c r="C8" i="61"/>
  <c r="C7" i="53"/>
  <c r="C6" i="53"/>
  <c r="D8" i="52"/>
  <c r="C8" i="52"/>
  <c r="C7" i="52"/>
  <c r="C7" i="51"/>
  <c r="C6" i="51"/>
  <c r="C9" i="45"/>
  <c r="C8" i="45"/>
  <c r="C8" i="46"/>
  <c r="C10" i="43"/>
  <c r="C9" i="43"/>
  <c r="J100" i="61" l="1"/>
  <c r="J104" i="61" l="1"/>
  <c r="J96" i="6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<sst xmlns="http://schemas.openxmlformats.org/spreadsheetml/2006/main" count="2131" uniqueCount="1539">
  <si>
    <t>Woodland Creation Planning Grant Application and Plan (WCPG AAP)</t>
  </si>
  <si>
    <t>Initial Application</t>
  </si>
  <si>
    <t>What you need to complete</t>
  </si>
  <si>
    <t>Description</t>
  </si>
  <si>
    <t>1 - Site details</t>
  </si>
  <si>
    <t>To provide basic information about the site and confirm basic eligibility requirements.</t>
  </si>
  <si>
    <t>2 - Applicant details</t>
  </si>
  <si>
    <t>To provide basic information about the applicant and confirm if any agent is authorised to act on behalf of the applicant.</t>
  </si>
  <si>
    <t>3 - Objectives</t>
  </si>
  <si>
    <t>To provide an overview of the economic, environmental and social objectives of the proposed woodland creation.</t>
  </si>
  <si>
    <t>Appendix 1: Boundary Map</t>
  </si>
  <si>
    <t>To provide a map of the location and boundary of the proposed area for woodland creation at 1:15,000 or 1:25,000 scale on OS backdrop.</t>
  </si>
  <si>
    <t>Appendix 2: WCPG Declaration Form</t>
  </si>
  <si>
    <t>To collect required signatures and agree to declarations.</t>
  </si>
  <si>
    <t>Stage 1</t>
  </si>
  <si>
    <r>
      <t xml:space="preserve">Supporting documents </t>
    </r>
    <r>
      <rPr>
        <sz val="10"/>
        <color theme="0"/>
        <rFont val="Verdana"/>
        <family val="2"/>
      </rPr>
      <t>(as applicable)</t>
    </r>
  </si>
  <si>
    <t>1 - Biodiversity &amp; Geology</t>
  </si>
  <si>
    <t>Desk based checks on site biodiversity and geological features.</t>
  </si>
  <si>
    <t>Priority Habitat &amp; Priority Species maps, LERC data</t>
  </si>
  <si>
    <t>2 - Landscape &amp; Water</t>
  </si>
  <si>
    <t>Desk based checks on the local landscape and water.</t>
  </si>
  <si>
    <t>Water supply map</t>
  </si>
  <si>
    <t>3 - Historic Environment</t>
  </si>
  <si>
    <t>Desk based checks on the historic environment and heritage assets.</t>
  </si>
  <si>
    <t>HERC data, HE advice, maps of Conservation Areas</t>
  </si>
  <si>
    <t>4 - Silviculture, Soil &amp; Climate Change</t>
  </si>
  <si>
    <t>Desk based checks on soils, threat management and future resilience.</t>
  </si>
  <si>
    <t>5 - Access &amp; Local Interests</t>
  </si>
  <si>
    <t>Desk based checks on public access and local interests.</t>
  </si>
  <si>
    <t>Any correspondence, summary of issues / feedback received so far</t>
  </si>
  <si>
    <t>6 - Stage 1 Assessment &amp; Summary</t>
  </si>
  <si>
    <t>Summary of any survey requirements, FC assessment and next steps.</t>
  </si>
  <si>
    <t>Supplementary Payment Application Form</t>
  </si>
  <si>
    <t>Appendix 3: Landscape Context Map</t>
  </si>
  <si>
    <t>A spatial plan of key features and characteristics of the wider landscape.</t>
  </si>
  <si>
    <t>Stage 2</t>
  </si>
  <si>
    <t>1 - Survey &amp; Analysis</t>
  </si>
  <si>
    <t>A summary of any surveys undertaken and their findings.</t>
  </si>
  <si>
    <r>
      <t xml:space="preserve">2 - EPS Assessment </t>
    </r>
    <r>
      <rPr>
        <i/>
        <sz val="10"/>
        <color theme="0"/>
        <rFont val="Verdana"/>
        <family val="2"/>
      </rPr>
      <t>(where applicable)</t>
    </r>
  </si>
  <si>
    <t>Where the proposal may impact on or affect a European Protected Site.</t>
  </si>
  <si>
    <t>3 - Design Concept Development</t>
  </si>
  <si>
    <t>Synthesis of the woodland creation design concept.</t>
  </si>
  <si>
    <t>4 - Stakeholder Engagement</t>
  </si>
  <si>
    <t>A summary of contacts engaged with on the design concept and any comments.</t>
  </si>
  <si>
    <t>Appendix 4: Site Appraisal Plan</t>
  </si>
  <si>
    <t>An annotated spatial plan showing considerations for known features.</t>
  </si>
  <si>
    <t>Appendix 5: Design Concept Plan</t>
  </si>
  <si>
    <t>An annotated spatial plan showing the final design concept and details.</t>
  </si>
  <si>
    <t>Final Woodland Creation Design Plan</t>
  </si>
  <si>
    <t>To finalise a UK Forestry Standard-compliant plan for woodland creation.</t>
  </si>
  <si>
    <t>1 - Final Design Plan</t>
  </si>
  <si>
    <t>A summary of the details of your final design plan.</t>
  </si>
  <si>
    <t>2 - Species Breakdown</t>
  </si>
  <si>
    <t>To outline the proposed species selection in each compartment.</t>
  </si>
  <si>
    <t>Appendix 6: Woodland Creation Design Plan</t>
  </si>
  <si>
    <t>An annotated spatial plan of the final woodland creation design.</t>
  </si>
  <si>
    <t>References</t>
  </si>
  <si>
    <t>Species List</t>
  </si>
  <si>
    <t>A guide to species names and codes to support your proposed planting.</t>
  </si>
  <si>
    <t>Tree Procurement Summary</t>
  </si>
  <si>
    <t>A summary for the applicant's reference in aiding seedling purchase.</t>
  </si>
  <si>
    <t>Section 1 - Site details</t>
  </si>
  <si>
    <t>Site Details</t>
  </si>
  <si>
    <t>WCPG reference (for FC internal use):</t>
  </si>
  <si>
    <t>Name of property, site or application name:</t>
  </si>
  <si>
    <t>Gross area (ha) of proposed woodland:</t>
  </si>
  <si>
    <r>
      <t xml:space="preserve">Proposed woodland composition:
</t>
    </r>
    <r>
      <rPr>
        <i/>
        <sz val="10"/>
        <color theme="1"/>
        <rFont val="Verdana"/>
        <family val="2"/>
      </rPr>
      <t>(select drop-down)</t>
    </r>
  </si>
  <si>
    <t>Nearest town or locality:</t>
  </si>
  <si>
    <r>
      <t xml:space="preserve">Is any of the land designated?:
</t>
    </r>
    <r>
      <rPr>
        <i/>
        <sz val="10"/>
        <color theme="1"/>
        <rFont val="Verdana"/>
        <family val="2"/>
      </rPr>
      <t>(select drop-down)</t>
    </r>
  </si>
  <si>
    <t>If yes, please provide details:</t>
  </si>
  <si>
    <r>
      <t xml:space="preserve">Is any of the land currently subject to a grant agreement:
</t>
    </r>
    <r>
      <rPr>
        <i/>
        <sz val="10"/>
        <color theme="1"/>
        <rFont val="Verdana"/>
        <family val="2"/>
      </rPr>
      <t>(select drop-down)</t>
    </r>
  </si>
  <si>
    <r>
      <t xml:space="preserve">Current occupation of the land:
</t>
    </r>
    <r>
      <rPr>
        <i/>
        <sz val="10"/>
        <color theme="1"/>
        <rFont val="Verdana"/>
        <family val="2"/>
      </rPr>
      <t>(select drop-down)</t>
    </r>
  </si>
  <si>
    <t>If other, please provide details:</t>
  </si>
  <si>
    <r>
      <t xml:space="preserve">Your Management Control of the land:
</t>
    </r>
    <r>
      <rPr>
        <i/>
        <sz val="10"/>
        <color theme="1"/>
        <rFont val="Verdana"/>
        <family val="2"/>
      </rPr>
      <t>(select drop-down)</t>
    </r>
  </si>
  <si>
    <t>Basic Eligibility Check</t>
  </si>
  <si>
    <t xml:space="preserve">Please confirm all land in this application is: </t>
  </si>
  <si>
    <t xml:space="preserve">Appendix 1: Boundary Map </t>
  </si>
  <si>
    <t>Section 2 - Applicant details</t>
  </si>
  <si>
    <t>WCPG reference:</t>
  </si>
  <si>
    <t>Lead Applicant</t>
  </si>
  <si>
    <t>Title:</t>
  </si>
  <si>
    <t>Forename(s):</t>
  </si>
  <si>
    <t>Surname:</t>
  </si>
  <si>
    <t>Landline telephone number:</t>
  </si>
  <si>
    <t>Mobile telephone number:</t>
  </si>
  <si>
    <t>Email:</t>
  </si>
  <si>
    <t>Address:</t>
  </si>
  <si>
    <t>Town:</t>
  </si>
  <si>
    <t>County:</t>
  </si>
  <si>
    <t>Postcode:</t>
  </si>
  <si>
    <t>Country:</t>
  </si>
  <si>
    <r>
      <t xml:space="preserve">Preferred method of communication:
</t>
    </r>
    <r>
      <rPr>
        <i/>
        <sz val="10"/>
        <color theme="1"/>
        <rFont val="Verdana"/>
        <family val="2"/>
      </rPr>
      <t>(select drop-down)</t>
    </r>
  </si>
  <si>
    <t>Business Details</t>
  </si>
  <si>
    <t>Organisation:</t>
  </si>
  <si>
    <t>Position:</t>
  </si>
  <si>
    <t>Single Business Identifier (SBI):</t>
  </si>
  <si>
    <r>
      <t xml:space="preserve">Organisation type:
</t>
    </r>
    <r>
      <rPr>
        <i/>
        <sz val="10"/>
        <color theme="1"/>
        <rFont val="Verdana"/>
        <family val="2"/>
      </rPr>
      <t>(select drop-down)</t>
    </r>
  </si>
  <si>
    <t>Agent</t>
  </si>
  <si>
    <r>
      <t xml:space="preserve">Is an agent authorised to act on behalf of the lead applicant for this application?
</t>
    </r>
    <r>
      <rPr>
        <i/>
        <sz val="10"/>
        <color theme="1"/>
        <rFont val="Verdana"/>
        <family val="2"/>
      </rPr>
      <t>(select drop-down)</t>
    </r>
  </si>
  <si>
    <t>Agent name:</t>
  </si>
  <si>
    <r>
      <t xml:space="preserve">Agent Authority Form:
</t>
    </r>
    <r>
      <rPr>
        <i/>
        <sz val="10"/>
        <color theme="1"/>
        <rFont val="Verdana"/>
        <family val="2"/>
      </rPr>
      <t>(select drop-down)</t>
    </r>
  </si>
  <si>
    <r>
      <t xml:space="preserve">Agent communication preference:
</t>
    </r>
    <r>
      <rPr>
        <i/>
        <sz val="10"/>
        <color theme="1"/>
        <rFont val="Verdana"/>
        <family val="2"/>
      </rPr>
      <t>(select drop-down)</t>
    </r>
  </si>
  <si>
    <t>Section 3 - Objectives</t>
  </si>
  <si>
    <t>Overview</t>
  </si>
  <si>
    <t>Economic objectives</t>
  </si>
  <si>
    <t>Environmental objectives</t>
  </si>
  <si>
    <t>Social objectives</t>
  </si>
  <si>
    <t>Stage 1 - Biodiversity and Important Geology</t>
  </si>
  <si>
    <t>Habitats and Species</t>
  </si>
  <si>
    <t>Check</t>
  </si>
  <si>
    <t>What you need to do</t>
  </si>
  <si>
    <r>
      <t xml:space="preserve">Result 
</t>
    </r>
    <r>
      <rPr>
        <i/>
        <sz val="9"/>
        <rFont val="Verdana"/>
        <family val="2"/>
      </rPr>
      <t>(select drop-down)</t>
    </r>
  </si>
  <si>
    <r>
      <t xml:space="preserve">Comments
</t>
    </r>
    <r>
      <rPr>
        <i/>
        <sz val="10"/>
        <rFont val="Verdana"/>
        <family val="2"/>
      </rPr>
      <t>Please provide further details, impacts and mitigations where appropriate</t>
    </r>
  </si>
  <si>
    <t>FC checks</t>
  </si>
  <si>
    <r>
      <rPr>
        <b/>
        <sz val="10"/>
        <rFont val="Verdana"/>
        <family val="2"/>
      </rPr>
      <t>Are any priority habitats known to be present?</t>
    </r>
    <r>
      <rPr>
        <sz val="10"/>
        <rFont val="Verdana"/>
        <family val="2"/>
      </rPr>
      <t xml:space="preserve">
Listed of principal importance in England ('Section 41 habitats and species').</t>
    </r>
  </si>
  <si>
    <t>Is the site within a red squirrel area?</t>
  </si>
  <si>
    <t>Is the site within or adjacent to an internationally important plant area?</t>
  </si>
  <si>
    <r>
      <rPr>
        <b/>
        <sz val="10"/>
        <color theme="1"/>
        <rFont val="Verdana"/>
        <family val="2"/>
      </rPr>
      <t>Check MAGIC</t>
    </r>
    <r>
      <rPr>
        <sz val="10"/>
        <color theme="1"/>
        <rFont val="Verdana"/>
        <family val="2"/>
      </rPr>
      <t xml:space="preserve">
</t>
    </r>
    <r>
      <rPr>
        <i/>
        <sz val="10"/>
        <color theme="1"/>
        <rFont val="Verdana"/>
        <family val="2"/>
      </rPr>
      <t>Magic layer: Habitats and Species &gt; Species &gt; Plants &gt; Important Plant Areas Plantlife (GB)</t>
    </r>
  </si>
  <si>
    <t xml:space="preserve">Is the proposal site within an RSPB Important Bird Area (IBA)? </t>
  </si>
  <si>
    <r>
      <rPr>
        <b/>
        <sz val="10"/>
        <color theme="1"/>
        <rFont val="Verdana"/>
        <family val="2"/>
      </rPr>
      <t>Check MAGIC</t>
    </r>
    <r>
      <rPr>
        <sz val="10"/>
        <color theme="1"/>
        <rFont val="Verdana"/>
        <family val="2"/>
      </rPr>
      <t xml:space="preserve">
Magic layer: Habitats and Species &gt; Species &gt; Birds &gt; </t>
    </r>
  </si>
  <si>
    <t xml:space="preserve">Is the proposal site adjacent to Ancient Semi Natural Woodland, Plantation on Ancient Woodland Sites, Priority Habitat Woodland, or Native Woodland refugia and fauna species (e.g. EPS and IUNC red list spp.)? 
</t>
  </si>
  <si>
    <r>
      <t>Are you aware of the Good Practice Guidance to safeguard</t>
    </r>
    <r>
      <rPr>
        <b/>
        <u/>
        <sz val="10"/>
        <rFont val="Verdana"/>
        <family val="2"/>
      </rPr>
      <t xml:space="preserve"> European Protected Species</t>
    </r>
    <r>
      <rPr>
        <b/>
        <sz val="10"/>
        <rFont val="Verdana"/>
        <family val="2"/>
      </rPr>
      <t xml:space="preserve"> when undertaking forestry operations and the need to obtain a licence if you cannot comply with the Good Practice?</t>
    </r>
  </si>
  <si>
    <t xml:space="preserve">You are legally obliged to take account of protected species. Please indicate "Yes" to show you are familiar with your obligations with regard to European Protected Species and Badgers. 
More information on managing and protecting wildlife, a checklist for protecting European Protected Species during woodland operations, and information on wildlife licences can be found on: </t>
  </si>
  <si>
    <t>Statutory Designations</t>
  </si>
  <si>
    <t>Are there any Ramsar sites, Special Protection Area (SPAs) or Special Areas of Conservation (SACs) overlapping, or within one kilometre of the proposal site?</t>
  </si>
  <si>
    <r>
      <rPr>
        <b/>
        <sz val="10"/>
        <color theme="1"/>
        <rFont val="Verdana"/>
        <family val="2"/>
      </rPr>
      <t xml:space="preserve">Check MAGIC </t>
    </r>
    <r>
      <rPr>
        <sz val="10"/>
        <color theme="1"/>
        <rFont val="Verdana"/>
        <family val="2"/>
      </rPr>
      <t xml:space="preserve">
</t>
    </r>
    <r>
      <rPr>
        <i/>
        <sz val="10"/>
        <color theme="1"/>
        <rFont val="Verdana"/>
        <family val="2"/>
      </rPr>
      <t>Magic layer: Designations &gt; Land-Based Designations &gt; Statutory &gt; Ramsar Sites (England), Special Areas of Conservation (England), Special Protection Areas (England)</t>
    </r>
    <r>
      <rPr>
        <sz val="10"/>
        <color theme="1"/>
        <rFont val="Verdana"/>
        <family val="2"/>
      </rPr>
      <t xml:space="preserve">
You must submit a copy of the MAGIC map when you return this form.</t>
    </r>
  </si>
  <si>
    <t>EUROPEAN SITE: What is the closest Ramsar site, SAC or SPA to the proposal, regardless of distance?</t>
  </si>
  <si>
    <r>
      <t xml:space="preserve">Check MAGIC
</t>
    </r>
    <r>
      <rPr>
        <i/>
        <sz val="10"/>
        <color theme="1"/>
        <rFont val="Verdana"/>
        <family val="2"/>
      </rPr>
      <t>Use the measure tool if required to identify the nearest feature and record in the comments box.</t>
    </r>
  </si>
  <si>
    <t>EUROPEAN SITE: Does the proposal site contain a watercourse, and if so, is the proposal site upstream from a Ramsar site, SAC or SPA?</t>
  </si>
  <si>
    <t>Check MAGIC</t>
  </si>
  <si>
    <t xml:space="preserve">Is the site within (or above) the Moorland Line?
</t>
  </si>
  <si>
    <r>
      <rPr>
        <b/>
        <sz val="10"/>
        <color theme="1"/>
        <rFont val="Verdana"/>
        <family val="2"/>
      </rPr>
      <t>Check MAGIC</t>
    </r>
    <r>
      <rPr>
        <sz val="10"/>
        <color theme="1"/>
        <rFont val="Verdana"/>
        <family val="2"/>
      </rPr>
      <t xml:space="preserve">
</t>
    </r>
    <r>
      <rPr>
        <i/>
        <sz val="10"/>
        <color theme="1"/>
        <rFont val="Verdana"/>
        <family val="2"/>
      </rPr>
      <t xml:space="preserve">Magic layer: Designations &gt; Land-Based Designations &gt; Statutory &gt; Moorland Line (England)
</t>
    </r>
    <r>
      <rPr>
        <b/>
        <sz val="10"/>
        <color theme="1"/>
        <rFont val="Verdana"/>
        <family val="2"/>
      </rPr>
      <t>If yes:</t>
    </r>
    <r>
      <rPr>
        <sz val="10"/>
        <color theme="1"/>
        <rFont val="Verdana"/>
        <family val="2"/>
      </rPr>
      <t xml:space="preserve">
Being within the Moorland Line may suggest unimproved land or semi-improved pasture. Sites within the Moorland Line may need further checks to ensure the planting will not comprise the important grassland habitat, e.g., through a National Vegetation Classification (NVC) survey.</t>
    </r>
  </si>
  <si>
    <t>Is there a Site of Special Scientific Interest (SSSI) overlapping the proposal site or on adjacent land?</t>
  </si>
  <si>
    <r>
      <rPr>
        <b/>
        <sz val="10"/>
        <color theme="1"/>
        <rFont val="Verdana"/>
        <family val="2"/>
      </rPr>
      <t>Check MAGIC</t>
    </r>
    <r>
      <rPr>
        <sz val="10"/>
        <color theme="1"/>
        <rFont val="Verdana"/>
        <family val="2"/>
      </rPr>
      <t xml:space="preserve">
Magic layer: Designations &gt; Land-Based Designations &gt; Statutory</t>
    </r>
  </si>
  <si>
    <t xml:space="preserve">If there is a Site of Special Scientific Interest (SSSI), what is its listed condition? </t>
  </si>
  <si>
    <t>Refer to Natural England's designated sites website or ask your Natural England advisor. For SSSIs that have multiple condition assessments across the site, select the first from the drop-down list and then add all others that apply in the Comments.</t>
  </si>
  <si>
    <t>Is there a National Nature Reserve (NNR) overlapping the proposal site or on adjacent land?</t>
  </si>
  <si>
    <t>Does the site include a Local Nature Reserve?</t>
  </si>
  <si>
    <r>
      <rPr>
        <b/>
        <sz val="10"/>
        <color theme="1"/>
        <rFont val="Verdana"/>
        <family val="2"/>
      </rPr>
      <t>Check MAGIC</t>
    </r>
    <r>
      <rPr>
        <sz val="10"/>
        <color theme="1"/>
        <rFont val="Verdana"/>
        <family val="2"/>
      </rPr>
      <t xml:space="preserve">
Magic layer: Designations &gt; Land-Based Designations &gt; Statutory (point data only)
</t>
    </r>
    <r>
      <rPr>
        <b/>
        <sz val="10"/>
        <color theme="1"/>
        <rFont val="Verdana"/>
        <family val="2"/>
      </rPr>
      <t>If yes:</t>
    </r>
    <r>
      <rPr>
        <sz val="10"/>
        <color theme="1"/>
        <rFont val="Verdana"/>
        <family val="2"/>
      </rPr>
      <t xml:space="preserve">
Contact the authority who manage the reserve (e.g. the National Park Authority or the local authority) to find out how you can mitigate any impact from your proposal.</t>
    </r>
  </si>
  <si>
    <t>Non-Statutory &amp; Local Designations</t>
  </si>
  <si>
    <t>Is there an Important Bird Area, RSPB Reserve, Ramsar or other nature reserve overlapping the proposal site or on adjacent land?</t>
  </si>
  <si>
    <r>
      <t xml:space="preserve">Check MAGIC
</t>
    </r>
    <r>
      <rPr>
        <sz val="10"/>
        <rFont val="Verdana"/>
        <family val="2"/>
      </rPr>
      <t>Magic layer: Designations &gt; Land-Based Designations &gt; Non-Statutory</t>
    </r>
  </si>
  <si>
    <t>Is there a Local Wildlife Site overlapping the proposal site or on adjacent land? These may also be referred to as County Wildlife Sites, Sites of Importance for Nature Conservation (SINC) or a Site of Local Importance for Nature Conservation (SLINC)?</t>
  </si>
  <si>
    <t>Is there a Site of Local Geological Importance, or a Regionally important geological and geomorphological sites (RIGS), (also known as regionally important geological sites) overlapping the proposal site or on adjacent land?</t>
  </si>
  <si>
    <t>Is the proposal site within a wader recovery area?</t>
  </si>
  <si>
    <t>Current Land Management</t>
  </si>
  <si>
    <t>Is the proposal site subject to any current environmental land management schemes (e.g., Environmental Stewardship or Countryside Stewardship), or in obligation to one?</t>
  </si>
  <si>
    <r>
      <rPr>
        <b/>
        <sz val="10"/>
        <color theme="1"/>
        <rFont val="Verdana"/>
        <family val="2"/>
      </rPr>
      <t>If yes:</t>
    </r>
    <r>
      <rPr>
        <sz val="10"/>
        <color theme="1"/>
        <rFont val="Verdana"/>
        <family val="2"/>
      </rPr>
      <t xml:space="preserve">
Provide details of any current scheme below, including expiry date, prescription / objectives. Also provide a copy of the Farm Environment Plan where this is available.</t>
    </r>
  </si>
  <si>
    <t xml:space="preserve">What impact will tree planting have on any existing grant aid (e.g., Environmental Stewardship or Countryside Stewardship) for the land’s current management?  </t>
  </si>
  <si>
    <r>
      <rPr>
        <b/>
        <sz val="10"/>
        <color theme="1"/>
        <rFont val="Verdana"/>
        <family val="2"/>
      </rPr>
      <t>If yes:</t>
    </r>
    <r>
      <rPr>
        <sz val="10"/>
        <color theme="1"/>
        <rFont val="Verdana"/>
        <family val="2"/>
      </rPr>
      <t xml:space="preserve">
Include map of areas receiving payments, where applicable, and please explain what the intended outcomes of any payments were.
Where the land is subject to Higher Level Stewardship (HLS) payments, please provide evidence of initial discussions with the Rural Payments Agency (RPA) about the woodland creation proposals.</t>
    </r>
  </si>
  <si>
    <t>Stage 1 - Landscape</t>
  </si>
  <si>
    <t>Landscape</t>
  </si>
  <si>
    <t>Desktop Study</t>
  </si>
  <si>
    <t xml:space="preserve">Is the site within a National Park or within the Norfolk Broads?
</t>
  </si>
  <si>
    <r>
      <rPr>
        <b/>
        <sz val="10"/>
        <rFont val="Verdana"/>
        <family val="2"/>
      </rPr>
      <t xml:space="preserve">Check MAGIC
</t>
    </r>
    <r>
      <rPr>
        <sz val="10"/>
        <rFont val="Verdana"/>
        <family val="2"/>
      </rPr>
      <t xml:space="preserve">Layers: Designations &gt; Land-Based Designations &gt; Statutory &gt; National Parks  (England)
(Note: This layer will also show the Norfolk Broads)
</t>
    </r>
    <r>
      <rPr>
        <b/>
        <sz val="10"/>
        <rFont val="Verdana"/>
        <family val="2"/>
      </rPr>
      <t>If yes:</t>
    </r>
    <r>
      <rPr>
        <sz val="10"/>
        <rFont val="Verdana"/>
        <family val="2"/>
      </rPr>
      <t xml:space="preserve">
Review the statutory management plan for the National Park in relation to the site proposal and ensure that your proposal furthers the specified purposes, aims, objectives and characteristics of the National Park, and contact the National Park Authority (NPA) for advice where necessary.</t>
    </r>
  </si>
  <si>
    <r>
      <t xml:space="preserve">Check MAGIC
</t>
    </r>
    <r>
      <rPr>
        <sz val="10"/>
        <rFont val="Verdana"/>
        <family val="2"/>
      </rPr>
      <t>Layers: Designations &gt; Land-Based Designations &gt; Statutory &gt; Areas of Outstanding Natural Beauty (England)</t>
    </r>
    <r>
      <rPr>
        <b/>
        <sz val="10"/>
        <rFont val="Verdana"/>
        <family val="2"/>
      </rPr>
      <t xml:space="preserve">
If yes:
</t>
    </r>
    <r>
      <rPr>
        <sz val="10"/>
        <rFont val="Verdana"/>
        <family val="2"/>
      </rPr>
      <t>Ensure that your proposal furthers the specified purposes, aims, objectives and characteristics of the AONB, and engage the AONB Conservation Board for advice where necessary.</t>
    </r>
  </si>
  <si>
    <t>Is the site within a Heritage Coast?</t>
  </si>
  <si>
    <r>
      <rPr>
        <b/>
        <sz val="10"/>
        <color theme="1"/>
        <rFont val="Verdana"/>
        <family val="2"/>
      </rPr>
      <t>Check MAGIC</t>
    </r>
    <r>
      <rPr>
        <sz val="10"/>
        <color theme="1"/>
        <rFont val="Verdana"/>
        <family val="2"/>
      </rPr>
      <t xml:space="preserve">
Designations &gt; Land-Based Designations &gt; Non-Statutory &gt; Heritage Coasts (England)
</t>
    </r>
    <r>
      <rPr>
        <b/>
        <sz val="10"/>
        <color theme="1"/>
        <rFont val="Verdana"/>
        <family val="2"/>
      </rPr>
      <t>If yes:</t>
    </r>
    <r>
      <rPr>
        <sz val="10"/>
        <color theme="1"/>
        <rFont val="Verdana"/>
        <family val="2"/>
      </rPr>
      <t xml:space="preserve">
If the Heritage Coast lies within a National Park or National Landscape see above. If not, contact the Local Planning Authority for advice when designing your proposal to ensure it complements the characteristics of the Heritage Coast. </t>
    </r>
  </si>
  <si>
    <r>
      <t>Is the proposal site within an Area of Great Landscape Value or other locally designated landscapes</t>
    </r>
    <r>
      <rPr>
        <b/>
        <sz val="10"/>
        <rFont val="Verdana"/>
        <family val="2"/>
      </rPr>
      <t xml:space="preserve"> (also known as Special Landscape Areas or Areas of High Landscape Value)</t>
    </r>
    <r>
      <rPr>
        <b/>
        <sz val="10"/>
        <color theme="1"/>
        <rFont val="Verdana"/>
        <family val="2"/>
      </rPr>
      <t xml:space="preserve">? </t>
    </r>
  </si>
  <si>
    <t xml:space="preserve">Check with the Local Planning Authority
</t>
  </si>
  <si>
    <t>Have you reviewed the National Character Area (NCA) profile in relation to the site proposal?</t>
  </si>
  <si>
    <r>
      <rPr>
        <b/>
        <sz val="10"/>
        <rFont val="Verdana"/>
        <family val="2"/>
      </rPr>
      <t xml:space="preserve">Review Natural England's National Character Area (NCA) Profile </t>
    </r>
    <r>
      <rPr>
        <sz val="10"/>
        <rFont val="Verdana"/>
        <family val="2"/>
      </rPr>
      <t xml:space="preserve">
Please specify any relevant strategic environmental objectives identified in the NCA.</t>
    </r>
  </si>
  <si>
    <t>Appendix 3: Landscape Context Plan</t>
  </si>
  <si>
    <t>Stage 1 - Water</t>
  </si>
  <si>
    <t>Water</t>
  </si>
  <si>
    <t xml:space="preserve">Is the proposal site within an area where acidification of surface water is an issue?
</t>
  </si>
  <si>
    <t>Stage 1 - Historic Environment</t>
  </si>
  <si>
    <t>Designated Heritage Assets</t>
  </si>
  <si>
    <t>Is the proposal within or adjacent to a World Heritage Site including their associated buffer zones e.g. UNESCO sites?</t>
  </si>
  <si>
    <r>
      <rPr>
        <b/>
        <sz val="10"/>
        <color theme="1"/>
        <rFont val="Verdana"/>
        <family val="2"/>
      </rPr>
      <t>Perform a MAGIC site check</t>
    </r>
    <r>
      <rPr>
        <sz val="10"/>
        <color theme="1"/>
        <rFont val="Verdana"/>
        <family val="2"/>
      </rPr>
      <t xml:space="preserve">
Layers: </t>
    </r>
    <r>
      <rPr>
        <i/>
        <sz val="10"/>
        <color theme="1"/>
        <rFont val="Verdana"/>
        <family val="2"/>
      </rPr>
      <t xml:space="preserve">Designations &gt; Land-Based Designations &gt; Historic Statutory &gt; World Heritage Sites (England)
</t>
    </r>
    <r>
      <rPr>
        <sz val="10"/>
        <color theme="1"/>
        <rFont val="Verdana"/>
        <family val="2"/>
      </rPr>
      <t xml:space="preserve">You must save a copy of the MAGIC report and map and submit these when you return this form.
</t>
    </r>
    <r>
      <rPr>
        <i/>
        <sz val="10"/>
        <color theme="1"/>
        <rFont val="Verdana"/>
        <family val="2"/>
      </rPr>
      <t xml:space="preserve">
</t>
    </r>
    <r>
      <rPr>
        <b/>
        <sz val="10"/>
        <color theme="1"/>
        <rFont val="Verdana"/>
        <family val="2"/>
      </rPr>
      <t>If yes:</t>
    </r>
    <r>
      <rPr>
        <b/>
        <i/>
        <sz val="10"/>
        <color theme="1"/>
        <rFont val="Verdana"/>
        <family val="2"/>
      </rPr>
      <t xml:space="preserve">
</t>
    </r>
    <r>
      <rPr>
        <b/>
        <sz val="10"/>
        <color theme="1"/>
        <rFont val="Verdana"/>
        <family val="2"/>
      </rPr>
      <t>Contact Historic England &amp; the World Heritage Site Coordinator</t>
    </r>
    <r>
      <rPr>
        <sz val="10"/>
        <color theme="1"/>
        <rFont val="Verdana"/>
        <family val="2"/>
      </rPr>
      <t xml:space="preserve">
You must submit a copy of any advice received with your application.</t>
    </r>
  </si>
  <si>
    <t>Is the proposal within or adjacent to a Scheduled Monument?</t>
  </si>
  <si>
    <r>
      <rPr>
        <b/>
        <sz val="10"/>
        <color theme="1"/>
        <rFont val="Verdana"/>
        <family val="2"/>
      </rPr>
      <t>Perform a MAGIC site check</t>
    </r>
    <r>
      <rPr>
        <sz val="10"/>
        <color theme="1"/>
        <rFont val="Verdana"/>
        <family val="2"/>
      </rPr>
      <t xml:space="preserve">
Layers: </t>
    </r>
    <r>
      <rPr>
        <i/>
        <sz val="10"/>
        <color theme="1"/>
        <rFont val="Verdana"/>
        <family val="2"/>
      </rPr>
      <t xml:space="preserve">Designations &gt; Land-Based Designations &gt; Historic Statutory &gt; Scheduled Monuments (England)
</t>
    </r>
    <r>
      <rPr>
        <sz val="10"/>
        <color theme="1"/>
        <rFont val="Verdana"/>
        <family val="2"/>
      </rPr>
      <t xml:space="preserve">You must save a copy of the MAGIC report and map and submit these when you return this form.
</t>
    </r>
    <r>
      <rPr>
        <b/>
        <sz val="10"/>
        <color theme="1"/>
        <rFont val="Verdana"/>
        <family val="2"/>
      </rPr>
      <t xml:space="preserve">If yes:
Contact Historic England
</t>
    </r>
    <r>
      <rPr>
        <sz val="10"/>
        <color theme="1"/>
        <rFont val="Verdana"/>
        <family val="2"/>
      </rPr>
      <t>You must submit a copy of any advice received with your application.</t>
    </r>
  </si>
  <si>
    <t xml:space="preserve">Is the proposal adjacent to any Grade I or II* Listed Buildings? </t>
  </si>
  <si>
    <r>
      <rPr>
        <b/>
        <sz val="10"/>
        <color theme="1"/>
        <rFont val="Verdana"/>
        <family val="2"/>
      </rPr>
      <t>Perform a MAGIC site check</t>
    </r>
    <r>
      <rPr>
        <sz val="10"/>
        <color theme="1"/>
        <rFont val="Verdana"/>
        <family val="2"/>
      </rPr>
      <t xml:space="preserve">
Layers: </t>
    </r>
    <r>
      <rPr>
        <i/>
        <sz val="10"/>
        <color theme="1"/>
        <rFont val="Verdana"/>
        <family val="2"/>
      </rPr>
      <t xml:space="preserve">Designations &gt; Land-Based Designations &gt; Historic Statutory &gt; Listed buildings (England)
</t>
    </r>
    <r>
      <rPr>
        <sz val="10"/>
        <color theme="1"/>
        <rFont val="Verdana"/>
        <family val="2"/>
      </rPr>
      <t xml:space="preserve">You must save a copy of the MAGIC report and map and submit these when you return this form.
</t>
    </r>
    <r>
      <rPr>
        <b/>
        <sz val="10"/>
        <color theme="1"/>
        <rFont val="Verdana"/>
        <family val="2"/>
      </rPr>
      <t xml:space="preserve">If yes:
Contact Historic England
</t>
    </r>
    <r>
      <rPr>
        <sz val="10"/>
        <color theme="1"/>
        <rFont val="Verdana"/>
        <family val="2"/>
      </rPr>
      <t>You must submit a copy of any advice received with your application.</t>
    </r>
  </si>
  <si>
    <t>Is the proposal within or adjacent to a Registered Battlefield?</t>
  </si>
  <si>
    <r>
      <rPr>
        <b/>
        <sz val="10"/>
        <color theme="1"/>
        <rFont val="Verdana"/>
        <family val="2"/>
      </rPr>
      <t>Perform a MAGIC site check</t>
    </r>
    <r>
      <rPr>
        <sz val="10"/>
        <color theme="1"/>
        <rFont val="Verdana"/>
        <family val="2"/>
      </rPr>
      <t xml:space="preserve">
Layers: </t>
    </r>
    <r>
      <rPr>
        <i/>
        <sz val="10"/>
        <color theme="1"/>
        <rFont val="Verdana"/>
        <family val="2"/>
      </rPr>
      <t xml:space="preserve">Designations &gt; Land-Based Designations &gt; Historic Statutory &gt; Registered Battlefields (England)
</t>
    </r>
    <r>
      <rPr>
        <sz val="10"/>
        <color theme="1"/>
        <rFont val="Verdana"/>
        <family val="2"/>
      </rPr>
      <t xml:space="preserve">You must save a copy of the MAGIC report and map and submit these when you return this form.
</t>
    </r>
    <r>
      <rPr>
        <b/>
        <sz val="10"/>
        <color theme="1"/>
        <rFont val="Verdana"/>
        <family val="2"/>
      </rPr>
      <t xml:space="preserve">If yes:
Contact Historic England
</t>
    </r>
    <r>
      <rPr>
        <sz val="10"/>
        <color theme="1"/>
        <rFont val="Verdana"/>
        <family val="2"/>
      </rPr>
      <t>You must submit a copy of any advice received with your application.</t>
    </r>
  </si>
  <si>
    <t>Is the proposal within or adjacent to any Grade I or II* Registered Parks and Gardens?</t>
  </si>
  <si>
    <r>
      <rPr>
        <b/>
        <sz val="10"/>
        <color theme="1"/>
        <rFont val="Verdana"/>
        <family val="2"/>
      </rPr>
      <t>Perform a MAGIC site check</t>
    </r>
    <r>
      <rPr>
        <sz val="10"/>
        <color theme="1"/>
        <rFont val="Verdana"/>
        <family val="2"/>
      </rPr>
      <t xml:space="preserve">
Layers: </t>
    </r>
    <r>
      <rPr>
        <i/>
        <sz val="10"/>
        <color theme="1"/>
        <rFont val="Verdana"/>
        <family val="2"/>
      </rPr>
      <t xml:space="preserve">Designations &gt; Land-Based Designations &gt; Historic Statutory &gt; Registered Parks and Gardens (England)
</t>
    </r>
    <r>
      <rPr>
        <sz val="10"/>
        <color theme="1"/>
        <rFont val="Verdana"/>
        <family val="2"/>
      </rPr>
      <t xml:space="preserve">You must save a copy of the MAGIC report and map and submit these when you return this form.
</t>
    </r>
    <r>
      <rPr>
        <b/>
        <sz val="10"/>
        <color theme="1"/>
        <rFont val="Verdana"/>
        <family val="2"/>
      </rPr>
      <t xml:space="preserve">If yes:
Contact Historic England &amp; The Gardens Trust
</t>
    </r>
    <r>
      <rPr>
        <sz val="10"/>
        <color theme="1"/>
        <rFont val="Verdana"/>
        <family val="2"/>
      </rPr>
      <t>You must submit a copy of any advice received with your application.</t>
    </r>
  </si>
  <si>
    <t>Is the proposal within or adjacent to a building conservation area?</t>
  </si>
  <si>
    <r>
      <rPr>
        <b/>
        <sz val="10"/>
        <color theme="1"/>
        <rFont val="Verdana"/>
        <family val="2"/>
      </rPr>
      <t>Contact Local Planning Authority</t>
    </r>
    <r>
      <rPr>
        <sz val="10"/>
        <color theme="1"/>
        <rFont val="Verdana"/>
        <family val="2"/>
      </rPr>
      <t xml:space="preserve">
Maps of Conservation Areas can be obtained from the Historic Building Conservation Department/Officer. You must submit a copy of any maps and advice received with your application.</t>
    </r>
  </si>
  <si>
    <t>Non-designated Heritage Assets</t>
  </si>
  <si>
    <t>Is the proposal within or adjacent to any historic features or archaeological sites identified in local Historic Environment Records?</t>
  </si>
  <si>
    <t>Have you reviewed Local Historic Landscape Characterisation (HLC) data in relation to the proposal?</t>
  </si>
  <si>
    <r>
      <t xml:space="preserve">Contact your Historic Environment Record Centre (HERC)
</t>
    </r>
    <r>
      <rPr>
        <sz val="10"/>
        <color theme="1"/>
        <rFont val="Verdana"/>
        <family val="2"/>
      </rPr>
      <t>Find your local centre here. You must submit a copy of any maps or comments when you return this form.</t>
    </r>
  </si>
  <si>
    <t>Stage 1 - Silviculture, Soil &amp; Climate Change</t>
  </si>
  <si>
    <t xml:space="preserve">Soils </t>
  </si>
  <si>
    <r>
      <t xml:space="preserve">Soil Type 1:
</t>
    </r>
    <r>
      <rPr>
        <i/>
        <sz val="10"/>
        <color theme="1"/>
        <rFont val="Verdana"/>
        <family val="2"/>
      </rPr>
      <t xml:space="preserve">(select drop-down)
</t>
    </r>
  </si>
  <si>
    <r>
      <t xml:space="preserve">Soil Type 2:
</t>
    </r>
    <r>
      <rPr>
        <i/>
        <sz val="10"/>
        <color theme="1"/>
        <rFont val="Verdana"/>
        <family val="2"/>
      </rPr>
      <t>(select drop-down)</t>
    </r>
  </si>
  <si>
    <t>Is there any peat, including wasted peat, present on the proposal site?</t>
  </si>
  <si>
    <t>Deer</t>
  </si>
  <si>
    <t xml:space="preserve">Is the proposal site within the population range for one of more species of wild deer? 
</t>
  </si>
  <si>
    <r>
      <rPr>
        <b/>
        <sz val="10"/>
        <rFont val="Verdana"/>
        <family val="2"/>
      </rPr>
      <t>Identify any of the species present and whether deer population control takes place on the proposal site or adjacent land/wider landscape.</t>
    </r>
    <r>
      <rPr>
        <sz val="10"/>
        <color theme="10"/>
        <rFont val="Verdana"/>
        <family val="2"/>
      </rPr>
      <t xml:space="preserve">
</t>
    </r>
    <r>
      <rPr>
        <b/>
        <sz val="10"/>
        <rFont val="Verdana"/>
        <family val="2"/>
      </rPr>
      <t xml:space="preserve">
</t>
    </r>
    <r>
      <rPr>
        <sz val="10"/>
        <rFont val="Verdana"/>
        <family val="2"/>
      </rPr>
      <t>Your Woodland Creation Officer may seek advice from a Forestry Commission Deer Officer, as appropriate.</t>
    </r>
    <r>
      <rPr>
        <b/>
        <sz val="10"/>
        <rFont val="Verdana"/>
        <family val="2"/>
      </rPr>
      <t xml:space="preserve">
Guidance: 
</t>
    </r>
  </si>
  <si>
    <t>Pests</t>
  </si>
  <si>
    <t>Does the site have a risk of wildfire requiring control measures, such as Wildfire Management Plan and prevention measures?</t>
  </si>
  <si>
    <t xml:space="preserve">Other </t>
  </si>
  <si>
    <t>Are there any other known hazards or threats, i.e., invasive species?</t>
  </si>
  <si>
    <r>
      <rPr>
        <b/>
        <sz val="10"/>
        <rFont val="Verdana"/>
        <family val="2"/>
      </rPr>
      <t>Guidance:</t>
    </r>
    <r>
      <rPr>
        <sz val="10"/>
        <rFont val="Verdana"/>
        <family val="2"/>
      </rPr>
      <t xml:space="preserve"> </t>
    </r>
    <r>
      <rPr>
        <u/>
        <sz val="10"/>
        <color theme="10"/>
        <rFont val="Verdana"/>
        <family val="2"/>
      </rPr>
      <t xml:space="preserve">
</t>
    </r>
  </si>
  <si>
    <t>Risks and Impact</t>
  </si>
  <si>
    <t>Mitigations and other comments</t>
  </si>
  <si>
    <t>Stage 1 - Access &amp; Local Interests</t>
  </si>
  <si>
    <t>Public Access &amp; Interests</t>
  </si>
  <si>
    <t xml:space="preserve">Does the proposal site include any land with access rights under Countryside and Rights of Way Act 2000 (CRoW)? </t>
  </si>
  <si>
    <r>
      <rPr>
        <b/>
        <sz val="10"/>
        <color rgb="FF000000"/>
        <rFont val="Verdana"/>
        <family val="2"/>
      </rPr>
      <t xml:space="preserve">Check MAGIC
</t>
    </r>
    <r>
      <rPr>
        <sz val="10"/>
        <color rgb="FF000000"/>
        <rFont val="Verdana"/>
        <family val="2"/>
      </rPr>
      <t xml:space="preserve">Layer: </t>
    </r>
    <r>
      <rPr>
        <i/>
        <sz val="10"/>
        <color rgb="FF000000"/>
        <rFont val="Verdana"/>
        <family val="2"/>
      </rPr>
      <t xml:space="preserve">Access &gt; Countryside and Rights of Way Act 2000 - Access Layer (England)
</t>
    </r>
    <r>
      <rPr>
        <sz val="10"/>
        <color rgb="FF000000"/>
        <rFont val="Verdana"/>
        <family val="2"/>
      </rPr>
      <t xml:space="preserve">Please submit a copy of the MAGIC map showing the extent of any CRoW, including adjacent and adjoining areas, when you return this form.
</t>
    </r>
    <r>
      <rPr>
        <b/>
        <sz val="10"/>
        <color rgb="FF000000"/>
        <rFont val="Verdana"/>
        <family val="2"/>
      </rPr>
      <t xml:space="preserve">If yes:
Contact the Local Access Forum
</t>
    </r>
    <r>
      <rPr>
        <sz val="10"/>
        <color rgb="FF000000"/>
        <rFont val="Verdana"/>
        <family val="2"/>
      </rPr>
      <t>You must submit a copy of any correspondence when you return this form.</t>
    </r>
  </si>
  <si>
    <t xml:space="preserve">Does the proposal contain any Section 15 land?
</t>
  </si>
  <si>
    <t>Does the proposal site include any Common Land?</t>
  </si>
  <si>
    <r>
      <t xml:space="preserve">Check MAGIC
</t>
    </r>
    <r>
      <rPr>
        <sz val="10"/>
        <color theme="1"/>
        <rFont val="Verdana"/>
        <family val="2"/>
      </rPr>
      <t xml:space="preserve">Layer: </t>
    </r>
    <r>
      <rPr>
        <i/>
        <sz val="10"/>
        <color theme="1"/>
        <rFont val="Verdana"/>
        <family val="2"/>
      </rPr>
      <t xml:space="preserve">Access &gt; Registered Common Land (England)
</t>
    </r>
    <r>
      <rPr>
        <sz val="10"/>
        <color theme="1"/>
        <rFont val="Verdana"/>
        <family val="2"/>
      </rPr>
      <t>Please submit a copy of the MAGIC map showing the extent of any Common Land when you return this form.</t>
    </r>
    <r>
      <rPr>
        <b/>
        <sz val="10"/>
        <color theme="1"/>
        <rFont val="Verdana"/>
        <family val="2"/>
      </rPr>
      <t xml:space="preserve">
If yes:
</t>
    </r>
    <r>
      <rPr>
        <sz val="10"/>
        <color theme="1"/>
        <rFont val="Verdana"/>
        <family val="2"/>
      </rPr>
      <t xml:space="preserve">It is good practice to engage with the Open Spaces Society (OSS), and the Foundation for Common Land (FCL) about your proposal. </t>
    </r>
  </si>
  <si>
    <t>Are there any existing trees on the proposal site that are subject to a Tree Preservation Order (TPO)?</t>
  </si>
  <si>
    <r>
      <t xml:space="preserve">Contact the Local Authority Planning Department
</t>
    </r>
    <r>
      <rPr>
        <sz val="10"/>
        <color theme="1"/>
        <rFont val="Verdana"/>
        <family val="2"/>
      </rPr>
      <t>You must submit a copy of any correspondence and maps when you return this form.</t>
    </r>
  </si>
  <si>
    <t xml:space="preserve">Have timber transport routes for the proposal site been considered?  </t>
  </si>
  <si>
    <r>
      <rPr>
        <b/>
        <sz val="12"/>
        <color theme="0"/>
        <rFont val="Verdana"/>
        <family val="2"/>
      </rPr>
      <t>Other contacts</t>
    </r>
    <r>
      <rPr>
        <b/>
        <sz val="11"/>
        <color theme="0"/>
        <rFont val="Verdana"/>
        <family val="2"/>
      </rPr>
      <t xml:space="preserve">
</t>
    </r>
    <r>
      <rPr>
        <sz val="11"/>
        <color theme="0"/>
        <rFont val="Verdana"/>
        <family val="2"/>
      </rPr>
      <t xml:space="preserve">Identify any relevant stakeholders, such as local residents or communities, that may be affected by the proposal. </t>
    </r>
  </si>
  <si>
    <r>
      <t xml:space="preserve">Stakeholder
</t>
    </r>
    <r>
      <rPr>
        <i/>
        <sz val="10"/>
        <rFont val="Verdana"/>
        <family val="2"/>
      </rPr>
      <t>Name &amp; organisation where appropriate</t>
    </r>
  </si>
  <si>
    <r>
      <t xml:space="preserve">Contact Information
</t>
    </r>
    <r>
      <rPr>
        <i/>
        <sz val="10"/>
        <rFont val="Verdana"/>
        <family val="2"/>
      </rPr>
      <t>Address, email &amp; phone</t>
    </r>
  </si>
  <si>
    <t>Date contacted</t>
  </si>
  <si>
    <t>Stage 1 - Assessment &amp; Summary</t>
  </si>
  <si>
    <t>Low sensitivity land</t>
  </si>
  <si>
    <r>
      <rPr>
        <b/>
        <sz val="11"/>
        <color theme="1"/>
        <rFont val="Verdana"/>
        <family val="2"/>
      </rPr>
      <t>Check</t>
    </r>
    <r>
      <rPr>
        <i/>
        <sz val="10"/>
        <color theme="1"/>
        <rFont val="Verdana"/>
        <family val="2"/>
      </rPr>
      <t xml:space="preserve">
Please confirm if the land in this application is: </t>
    </r>
  </si>
  <si>
    <r>
      <t xml:space="preserve">Result
</t>
    </r>
    <r>
      <rPr>
        <i/>
        <sz val="10"/>
        <color theme="1"/>
        <rFont val="Verdana"/>
        <family val="2"/>
      </rPr>
      <t>(select drop-down)</t>
    </r>
    <r>
      <rPr>
        <b/>
        <sz val="11"/>
        <color theme="1"/>
        <rFont val="Verdana"/>
        <family val="2"/>
      </rPr>
      <t xml:space="preserve"> </t>
    </r>
  </si>
  <si>
    <r>
      <t xml:space="preserve">Comments
</t>
    </r>
    <r>
      <rPr>
        <i/>
        <sz val="10"/>
        <color theme="1"/>
        <rFont val="Verdana"/>
        <family val="2"/>
      </rPr>
      <t>Please provide further details, impacts and mitigations where appropriate</t>
    </r>
  </si>
  <si>
    <r>
      <t xml:space="preserve">Entirely in a low sensitivity area for woodland creation
</t>
    </r>
    <r>
      <rPr>
        <i/>
        <sz val="10"/>
        <color theme="1"/>
        <rFont val="Verdana"/>
        <family val="2"/>
      </rPr>
      <t>check Forester GIS &gt; Land Sensitivity &gt; England Woodland Creation Low Sensitivity version 4</t>
    </r>
  </si>
  <si>
    <r>
      <t xml:space="preserve">If in a low sensitivity area, has the impact on features of interest within a sensitive area been considered?
</t>
    </r>
    <r>
      <rPr>
        <i/>
        <sz val="10"/>
        <color theme="1"/>
        <rFont val="Verdana"/>
        <family val="2"/>
      </rPr>
      <t>If "Yes" indicate more details in the Comments</t>
    </r>
  </si>
  <si>
    <t>Survey requirements</t>
  </si>
  <si>
    <t>Information class</t>
  </si>
  <si>
    <t>Information type required /
features present</t>
  </si>
  <si>
    <t>Survey</t>
  </si>
  <si>
    <t>Supplementary Payment applied for?</t>
  </si>
  <si>
    <t>[Example] Protection</t>
  </si>
  <si>
    <t xml:space="preserve">Presence / level of deer </t>
  </si>
  <si>
    <t>Deer Impact Assessment</t>
  </si>
  <si>
    <t>Yes</t>
  </si>
  <si>
    <t>Biodiversity</t>
  </si>
  <si>
    <t>Landscape and Visual</t>
  </si>
  <si>
    <t>Historic Environment</t>
  </si>
  <si>
    <t>Stakeholder Interest (not covered elsewhere, e.g. access)</t>
  </si>
  <si>
    <t>Protection</t>
  </si>
  <si>
    <t xml:space="preserve">Silviculture, Soil &amp; Climate Change </t>
  </si>
  <si>
    <t>Other (e.g. legal)</t>
  </si>
  <si>
    <t>Stage 1 assessment &amp; next steps</t>
  </si>
  <si>
    <t>Name</t>
  </si>
  <si>
    <t>Date</t>
  </si>
  <si>
    <t>Comments</t>
  </si>
  <si>
    <r>
      <t xml:space="preserve">Summary </t>
    </r>
    <r>
      <rPr>
        <i/>
        <sz val="12"/>
        <color theme="0"/>
        <rFont val="Verdana"/>
        <family val="2"/>
      </rPr>
      <t>-</t>
    </r>
    <r>
      <rPr>
        <i/>
        <sz val="11"/>
        <color theme="0"/>
        <rFont val="Verdana"/>
        <family val="2"/>
      </rPr>
      <t xml:space="preserve"> auto-populated where 'FC checks' = 'Flag in summary'</t>
    </r>
  </si>
  <si>
    <t>Biodiversity &amp; Geology</t>
  </si>
  <si>
    <t>Silviculture, Soil &amp; Climate</t>
  </si>
  <si>
    <t>Access &amp; Local Interests</t>
  </si>
  <si>
    <t>Flagged checks</t>
  </si>
  <si>
    <t>Stage 2 - Survey &amp; Analysis</t>
  </si>
  <si>
    <t>Landscape Character Appraisal</t>
  </si>
  <si>
    <t>Summary of survey results</t>
  </si>
  <si>
    <t>Survey name</t>
  </si>
  <si>
    <t>Date completed</t>
  </si>
  <si>
    <t>Summary of findings</t>
  </si>
  <si>
    <r>
      <t>EPS Assessment</t>
    </r>
    <r>
      <rPr>
        <i/>
        <sz val="11"/>
        <color theme="0"/>
        <rFont val="Verdana"/>
        <family val="2"/>
      </rPr>
      <t xml:space="preserve"> (where applicable)</t>
    </r>
  </si>
  <si>
    <t>Where the woodland creation proposal may impact on or affect a European Protected Site please complete the 'EPS assessment' tab.</t>
  </si>
  <si>
    <t>Summarise checks made to ensure there is no existing infrastructure that could affect the design of your woodland</t>
  </si>
  <si>
    <t>Consider overhead power lines (OHPLs), underground electricity lines, gas pipelines, etc. 
Where present account for them in the Constraints &amp; Opportunities table below (in the Other section)</t>
  </si>
  <si>
    <t>Constraints &amp; opportunities</t>
  </si>
  <si>
    <t>Scope</t>
  </si>
  <si>
    <r>
      <t xml:space="preserve">Constraints
</t>
    </r>
    <r>
      <rPr>
        <i/>
        <sz val="10"/>
        <rFont val="Verdana"/>
        <family val="2"/>
      </rPr>
      <t>Include details on how will you mitigate any potential impacts on identified constraints</t>
    </r>
  </si>
  <si>
    <r>
      <t xml:space="preserve">Opportunities
</t>
    </r>
    <r>
      <rPr>
        <i/>
        <sz val="10"/>
        <rFont val="Verdana"/>
        <family val="2"/>
      </rPr>
      <t>Detail any identified opportunities for environmental or other improvements</t>
    </r>
  </si>
  <si>
    <t>Landscape, visual and woodland design</t>
  </si>
  <si>
    <t>Silviculture, Soil &amp; Climate Change</t>
  </si>
  <si>
    <t>Access &amp; Local interest</t>
  </si>
  <si>
    <r>
      <t xml:space="preserve">Threats </t>
    </r>
    <r>
      <rPr>
        <i/>
        <sz val="10"/>
        <color theme="1"/>
        <rFont val="Verdana"/>
        <family val="2"/>
      </rPr>
      <t>(e.g., mammals, wildfire, pests)</t>
    </r>
  </si>
  <si>
    <t>Other</t>
  </si>
  <si>
    <t>Stage 2 - EPS Assessment</t>
  </si>
  <si>
    <t xml:space="preserve">
</t>
  </si>
  <si>
    <t xml:space="preserve"> Identify site feature</t>
  </si>
  <si>
    <t>European site or Ramsar site Name:</t>
  </si>
  <si>
    <t xml:space="preserve">Qualifying Features: </t>
  </si>
  <si>
    <t xml:space="preserve">Conservation objectives (Abridged): </t>
  </si>
  <si>
    <t>Screening</t>
  </si>
  <si>
    <t xml:space="preserve"> Using the table below, identify the potential risks associated with forestry works to the qualifying features.
 You must provide sufficient information to enable the Forestry Commission to undertake screening.
</t>
  </si>
  <si>
    <r>
      <t xml:space="preserve">What are the impacts of the project upon the Qualifying Feature? </t>
    </r>
    <r>
      <rPr>
        <i/>
        <sz val="10"/>
        <color theme="1"/>
        <rFont val="Verdana"/>
        <family val="2"/>
      </rPr>
      <t>For example, ground preparation, fencing</t>
    </r>
    <r>
      <rPr>
        <b/>
        <sz val="10"/>
        <color theme="1"/>
        <rFont val="Verdana"/>
        <family val="2"/>
      </rPr>
      <t xml:space="preserve">
</t>
    </r>
    <r>
      <rPr>
        <i/>
        <sz val="10"/>
        <color theme="1"/>
        <rFont val="Verdana"/>
        <family val="2"/>
      </rPr>
      <t>(There may be more than one element, and each element may impact more than one feature</t>
    </r>
    <r>
      <rPr>
        <sz val="10"/>
        <color theme="1"/>
        <rFont val="Verdana"/>
        <family val="2"/>
      </rPr>
      <t>)</t>
    </r>
  </si>
  <si>
    <r>
      <t xml:space="preserve">Qualifying feature affected
</t>
    </r>
    <r>
      <rPr>
        <i/>
        <sz val="10"/>
        <color theme="1"/>
        <rFont val="Verdana"/>
        <family val="2"/>
      </rPr>
      <t>(List more than one, where applicable)</t>
    </r>
  </si>
  <si>
    <r>
      <t xml:space="preserve">Risk of significant effect on Qualifying Feature occurring
</t>
    </r>
    <r>
      <rPr>
        <i/>
        <sz val="10"/>
        <color theme="1"/>
        <rFont val="Verdana"/>
        <family val="2"/>
      </rPr>
      <t>(High, Medium, Low or None)</t>
    </r>
  </si>
  <si>
    <t xml:space="preserve"> </t>
  </si>
  <si>
    <t>Stage 2 - Design Concept Development</t>
  </si>
  <si>
    <t>Site overview</t>
  </si>
  <si>
    <t>Please provide a brief description of the site, its characteristics and current land use.</t>
  </si>
  <si>
    <t>Objectives</t>
  </si>
  <si>
    <t>Resource</t>
  </si>
  <si>
    <r>
      <t xml:space="preserve">Objective
</t>
    </r>
    <r>
      <rPr>
        <i/>
        <sz val="10"/>
        <rFont val="Verdana"/>
        <family val="2"/>
      </rPr>
      <t>What do you want to achieve</t>
    </r>
    <r>
      <rPr>
        <b/>
        <sz val="12"/>
        <rFont val="Verdana"/>
        <family val="2"/>
      </rPr>
      <t xml:space="preserve"> </t>
    </r>
  </si>
  <si>
    <r>
      <t xml:space="preserve">Indicator
</t>
    </r>
    <r>
      <rPr>
        <i/>
        <sz val="10"/>
        <rFont val="Verdana"/>
        <family val="2"/>
      </rPr>
      <t>How will you meet your objective</t>
    </r>
  </si>
  <si>
    <t>Landscape and visual impact</t>
  </si>
  <si>
    <t>Access &amp; recreation</t>
  </si>
  <si>
    <t>Timber</t>
  </si>
  <si>
    <t>Stakeholder interests</t>
  </si>
  <si>
    <t>Other (i.e. carbon sequestration, financial)</t>
  </si>
  <si>
    <t>Design Concept Development</t>
  </si>
  <si>
    <t>Consideration and design options</t>
  </si>
  <si>
    <r>
      <t xml:space="preserve">Landscape and visual impact
</t>
    </r>
    <r>
      <rPr>
        <sz val="10"/>
        <color theme="1"/>
        <rFont val="Verdana"/>
        <family val="2"/>
      </rPr>
      <t>a) Describe how the design of the woodland proposal will successfully integrate with the existing landscape and visual character with a focus on the seven design principles. Including consideration of: spirit of place (local distinctiveness), unity (landscape fit), landform, enclosure, semi natural landscapes and features, biodiversity and historic environment, viewpoints/visibility and public access. Explain how the design fits with UKFS forest design principles. The level of landscape analysis required will depend on the scale and complexity of the woodland proposed. 
b) Describe how the design has been developed using UKFS Landscape Guidelines and design techniques set out in the FC Practice Guide Design Techniques for Forest Management Planning, including the use of maps, photos and perspectives.</t>
    </r>
  </si>
  <si>
    <r>
      <t xml:space="preserve">Water
</t>
    </r>
    <r>
      <rPr>
        <sz val="10"/>
        <color theme="1"/>
        <rFont val="Verdana"/>
        <family val="2"/>
      </rPr>
      <t>a) Describe what consideration has been given for the proposal to make a positive contribution to flood risk reduction, water quality improvement, and / or protection of water resources in areas of low rainfall, or to vulnerability of water bodies to overheating (target areas shown in FC LIS).
b) Where acidification of surface water is an issue (refer to FC LIS), describe how the proposals design addresses the guidelines in the UKFS Practice Guide on Managing Forests in Acid Sensitive Catchments.
c) Describe how any potential detrimental effect the proposal may have on water (flood risk, water quality etc.) will be mitigated and what the residual level of impact is expected to be. Please include how any risk of surface water run-off or drainage (from creating new woodland) will be mitigated in the scheme.</t>
    </r>
  </si>
  <si>
    <r>
      <t xml:space="preserve">Historic Environment
</t>
    </r>
    <r>
      <rPr>
        <sz val="10"/>
        <color theme="1"/>
        <rFont val="Verdana"/>
        <family val="2"/>
      </rPr>
      <t>a) Describe what mitigation in the woodland design and operational practice will safeguard all known heritage assets likely to be adversely affected by woodland creation.
b) Describe how the design of the woodland accounts for Historic Landscape Characterisation (HLC).
c) Please provide evidence that Historic England (where relevant) and / or the local historic environment / archaeology service support, or is content with the draft Woodland Creation Design Plan.</t>
    </r>
  </si>
  <si>
    <r>
      <t xml:space="preserve">Other
</t>
    </r>
    <r>
      <rPr>
        <sz val="10"/>
        <color theme="1"/>
        <rFont val="Verdana"/>
        <family val="2"/>
      </rPr>
      <t>For example, detail on recreational opportunities and infrastructure will be required if you plan to apply for funding for infrastructure through the Woodland Carbon Fund.</t>
    </r>
  </si>
  <si>
    <t xml:space="preserve">This information should now inform production of a Design Concept Plan(s). You should produce an annotated spatial plan showing options for your woodland design, to support your engagement with stakeholders. You may need to produce more than one of these to aid stakeholder engagement, if appropriate. This identifies how the various constraints and opportunities have been considered to produce a Design Concept Plan that delivers a multi-functional, UKFS compliant woodland creation proposal. The Design Concept Plan should include illustrative details, such as design of woodland edge treatments, identification of existing habitats, riparian zones, and mitigation for archaeological features, the location of Public rights of way, and protection of important views and how these are integrated into the design. Visual aids, such as annotated photographs and sketches should be used to visualise the plan where appropriate.
</t>
  </si>
  <si>
    <t>Stage 2 - Stakeholder Engagement</t>
  </si>
  <si>
    <t>Stakeholder Engagement</t>
  </si>
  <si>
    <r>
      <t xml:space="preserve">Engagement with
</t>
    </r>
    <r>
      <rPr>
        <i/>
        <sz val="10"/>
        <rFont val="Verdana"/>
        <family val="2"/>
      </rPr>
      <t>I.e. Person, organisation, group, as appropriate</t>
    </r>
  </si>
  <si>
    <t xml:space="preserve">Date of initial engagement
</t>
  </si>
  <si>
    <r>
      <t xml:space="preserve">Engagement method
</t>
    </r>
    <r>
      <rPr>
        <i/>
        <sz val="10"/>
        <rFont val="Verdana"/>
        <family val="2"/>
      </rPr>
      <t>I.e. email, survey, meeting, etc.</t>
    </r>
  </si>
  <si>
    <r>
      <t xml:space="preserve">Further engagement
</t>
    </r>
    <r>
      <rPr>
        <i/>
        <sz val="10"/>
        <rFont val="Verdana"/>
        <family val="2"/>
      </rPr>
      <t>Detail any further engagement with stakeholder(s)</t>
    </r>
    <r>
      <rPr>
        <b/>
        <sz val="12"/>
        <rFont val="Verdana"/>
        <family val="2"/>
      </rPr>
      <t xml:space="preserve"> </t>
    </r>
  </si>
  <si>
    <r>
      <t xml:space="preserve">Mitigation agreed / action required
</t>
    </r>
    <r>
      <rPr>
        <i/>
        <sz val="10"/>
        <rFont val="Verdana"/>
        <family val="2"/>
      </rPr>
      <t>How does this affect your design</t>
    </r>
  </si>
  <si>
    <r>
      <t xml:space="preserve">Evidence Provided
</t>
    </r>
    <r>
      <rPr>
        <i/>
        <sz val="10"/>
        <rFont val="Verdana"/>
        <family val="2"/>
      </rPr>
      <t>Add emails, letters or any other evidence available</t>
    </r>
  </si>
  <si>
    <t>Stage 2 - Final Woodland Creation Design Plan</t>
  </si>
  <si>
    <t>Appendix 6: Final Woodland Creation Design Plan</t>
  </si>
  <si>
    <t xml:space="preserve">Finalise an annotated spatial plan showing your selected design option for the woodland including detailed design of key areas, with specific detail added (for example on species mix, planting density, access routes and open ground).
Your selected design should also include how you intend to prepare and maintain the site of your proposal. More information about operational plans can be found in the UK Forestry Standard. </t>
  </si>
  <si>
    <t>Final Design Plan Details</t>
  </si>
  <si>
    <t xml:space="preserve">Use the table below to provide any further details of your final woodland creation design plan, as shown on your spatial plan. </t>
  </si>
  <si>
    <t>Open space and woodland edge transitions</t>
  </si>
  <si>
    <t>Fencing and protection</t>
  </si>
  <si>
    <t>Initial herbicide spraying and fertilizer application</t>
  </si>
  <si>
    <t>Ground preparation</t>
  </si>
  <si>
    <t>Planned Drainage</t>
  </si>
  <si>
    <t>Cultivation Techniques</t>
  </si>
  <si>
    <t>Watercourses</t>
  </si>
  <si>
    <t>Notable features</t>
  </si>
  <si>
    <t>Infrastructure</t>
  </si>
  <si>
    <t>Access</t>
  </si>
  <si>
    <t>Stage 2 - Final Design Plan: Proposed planting</t>
  </si>
  <si>
    <t>Total Broadleaf (ha)</t>
  </si>
  <si>
    <t>Property, site or application name:</t>
  </si>
  <si>
    <t>Total Conifer (ha)</t>
  </si>
  <si>
    <t>Total Gross Area of Woodland Creation (ha)</t>
  </si>
  <si>
    <t>Total Woody Shrubs (ha)</t>
  </si>
  <si>
    <t>Total Open Space (ha)</t>
  </si>
  <si>
    <t>Total Net Area of Woodland Creation (ha)</t>
  </si>
  <si>
    <t>Open Space (% of Gross Area)</t>
  </si>
  <si>
    <t>Average Stocking Density</t>
  </si>
  <si>
    <t>Total No. Trees Planted</t>
  </si>
  <si>
    <t>Native Broadleaf %</t>
  </si>
  <si>
    <t>Non-Native Broadleaf %</t>
  </si>
  <si>
    <t>Naturalised Broadleaf %</t>
  </si>
  <si>
    <t>Native Conifer %</t>
  </si>
  <si>
    <t>Non-Native Conifer %</t>
  </si>
  <si>
    <t>Naturalised Conifer %</t>
  </si>
  <si>
    <t>Native Woody Shrubs %</t>
  </si>
  <si>
    <t>Calculated as a % of the total net area, NOT as a % of the total number of trees in the proposal.</t>
  </si>
  <si>
    <t>Planted Woodland Details</t>
  </si>
  <si>
    <t>A</t>
  </si>
  <si>
    <t>B</t>
  </si>
  <si>
    <t>C</t>
  </si>
  <si>
    <t>D</t>
  </si>
  <si>
    <t>E</t>
  </si>
  <si>
    <t>F</t>
  </si>
  <si>
    <t>Planting details</t>
  </si>
  <si>
    <t>Hidden</t>
  </si>
  <si>
    <t xml:space="preserve">
Compartment number
</t>
  </si>
  <si>
    <t xml:space="preserve">
Overall compartment area (ha including open ground)
</t>
  </si>
  <si>
    <t xml:space="preserve">
Open ground %</t>
  </si>
  <si>
    <r>
      <t xml:space="preserve">
Net planting area (ha)
</t>
    </r>
    <r>
      <rPr>
        <i/>
        <sz val="10"/>
        <color theme="1"/>
        <rFont val="Verdana"/>
        <family val="2"/>
      </rPr>
      <t>(Auto)</t>
    </r>
  </si>
  <si>
    <r>
      <t xml:space="preserve">
Species</t>
    </r>
    <r>
      <rPr>
        <i/>
        <sz val="10"/>
        <color theme="1"/>
        <rFont val="Verdana"/>
        <family val="2"/>
      </rPr>
      <t xml:space="preserve"> 
</t>
    </r>
    <r>
      <rPr>
        <sz val="10"/>
        <color theme="1"/>
        <rFont val="Verdana"/>
        <family val="2"/>
      </rPr>
      <t>(one per row)</t>
    </r>
    <r>
      <rPr>
        <b/>
        <sz val="10"/>
        <color theme="1"/>
        <rFont val="Verdana"/>
        <family val="2"/>
      </rPr>
      <t xml:space="preserve">
</t>
    </r>
    <r>
      <rPr>
        <i/>
        <sz val="10"/>
        <color theme="1"/>
        <rFont val="Verdana"/>
        <family val="2"/>
      </rPr>
      <t>(Use species codes in the Species List worksheet)</t>
    </r>
  </si>
  <si>
    <r>
      <t xml:space="preserve">
Species type 
</t>
    </r>
    <r>
      <rPr>
        <sz val="10"/>
        <color theme="1"/>
        <rFont val="Verdana"/>
        <family val="2"/>
      </rPr>
      <t xml:space="preserve">
</t>
    </r>
    <r>
      <rPr>
        <i/>
        <sz val="10"/>
        <color theme="1"/>
        <rFont val="Verdana"/>
        <family val="2"/>
      </rPr>
      <t>(Auto)</t>
    </r>
  </si>
  <si>
    <t xml:space="preserve">
Species % of net area
</t>
  </si>
  <si>
    <r>
      <t xml:space="preserve">Percentage of area of species
</t>
    </r>
    <r>
      <rPr>
        <sz val="10"/>
        <color theme="1"/>
        <rFont val="Verdana"/>
        <family val="2"/>
      </rPr>
      <t xml:space="preserve">Hidden </t>
    </r>
  </si>
  <si>
    <r>
      <t xml:space="preserve">Actual Area 
</t>
    </r>
    <r>
      <rPr>
        <sz val="10"/>
        <color theme="1"/>
        <rFont val="Verdana"/>
        <family val="2"/>
      </rPr>
      <t>Hidden</t>
    </r>
  </si>
  <si>
    <r>
      <t xml:space="preserve">Open Ground %
</t>
    </r>
    <r>
      <rPr>
        <sz val="10"/>
        <color theme="1"/>
        <rFont val="Verdana"/>
        <family val="2"/>
      </rPr>
      <t>Hidden</t>
    </r>
  </si>
  <si>
    <r>
      <t xml:space="preserve">
No. of trees of this species in this compartment
</t>
    </r>
    <r>
      <rPr>
        <sz val="10"/>
        <color theme="1"/>
        <rFont val="Verdana"/>
        <family val="2"/>
      </rPr>
      <t>(Auto)</t>
    </r>
  </si>
  <si>
    <r>
      <t xml:space="preserve">Overall percentage of Species type in Compartment
</t>
    </r>
    <r>
      <rPr>
        <sz val="10"/>
        <color theme="1"/>
        <rFont val="Verdana"/>
        <family val="2"/>
      </rPr>
      <t>Hidden</t>
    </r>
  </si>
  <si>
    <t>Native Broadleaf % 
in this application</t>
  </si>
  <si>
    <t>Non-Native Broadleaf %
in this application</t>
  </si>
  <si>
    <t>Naturalised Broadleaf %
in this application</t>
  </si>
  <si>
    <t>Native Conifer %
in this application</t>
  </si>
  <si>
    <t>Non-Native Conifer %
in this application</t>
  </si>
  <si>
    <t>Naturalised Conifer %
in this application</t>
  </si>
  <si>
    <t>Native Woody Shrubs %
in this application</t>
  </si>
  <si>
    <t>Native Broadleaf (ha) 
in this application</t>
  </si>
  <si>
    <t>Non-Native Broadleaf (ha)
in this application</t>
  </si>
  <si>
    <t>Naturalised Broadleaf (ha)
in this application</t>
  </si>
  <si>
    <t>Native Conifer (ha)
in this application</t>
  </si>
  <si>
    <t>Non-Native Conifer (ha)
in this application</t>
  </si>
  <si>
    <t>Naturalised Conifer (ha)
in this application</t>
  </si>
  <si>
    <t>Native Woody Shrubs (ha)
in this application</t>
  </si>
  <si>
    <t>Tree Species - Unique compartments</t>
  </si>
  <si>
    <t>Tree Species unique Groos area per compartment</t>
  </si>
  <si>
    <t>Copy of Compartment Number</t>
  </si>
  <si>
    <t>Copy of Net Area (ha)</t>
  </si>
  <si>
    <t>Net Area (ha) 
Unique Compartments</t>
  </si>
  <si>
    <t>Net Area (ha) - Unique ha per compartment</t>
  </si>
  <si>
    <t>BE</t>
  </si>
  <si>
    <t>Compartment 1</t>
  </si>
  <si>
    <t>Compartment 2</t>
  </si>
  <si>
    <t>Compartment 3</t>
  </si>
  <si>
    <t>Compartment 4</t>
  </si>
  <si>
    <t>Compartment 5</t>
  </si>
  <si>
    <t>Compartment 6</t>
  </si>
  <si>
    <t>Compartment 7</t>
  </si>
  <si>
    <t>Compartment 8</t>
  </si>
  <si>
    <t>Compartment 9</t>
  </si>
  <si>
    <t>Compartment 10</t>
  </si>
  <si>
    <t>Compartment 11</t>
  </si>
  <si>
    <t>Compartment 12</t>
  </si>
  <si>
    <t>Compartment 13</t>
  </si>
  <si>
    <t>Compartment 14</t>
  </si>
  <si>
    <t>Compartment 15</t>
  </si>
  <si>
    <t>Compartment 16</t>
  </si>
  <si>
    <t>Compartment 17</t>
  </si>
  <si>
    <t>Compartment 18</t>
  </si>
  <si>
    <t>Compartment 19</t>
  </si>
  <si>
    <t>Compartment 20</t>
  </si>
  <si>
    <t>Compartment 21</t>
  </si>
  <si>
    <t>Compartment 22</t>
  </si>
  <si>
    <t>Compartment 23</t>
  </si>
  <si>
    <t>Compartment 24</t>
  </si>
  <si>
    <t>Compartment 25</t>
  </si>
  <si>
    <t>Compartment 26</t>
  </si>
  <si>
    <t>Compartment 27</t>
  </si>
  <si>
    <t>Compartment 28</t>
  </si>
  <si>
    <t>Compartment 29</t>
  </si>
  <si>
    <t>Compartment 30</t>
  </si>
  <si>
    <t>Compartment 31</t>
  </si>
  <si>
    <t>Compartment 32</t>
  </si>
  <si>
    <t>Compartment 33</t>
  </si>
  <si>
    <t>Compartment 34</t>
  </si>
  <si>
    <t>Compartment 35</t>
  </si>
  <si>
    <t>Compartment 36</t>
  </si>
  <si>
    <t>Compartment 37</t>
  </si>
  <si>
    <t>Compartment 38</t>
  </si>
  <si>
    <t>Compartment 39</t>
  </si>
  <si>
    <t>Compartment 40</t>
  </si>
  <si>
    <t>Compartment 41</t>
  </si>
  <si>
    <t>Compartment 42</t>
  </si>
  <si>
    <t>Compartment 43</t>
  </si>
  <si>
    <t>Compartment 44</t>
  </si>
  <si>
    <t>Compartment 45</t>
  </si>
  <si>
    <t>Compartment 46</t>
  </si>
  <si>
    <t>Compartment 47</t>
  </si>
  <si>
    <t>Compartment 48</t>
  </si>
  <si>
    <t>Compartment 49</t>
  </si>
  <si>
    <t>Compartment 50</t>
  </si>
  <si>
    <t>Compartment 51</t>
  </si>
  <si>
    <t>Compartment 52</t>
  </si>
  <si>
    <t>Compartment 53</t>
  </si>
  <si>
    <t>Compartment 54</t>
  </si>
  <si>
    <t>Compartment 55</t>
  </si>
  <si>
    <t>Compartment 56</t>
  </si>
  <si>
    <t>Compartment 57</t>
  </si>
  <si>
    <t>Compartment 58</t>
  </si>
  <si>
    <t>Compartment 59</t>
  </si>
  <si>
    <t>Compartment 60</t>
  </si>
  <si>
    <t>Compartment 61</t>
  </si>
  <si>
    <t>Compartment 62</t>
  </si>
  <si>
    <t>Compartment 63</t>
  </si>
  <si>
    <t>Compartment 64</t>
  </si>
  <si>
    <t>Compartment 65</t>
  </si>
  <si>
    <t>Compartment 66</t>
  </si>
  <si>
    <t>Compartment 67</t>
  </si>
  <si>
    <t>Compartment 68</t>
  </si>
  <si>
    <t>Compartment 69</t>
  </si>
  <si>
    <t>Compartment 70</t>
  </si>
  <si>
    <t>Compartment 71</t>
  </si>
  <si>
    <t>Compartment 72</t>
  </si>
  <si>
    <t>Compartment 73</t>
  </si>
  <si>
    <t>Compartment 74</t>
  </si>
  <si>
    <t>Compartment 75</t>
  </si>
  <si>
    <t>Compartment 76</t>
  </si>
  <si>
    <t>Compartment 77</t>
  </si>
  <si>
    <t>Compartment 78</t>
  </si>
  <si>
    <t>Compartment 79</t>
  </si>
  <si>
    <t>Compartment 80</t>
  </si>
  <si>
    <t>Compartment 81</t>
  </si>
  <si>
    <t>Compartment 82</t>
  </si>
  <si>
    <t>Compartment 83</t>
  </si>
  <si>
    <t>Compartment 84</t>
  </si>
  <si>
    <t>Compartment 85</t>
  </si>
  <si>
    <t>Compartment 86</t>
  </si>
  <si>
    <t>Compartment 87</t>
  </si>
  <si>
    <t>Compartment 88</t>
  </si>
  <si>
    <t>Compartment 89</t>
  </si>
  <si>
    <t>Compartment 90</t>
  </si>
  <si>
    <t>Compartment 91</t>
  </si>
  <si>
    <t>Compartment 92</t>
  </si>
  <si>
    <t>Compartment 93</t>
  </si>
  <si>
    <t>Compartment 94</t>
  </si>
  <si>
    <t>Compartment 95</t>
  </si>
  <si>
    <t>Compartment 96</t>
  </si>
  <si>
    <t>Compartment 97</t>
  </si>
  <si>
    <t>Compartment 98</t>
  </si>
  <si>
    <t>Compartment 99</t>
  </si>
  <si>
    <t>Compartment 100</t>
  </si>
  <si>
    <t>Compartment 101</t>
  </si>
  <si>
    <t>Compartment 102</t>
  </si>
  <si>
    <t>Compartment 103</t>
  </si>
  <si>
    <t>Compartment 104</t>
  </si>
  <si>
    <t>Compartment 105</t>
  </si>
  <si>
    <t>Compartment 106</t>
  </si>
  <si>
    <t>Compartment 107</t>
  </si>
  <si>
    <t>Compartment 108</t>
  </si>
  <si>
    <t>Compartment 109</t>
  </si>
  <si>
    <t>Property/site name:</t>
  </si>
  <si>
    <t>Species highlighted in orange can be used but will be assessed for suitability by us if included in your application.</t>
  </si>
  <si>
    <t>Native Broadleaf Species List</t>
  </si>
  <si>
    <t>Native Conifer Species List</t>
  </si>
  <si>
    <t>Species Name</t>
  </si>
  <si>
    <t>Scientific Name</t>
  </si>
  <si>
    <t>Species Code</t>
  </si>
  <si>
    <t>Quantity</t>
  </si>
  <si>
    <t>Mixed native broadleaves</t>
  </si>
  <si>
    <t>NBL</t>
  </si>
  <si>
    <t>Juniper</t>
  </si>
  <si>
    <t>Juniperus communis</t>
  </si>
  <si>
    <t>JUN</t>
  </si>
  <si>
    <t>Field maple</t>
  </si>
  <si>
    <t>Acer campestre</t>
  </si>
  <si>
    <t>FDM</t>
  </si>
  <si>
    <t>Yew</t>
  </si>
  <si>
    <t>Taxus baccata</t>
  </si>
  <si>
    <t>YEW</t>
  </si>
  <si>
    <t>Common alder</t>
  </si>
  <si>
    <t>Alnus glutinosa</t>
  </si>
  <si>
    <t>CAR</t>
  </si>
  <si>
    <t>Silver birch</t>
  </si>
  <si>
    <t>Betula pendula</t>
  </si>
  <si>
    <t>SBI</t>
  </si>
  <si>
    <t>Downy birch</t>
  </si>
  <si>
    <t>Betula pubescens</t>
  </si>
  <si>
    <t>DBI</t>
  </si>
  <si>
    <t>Non-Native Conifer Species List</t>
  </si>
  <si>
    <t>Hornbeam</t>
  </si>
  <si>
    <t>Carpinus betulus</t>
  </si>
  <si>
    <t>HBM</t>
  </si>
  <si>
    <t>Hazel</t>
  </si>
  <si>
    <t>Corylus avellana</t>
  </si>
  <si>
    <t>HAZ</t>
  </si>
  <si>
    <t>Mixed conifers</t>
  </si>
  <si>
    <t>MC</t>
  </si>
  <si>
    <t>Midland hawthorn</t>
  </si>
  <si>
    <t>Crataegus laevigata</t>
  </si>
  <si>
    <t>MDH</t>
  </si>
  <si>
    <t>Other conifers</t>
  </si>
  <si>
    <t>XC</t>
  </si>
  <si>
    <t xml:space="preserve">Hawthorn </t>
  </si>
  <si>
    <t>Crataegus monogyna</t>
  </si>
  <si>
    <t>HAW</t>
  </si>
  <si>
    <t>European Silver fir</t>
  </si>
  <si>
    <t>Abies alba</t>
  </si>
  <si>
    <t>ESF</t>
  </si>
  <si>
    <t>Beech</t>
  </si>
  <si>
    <t>Fagus sylvatica</t>
  </si>
  <si>
    <t>Red (Pacific Silver) fir</t>
  </si>
  <si>
    <t>Abies amabilis</t>
  </si>
  <si>
    <t>PSF</t>
  </si>
  <si>
    <t xml:space="preserve">Holly </t>
  </si>
  <si>
    <t>Ilex aquifolium</t>
  </si>
  <si>
    <t>HOL</t>
  </si>
  <si>
    <t>Bornmullers fir</t>
  </si>
  <si>
    <t>Abies bornmuelleriana</t>
  </si>
  <si>
    <t>BMF</t>
  </si>
  <si>
    <t>Crab apple</t>
  </si>
  <si>
    <t>Malus sylvestris</t>
  </si>
  <si>
    <t>CAP</t>
  </si>
  <si>
    <t>Grecian fir</t>
  </si>
  <si>
    <t>Abies cephalonica</t>
  </si>
  <si>
    <t>GKF</t>
  </si>
  <si>
    <t>Native black poplar</t>
  </si>
  <si>
    <r>
      <t xml:space="preserve">Populus nigra </t>
    </r>
    <r>
      <rPr>
        <sz val="10"/>
        <color rgb="FFDA846B"/>
        <rFont val="Verdana"/>
        <family val="2"/>
      </rPr>
      <t>subsp.</t>
    </r>
    <r>
      <rPr>
        <i/>
        <sz val="10"/>
        <color rgb="FFDA846B"/>
        <rFont val="Verdana"/>
        <family val="2"/>
      </rPr>
      <t xml:space="preserve"> </t>
    </r>
    <r>
      <rPr>
        <i/>
        <sz val="10"/>
        <color rgb="FF000000"/>
        <rFont val="Verdana"/>
        <family val="2"/>
      </rPr>
      <t>betulifolia</t>
    </r>
  </si>
  <si>
    <t>NPO</t>
  </si>
  <si>
    <t>Grand fir</t>
  </si>
  <si>
    <t>Abies grandis</t>
  </si>
  <si>
    <t>GF</t>
  </si>
  <si>
    <t>Grey poplar</t>
  </si>
  <si>
    <t>Populus x canescens*</t>
  </si>
  <si>
    <t>GPO</t>
  </si>
  <si>
    <t>Nordmann fir</t>
  </si>
  <si>
    <t>Abies nordmanniana</t>
  </si>
  <si>
    <t>NMF</t>
  </si>
  <si>
    <t>Aspen</t>
  </si>
  <si>
    <t>Populus tremula</t>
  </si>
  <si>
    <t>ASP</t>
  </si>
  <si>
    <t>Noble fir</t>
  </si>
  <si>
    <t>Abies procera</t>
  </si>
  <si>
    <t>NF</t>
  </si>
  <si>
    <t>Wild cherry/gean</t>
  </si>
  <si>
    <t>Prunus avium</t>
  </si>
  <si>
    <t>WCH</t>
  </si>
  <si>
    <t>Other firs (Abies)</t>
  </si>
  <si>
    <r>
      <t>Abies</t>
    </r>
    <r>
      <rPr>
        <sz val="10"/>
        <color rgb="FF000000"/>
        <rFont val="Verdana"/>
        <family val="2"/>
      </rPr>
      <t xml:space="preserve"> spp.</t>
    </r>
  </si>
  <si>
    <t>XF</t>
  </si>
  <si>
    <t>Bird cherry</t>
  </si>
  <si>
    <t>Prunus padus</t>
  </si>
  <si>
    <t>BCH</t>
  </si>
  <si>
    <t>Atlas cedar</t>
  </si>
  <si>
    <t>Cedrus atlantica</t>
  </si>
  <si>
    <t>ACR</t>
  </si>
  <si>
    <t>Blackthorn</t>
  </si>
  <si>
    <t>Prunus spinosa</t>
  </si>
  <si>
    <t>SLO</t>
  </si>
  <si>
    <t>Cedar of Lebanon</t>
  </si>
  <si>
    <t>Cedrus libani</t>
  </si>
  <si>
    <t>LCR</t>
  </si>
  <si>
    <t xml:space="preserve">Pedunculate oak </t>
  </si>
  <si>
    <t>Quercus robur</t>
  </si>
  <si>
    <t>POK</t>
  </si>
  <si>
    <t>Other cedar</t>
  </si>
  <si>
    <r>
      <t xml:space="preserve">Cedrus </t>
    </r>
    <r>
      <rPr>
        <sz val="10"/>
        <color rgb="FF000000"/>
        <rFont val="Verdana"/>
        <family val="2"/>
      </rPr>
      <t>spp.</t>
    </r>
  </si>
  <si>
    <t>XCD</t>
  </si>
  <si>
    <t xml:space="preserve">Sessile oak </t>
  </si>
  <si>
    <t>Quercus petrea</t>
  </si>
  <si>
    <t>SOK</t>
  </si>
  <si>
    <t>Lawsons cypress</t>
  </si>
  <si>
    <t>Chamaecyparis lawsoniana</t>
  </si>
  <si>
    <t>LC</t>
  </si>
  <si>
    <t>Purging buckthorn</t>
  </si>
  <si>
    <t>Rhamnus cathartica</t>
  </si>
  <si>
    <t>PGB</t>
  </si>
  <si>
    <t>Japanese cedar</t>
  </si>
  <si>
    <t>Cryptomeria japonica</t>
  </si>
  <si>
    <t>JCR</t>
  </si>
  <si>
    <t>White willow</t>
  </si>
  <si>
    <t>Salix alba</t>
  </si>
  <si>
    <t>WWI</t>
  </si>
  <si>
    <t>Leyland cypress</t>
  </si>
  <si>
    <t>Cupressocyparis leylandii</t>
  </si>
  <si>
    <t>LEC</t>
  </si>
  <si>
    <t>Goat willow</t>
  </si>
  <si>
    <t>Salix caprea</t>
  </si>
  <si>
    <t>GOW</t>
  </si>
  <si>
    <t>Norway spruce</t>
  </si>
  <si>
    <t>Picea abies</t>
  </si>
  <si>
    <t>NS</t>
  </si>
  <si>
    <t>Grey willow</t>
  </si>
  <si>
    <t>Salix cinerea</t>
  </si>
  <si>
    <t>GRW</t>
  </si>
  <si>
    <t>Serbian spruce</t>
  </si>
  <si>
    <t>Picea omorika</t>
  </si>
  <si>
    <t>OMS</t>
  </si>
  <si>
    <t>Crack willow</t>
  </si>
  <si>
    <t>Salix fragilis</t>
  </si>
  <si>
    <t>CWI</t>
  </si>
  <si>
    <t>Oriental spruce</t>
  </si>
  <si>
    <t>Picea orientalis</t>
  </si>
  <si>
    <t>ORS</t>
  </si>
  <si>
    <t>Bay willow</t>
  </si>
  <si>
    <t>Salix pentandra</t>
  </si>
  <si>
    <t>BWI</t>
  </si>
  <si>
    <t>Sitka spruce</t>
  </si>
  <si>
    <t>Picea sitchensis</t>
  </si>
  <si>
    <t>SS</t>
  </si>
  <si>
    <t>Elder</t>
  </si>
  <si>
    <t>Sambucus nigra</t>
  </si>
  <si>
    <t>ELD</t>
  </si>
  <si>
    <t>Other spruces</t>
  </si>
  <si>
    <r>
      <t>Picea</t>
    </r>
    <r>
      <rPr>
        <sz val="10"/>
        <color rgb="FF000000"/>
        <rFont val="Verdana"/>
        <family val="2"/>
      </rPr>
      <t xml:space="preserve"> spp.</t>
    </r>
  </si>
  <si>
    <t>XS</t>
  </si>
  <si>
    <t>Rowan</t>
  </si>
  <si>
    <t>Sorbus aucuparia</t>
  </si>
  <si>
    <t>ROW</t>
  </si>
  <si>
    <t>Armand's pine</t>
  </si>
  <si>
    <t>Pinus armandii</t>
  </si>
  <si>
    <t>PAR</t>
  </si>
  <si>
    <t>Whitebeam</t>
  </si>
  <si>
    <t>Sorbus aria</t>
  </si>
  <si>
    <t>WBM</t>
  </si>
  <si>
    <t>Mexican white pine</t>
  </si>
  <si>
    <t>Pinus ayacahuite</t>
  </si>
  <si>
    <t>PAY</t>
  </si>
  <si>
    <t>Wild service tree</t>
  </si>
  <si>
    <t>Sorbus torminalis</t>
  </si>
  <si>
    <t>WST</t>
  </si>
  <si>
    <t>Calabrian pine</t>
  </si>
  <si>
    <t>Pinus brutia</t>
  </si>
  <si>
    <t>PBR</t>
  </si>
  <si>
    <t>Small-leaved lime</t>
  </si>
  <si>
    <t>Tilia cordata</t>
  </si>
  <si>
    <t>SLI</t>
  </si>
  <si>
    <t>Lodgepole pine</t>
  </si>
  <si>
    <t>Pinus contorta</t>
  </si>
  <si>
    <t>LP</t>
  </si>
  <si>
    <t>Common lime</t>
  </si>
  <si>
    <t>Tilia europaea</t>
  </si>
  <si>
    <t>CLI</t>
  </si>
  <si>
    <t>Slash pine</t>
  </si>
  <si>
    <t>Pinus ellottii</t>
  </si>
  <si>
    <t>PEL</t>
  </si>
  <si>
    <t>Large-leaved lime</t>
  </si>
  <si>
    <t>Tilia platyphyllos</t>
  </si>
  <si>
    <t>LLI</t>
  </si>
  <si>
    <t>Korean pine</t>
  </si>
  <si>
    <t>Pinus koreana</t>
  </si>
  <si>
    <t>PKO</t>
  </si>
  <si>
    <t>Wych elm</t>
  </si>
  <si>
    <t>Ulmus glabra</t>
  </si>
  <si>
    <t>WEM</t>
  </si>
  <si>
    <t>Western white pine</t>
  </si>
  <si>
    <t>Pinus monticola</t>
  </si>
  <si>
    <t>PMO</t>
  </si>
  <si>
    <t>Small-leaved elm</t>
  </si>
  <si>
    <t>Ulmus minor</t>
  </si>
  <si>
    <t>PEM</t>
  </si>
  <si>
    <t>Bishop pine</t>
  </si>
  <si>
    <t>Pinus muricata</t>
  </si>
  <si>
    <t>BIP</t>
  </si>
  <si>
    <t>English elm</t>
  </si>
  <si>
    <t>Ulmus procera</t>
  </si>
  <si>
    <t>EEM</t>
  </si>
  <si>
    <t>Corsican pine</t>
  </si>
  <si>
    <t>Pinus nigra var maritima</t>
  </si>
  <si>
    <t>CP</t>
  </si>
  <si>
    <t>Austrian pine</t>
  </si>
  <si>
    <t>Pinus nigra var nigra</t>
  </si>
  <si>
    <t>AUP</t>
  </si>
  <si>
    <t>Macedonian pine</t>
  </si>
  <si>
    <t>Pinus peuce</t>
  </si>
  <si>
    <t>MCP</t>
  </si>
  <si>
    <t>Non-Native Broadleaf Species List</t>
  </si>
  <si>
    <t>Maritime pine</t>
  </si>
  <si>
    <t>Pinus pinaster</t>
  </si>
  <si>
    <t>MAP</t>
  </si>
  <si>
    <t>Ponderosa pine</t>
  </si>
  <si>
    <t>Pinus ponderosa</t>
  </si>
  <si>
    <t>PDP</t>
  </si>
  <si>
    <t>Mixed non-native broadleaves</t>
  </si>
  <si>
    <t>MB</t>
  </si>
  <si>
    <t>Monterey pine</t>
  </si>
  <si>
    <t>Pinus radiata</t>
  </si>
  <si>
    <t>RAP</t>
  </si>
  <si>
    <t>Other non-native broadleaves</t>
  </si>
  <si>
    <t>XB</t>
  </si>
  <si>
    <t>Other pines</t>
  </si>
  <si>
    <r>
      <t xml:space="preserve">Pinus </t>
    </r>
    <r>
      <rPr>
        <sz val="10"/>
        <color rgb="FF000000"/>
        <rFont val="Verdana"/>
        <family val="2"/>
      </rPr>
      <t>spp</t>
    </r>
    <r>
      <rPr>
        <i/>
        <sz val="10"/>
        <color rgb="FF000000"/>
        <rFont val="Verdana"/>
        <family val="2"/>
      </rPr>
      <t>.</t>
    </r>
  </si>
  <si>
    <t>XP</t>
  </si>
  <si>
    <t>Big-leaf maple</t>
  </si>
  <si>
    <t>Acer macrophyllum</t>
  </si>
  <si>
    <t>BLM</t>
  </si>
  <si>
    <t>Weymouth pine</t>
  </si>
  <si>
    <t>Pinus strobus</t>
  </si>
  <si>
    <t>WEP</t>
  </si>
  <si>
    <t>Norway maple</t>
  </si>
  <si>
    <t>Acer platanoides</t>
  </si>
  <si>
    <t>NOM</t>
  </si>
  <si>
    <t>Loblolly pine</t>
  </si>
  <si>
    <t>Pinus taeda</t>
  </si>
  <si>
    <t>LOP</t>
  </si>
  <si>
    <t>Silver maple</t>
  </si>
  <si>
    <t>Acer saccharinum</t>
  </si>
  <si>
    <t>ASA</t>
  </si>
  <si>
    <t>Mountain pine</t>
  </si>
  <si>
    <t>Pinus uncinata</t>
  </si>
  <si>
    <t>MOP</t>
  </si>
  <si>
    <t>Italian alder</t>
  </si>
  <si>
    <t>Alnus cordata</t>
  </si>
  <si>
    <t>IAR</t>
  </si>
  <si>
    <t>Bhutan pine</t>
  </si>
  <si>
    <t>Pinus wallichiana</t>
  </si>
  <si>
    <t>PWA</t>
  </si>
  <si>
    <t>Grey alder</t>
  </si>
  <si>
    <t>Alnus incana</t>
  </si>
  <si>
    <t>GAR</t>
  </si>
  <si>
    <t>Yunnan pine</t>
  </si>
  <si>
    <t>Pinus yunnanensis</t>
  </si>
  <si>
    <t>PYU</t>
  </si>
  <si>
    <t>Red alder</t>
  </si>
  <si>
    <t>Alnus rubra</t>
  </si>
  <si>
    <t>RAR</t>
  </si>
  <si>
    <t>Douglas fir</t>
  </si>
  <si>
    <t>Pseudotsuga menziesii</t>
  </si>
  <si>
    <t>DF</t>
  </si>
  <si>
    <t>Green alder</t>
  </si>
  <si>
    <t>Alnus viridis</t>
  </si>
  <si>
    <t>VAR</t>
  </si>
  <si>
    <t>Coast redwood</t>
  </si>
  <si>
    <t>Sequoia sempervirens</t>
  </si>
  <si>
    <t>RSQ</t>
  </si>
  <si>
    <t>Paper birch</t>
  </si>
  <si>
    <t>Betula papyrifera</t>
  </si>
  <si>
    <t>PBI</t>
  </si>
  <si>
    <t>Wellingtonia</t>
  </si>
  <si>
    <t>Sequoiadendron giganteum</t>
  </si>
  <si>
    <t>WSQ</t>
  </si>
  <si>
    <t>Other birches</t>
  </si>
  <si>
    <r>
      <t xml:space="preserve">Betula </t>
    </r>
    <r>
      <rPr>
        <sz val="10"/>
        <color rgb="FF000000"/>
        <rFont val="Verdana"/>
        <family val="2"/>
      </rPr>
      <t>spp.</t>
    </r>
  </si>
  <si>
    <t>XBI</t>
  </si>
  <si>
    <t>Western red cedar</t>
  </si>
  <si>
    <t>Thuja plicata</t>
  </si>
  <si>
    <t>WRC</t>
  </si>
  <si>
    <t>Shagbark hickory</t>
  </si>
  <si>
    <t>Carya ovata</t>
  </si>
  <si>
    <t>COV</t>
  </si>
  <si>
    <t>Western hemlock</t>
  </si>
  <si>
    <t>Tsuga heterophylla</t>
  </si>
  <si>
    <t>WH</t>
  </si>
  <si>
    <t>Cider gum</t>
  </si>
  <si>
    <t>Eucalyptus gunnii</t>
  </si>
  <si>
    <t>CDE</t>
  </si>
  <si>
    <t>Shining gum</t>
  </si>
  <si>
    <t>Eucalyptus nitens</t>
  </si>
  <si>
    <t>SHE</t>
  </si>
  <si>
    <t>Other Eucalyptus</t>
  </si>
  <si>
    <r>
      <t xml:space="preserve">Eucalyptus </t>
    </r>
    <r>
      <rPr>
        <sz val="10"/>
        <color rgb="FF000000"/>
        <rFont val="Verdana"/>
        <family val="2"/>
      </rPr>
      <t>spp.</t>
    </r>
  </si>
  <si>
    <t>EUC</t>
  </si>
  <si>
    <t>Naturalised Conifer Species List</t>
  </si>
  <si>
    <t>Oriental beech</t>
  </si>
  <si>
    <t>Fagus orientalis</t>
  </si>
  <si>
    <t>FOR</t>
  </si>
  <si>
    <t>White ash</t>
  </si>
  <si>
    <t>Fraxinus americana</t>
  </si>
  <si>
    <t>WAH</t>
  </si>
  <si>
    <t>Scots pine</t>
  </si>
  <si>
    <t>Pinus sylvestris</t>
  </si>
  <si>
    <t>SP</t>
  </si>
  <si>
    <t>Narrow-leafed ash</t>
  </si>
  <si>
    <t>Fraxinus angustifolia</t>
  </si>
  <si>
    <t>NAH</t>
  </si>
  <si>
    <t>Red ash</t>
  </si>
  <si>
    <t>Fraxinus pennsylvanica</t>
  </si>
  <si>
    <t>FPE</t>
  </si>
  <si>
    <t>Black walnut</t>
  </si>
  <si>
    <t>Juglans nigra</t>
  </si>
  <si>
    <t>BWA</t>
  </si>
  <si>
    <t>Native Woody Shrubs List</t>
  </si>
  <si>
    <t>Other walnut</t>
  </si>
  <si>
    <r>
      <t xml:space="preserve">Juglans </t>
    </r>
    <r>
      <rPr>
        <sz val="10"/>
        <color rgb="FF000000"/>
        <rFont val="Verdana"/>
        <family val="2"/>
      </rPr>
      <t>spp.</t>
    </r>
  </si>
  <si>
    <t>XWA</t>
  </si>
  <si>
    <t>Tulip tree</t>
  </si>
  <si>
    <t>Liriodendron tulipifera</t>
  </si>
  <si>
    <t>TUL</t>
  </si>
  <si>
    <t>Other native woody shrubs</t>
  </si>
  <si>
    <t>WSH</t>
  </si>
  <si>
    <t>Raoul/Rauli</t>
  </si>
  <si>
    <t>Nothofagus alpina</t>
  </si>
  <si>
    <t>RAN</t>
  </si>
  <si>
    <t>Box</t>
  </si>
  <si>
    <r>
      <t xml:space="preserve">Buxus </t>
    </r>
    <r>
      <rPr>
        <sz val="10"/>
        <color rgb="FF000000"/>
        <rFont val="Verdana"/>
        <family val="2"/>
      </rPr>
      <t>spp.</t>
    </r>
  </si>
  <si>
    <t>BOX</t>
  </si>
  <si>
    <t>Roble</t>
  </si>
  <si>
    <t>Nothofagus obliqua</t>
  </si>
  <si>
    <t>RON</t>
  </si>
  <si>
    <t>Dogwood</t>
  </si>
  <si>
    <r>
      <t xml:space="preserve">Cornus </t>
    </r>
    <r>
      <rPr>
        <sz val="10"/>
        <color rgb="FF000000"/>
        <rFont val="Verdana"/>
        <family val="2"/>
      </rPr>
      <t>spp.</t>
    </r>
  </si>
  <si>
    <t>DOG</t>
  </si>
  <si>
    <t>Lenga</t>
  </si>
  <si>
    <t>Nothofagus pumilio</t>
  </si>
  <si>
    <t>LEN</t>
  </si>
  <si>
    <t>Spurge laurel</t>
  </si>
  <si>
    <t>Daphne laureola</t>
  </si>
  <si>
    <t>SGL</t>
  </si>
  <si>
    <t>Other Nothofagus</t>
  </si>
  <si>
    <r>
      <t>Nothofagus</t>
    </r>
    <r>
      <rPr>
        <sz val="10"/>
        <color rgb="FF000000"/>
        <rFont val="Verdana"/>
        <family val="2"/>
      </rPr>
      <t xml:space="preserve"> spp.</t>
    </r>
  </si>
  <si>
    <t>XNO</t>
  </si>
  <si>
    <t>Spindle</t>
  </si>
  <si>
    <t>Euonymus europaeus</t>
  </si>
  <si>
    <t>SPI</t>
  </si>
  <si>
    <t>London plane</t>
  </si>
  <si>
    <t>Platanus x acerifolia*</t>
  </si>
  <si>
    <t>LPL</t>
  </si>
  <si>
    <t>Wild privet</t>
  </si>
  <si>
    <t>Ligustrum vulgare</t>
  </si>
  <si>
    <t>WPI</t>
  </si>
  <si>
    <t>Plane spp</t>
  </si>
  <si>
    <r>
      <t xml:space="preserve">Platanus </t>
    </r>
    <r>
      <rPr>
        <sz val="10"/>
        <color rgb="FF000000"/>
        <rFont val="Verdana"/>
        <family val="2"/>
      </rPr>
      <t>spp.</t>
    </r>
  </si>
  <si>
    <t>XPL</t>
  </si>
  <si>
    <t>Eared willow</t>
  </si>
  <si>
    <t>Salix aurita</t>
  </si>
  <si>
    <t>EAW</t>
  </si>
  <si>
    <t>White poplar</t>
  </si>
  <si>
    <t>Populus alba</t>
  </si>
  <si>
    <t>APO</t>
  </si>
  <si>
    <t>Purple willow</t>
  </si>
  <si>
    <t>Salix purpurea</t>
  </si>
  <si>
    <t>PUW</t>
  </si>
  <si>
    <t>Hybrid poplar</t>
  </si>
  <si>
    <t>Populus serotina/trichocarpa</t>
  </si>
  <si>
    <t>WPO</t>
  </si>
  <si>
    <t>Almond willow</t>
  </si>
  <si>
    <t>Salix triandra</t>
  </si>
  <si>
    <t>ALW</t>
  </si>
  <si>
    <t>Other poplar spp</t>
  </si>
  <si>
    <r>
      <t xml:space="preserve">Populus </t>
    </r>
    <r>
      <rPr>
        <sz val="10"/>
        <color rgb="FF000000"/>
        <rFont val="Verdana"/>
        <family val="2"/>
      </rPr>
      <t>spp.</t>
    </r>
  </si>
  <si>
    <t>XPO</t>
  </si>
  <si>
    <t>Osier</t>
  </si>
  <si>
    <t>Salix viminalis</t>
  </si>
  <si>
    <t>OS</t>
  </si>
  <si>
    <t>White oak</t>
  </si>
  <si>
    <t>Quercus alba</t>
  </si>
  <si>
    <t>WOK</t>
  </si>
  <si>
    <t>Wayfaring tree</t>
  </si>
  <si>
    <t>Viburnum lantana</t>
  </si>
  <si>
    <t>WAY</t>
  </si>
  <si>
    <t>Red oak</t>
  </si>
  <si>
    <t>Quercus rubra</t>
  </si>
  <si>
    <t>ROK</t>
  </si>
  <si>
    <t xml:space="preserve">Guelder rose </t>
  </si>
  <si>
    <t>Viburnum opulus</t>
  </si>
  <si>
    <t>GDR</t>
  </si>
  <si>
    <t>Hungarian oak</t>
  </si>
  <si>
    <t>Quercus frainetto</t>
  </si>
  <si>
    <t>QFR</t>
  </si>
  <si>
    <t>Downy oak</t>
  </si>
  <si>
    <t>Quercus pubescens</t>
  </si>
  <si>
    <t>QPU</t>
  </si>
  <si>
    <t>Pyrenean oak</t>
  </si>
  <si>
    <t>Quercus pyrenaica</t>
  </si>
  <si>
    <t>QPY</t>
  </si>
  <si>
    <t>Other oak</t>
  </si>
  <si>
    <r>
      <t>Quercus</t>
    </r>
    <r>
      <rPr>
        <sz val="10"/>
        <color rgb="FF000000"/>
        <rFont val="Verdana"/>
        <family val="2"/>
      </rPr>
      <t xml:space="preserve"> spp.</t>
    </r>
  </si>
  <si>
    <t>XOK</t>
  </si>
  <si>
    <t>Other willows</t>
  </si>
  <si>
    <r>
      <t xml:space="preserve">Salix </t>
    </r>
    <r>
      <rPr>
        <sz val="10"/>
        <color rgb="FF000000"/>
        <rFont val="Verdana"/>
        <family val="2"/>
      </rPr>
      <t>spp.</t>
    </r>
  </si>
  <si>
    <t>XWL</t>
  </si>
  <si>
    <t>Smooth-leaved elm</t>
  </si>
  <si>
    <t>Ulmus carpinifolia</t>
  </si>
  <si>
    <t>SEM</t>
  </si>
  <si>
    <t>Total Broadleaf</t>
  </si>
  <si>
    <t>Naturalised Broadleaf Species List</t>
  </si>
  <si>
    <t xml:space="preserve">      Native</t>
  </si>
  <si>
    <t xml:space="preserve">      Non-native</t>
  </si>
  <si>
    <t>Sycamore</t>
  </si>
  <si>
    <t>Acer pseudoplatanus</t>
  </si>
  <si>
    <t>SY</t>
  </si>
  <si>
    <t xml:space="preserve">      Naturalised</t>
  </si>
  <si>
    <t>Horse chestnut</t>
  </si>
  <si>
    <t>Aesculus hippocastanum</t>
  </si>
  <si>
    <t>HCH</t>
  </si>
  <si>
    <t>Total Conifer</t>
  </si>
  <si>
    <t>Sweet chestnut</t>
  </si>
  <si>
    <t>Castanea sativa</t>
  </si>
  <si>
    <t>SC</t>
  </si>
  <si>
    <t>Common walnut</t>
  </si>
  <si>
    <t>Juglans regia</t>
  </si>
  <si>
    <t>CWA</t>
  </si>
  <si>
    <t>Wild pear</t>
  </si>
  <si>
    <t>Pyrus communis</t>
  </si>
  <si>
    <t>WDP</t>
  </si>
  <si>
    <t>Wild plum</t>
  </si>
  <si>
    <t>Prunus domestica</t>
  </si>
  <si>
    <t>WPE</t>
  </si>
  <si>
    <t>Total Native Woody Shrubs</t>
  </si>
  <si>
    <t>Turkey oak</t>
  </si>
  <si>
    <t>Quercus cerris</t>
  </si>
  <si>
    <t>TOK</t>
  </si>
  <si>
    <t>Holm oak</t>
  </si>
  <si>
    <t>Quercus ilex</t>
  </si>
  <si>
    <t>HOK</t>
  </si>
  <si>
    <t>* Hybridised</t>
  </si>
  <si>
    <t>Constraints, Consultations, Licences and Permissions</t>
  </si>
  <si>
    <r>
      <rPr>
        <b/>
        <sz val="11"/>
        <color theme="1"/>
        <rFont val="Verdana"/>
        <family val="2"/>
      </rPr>
      <t>To be completed by the Woodland Creation Officer</t>
    </r>
    <r>
      <rPr>
        <sz val="11"/>
        <color theme="1"/>
        <rFont val="Verdana"/>
        <family val="2"/>
      </rPr>
      <t xml:space="preserve"> (or Technical Support Officer / Woodland Officer at Field Manager discretion).
The person who undertakes these checks/tasks is responsible for uploading the documentation to the Case in GMS as specified. All documents must display the application SBI (if supplied).</t>
    </r>
  </si>
  <si>
    <t>Guidance/Notes</t>
  </si>
  <si>
    <t>Consultation was carried out as part of a prior EIA decision or grant application for this proposal and does not need to be repeated (nothing material has changed).</t>
  </si>
  <si>
    <t>Consult Action Note 136  https://roots.govintra.net/task/action-notes/</t>
  </si>
  <si>
    <t>N/A</t>
  </si>
  <si>
    <t>Type of Engagement</t>
  </si>
  <si>
    <t>Consultation</t>
  </si>
  <si>
    <t>Relevant Organisation</t>
  </si>
  <si>
    <t>If 'other'</t>
  </si>
  <si>
    <t>Land Sensitivity</t>
  </si>
  <si>
    <r>
      <rPr>
        <b/>
        <sz val="11"/>
        <color theme="1"/>
        <rFont val="Verdana"/>
        <family val="2"/>
      </rPr>
      <t xml:space="preserve">Who?
</t>
    </r>
    <r>
      <rPr>
        <i/>
        <sz val="11"/>
        <color theme="1"/>
        <rFont val="Verdana"/>
        <family val="2"/>
      </rPr>
      <t>Name &amp; email of contact</t>
    </r>
  </si>
  <si>
    <t>Date Requested</t>
  </si>
  <si>
    <t>Date Received</t>
  </si>
  <si>
    <t>Consent/ Licence expiry date</t>
  </si>
  <si>
    <t>WCO/Adviser name</t>
  </si>
  <si>
    <r>
      <rPr>
        <b/>
        <sz val="11"/>
        <color theme="1"/>
        <rFont val="Verdana"/>
        <family val="2"/>
      </rPr>
      <t>Response passes validation</t>
    </r>
    <r>
      <rPr>
        <sz val="11"/>
        <color theme="1"/>
        <rFont val="Verdana"/>
        <family val="2"/>
      </rPr>
      <t>?</t>
    </r>
  </si>
  <si>
    <t>Comments / Evidence / Reference Number</t>
  </si>
  <si>
    <t xml:space="preserve">Yes </t>
  </si>
  <si>
    <t>No</t>
  </si>
  <si>
    <t>Pass</t>
  </si>
  <si>
    <t>Consultation Public Register</t>
  </si>
  <si>
    <t>Confirm Consultation is completed</t>
  </si>
  <si>
    <t>Published Date</t>
  </si>
  <si>
    <t>End Date</t>
  </si>
  <si>
    <t>Comments
(if relevant)</t>
  </si>
  <si>
    <t>Site details</t>
  </si>
  <si>
    <t>Applicant details</t>
  </si>
  <si>
    <t>Stage 1 tabs</t>
  </si>
  <si>
    <t>Tree species</t>
  </si>
  <si>
    <t>Lesser-known species flag</t>
  </si>
  <si>
    <t>Reason for Consultation</t>
  </si>
  <si>
    <t>Statutory Body</t>
  </si>
  <si>
    <t>Proposed woodland composition</t>
  </si>
  <si>
    <t>Is any of the land designated?:</t>
  </si>
  <si>
    <t>Current occupation of the land:</t>
  </si>
  <si>
    <t>Your Management Control of the land:</t>
  </si>
  <si>
    <t>Preferred method of communication:</t>
  </si>
  <si>
    <t>Organisation type:</t>
  </si>
  <si>
    <t>Authorised Agent:</t>
  </si>
  <si>
    <t>Agent communication preferences</t>
  </si>
  <si>
    <t>Soil Type</t>
  </si>
  <si>
    <t>Agricultural land classification - provisional (England).</t>
  </si>
  <si>
    <t>Phytophthora ramorum risk zones</t>
  </si>
  <si>
    <t>Native Broadleaf</t>
  </si>
  <si>
    <t>Environment Agency (EA) Consultation</t>
  </si>
  <si>
    <t>Environment Agency</t>
  </si>
  <si>
    <t>Statutory Consultation</t>
  </si>
  <si>
    <t>Predominantly native trees</t>
  </si>
  <si>
    <t>Is any of the land currently subject to a grant agreement:</t>
  </si>
  <si>
    <t>Owner/occupier</t>
  </si>
  <si>
    <t>I have full management control over the land</t>
  </si>
  <si>
    <t>Confirmed</t>
  </si>
  <si>
    <t>Email</t>
  </si>
  <si>
    <t>Private landowner</t>
  </si>
  <si>
    <t>Copy lead applicant</t>
  </si>
  <si>
    <t>Flag in summary</t>
  </si>
  <si>
    <t>Saltmarsh soils</t>
  </si>
  <si>
    <t>Grade 1</t>
  </si>
  <si>
    <t>Zone 1</t>
  </si>
  <si>
    <t>European protected species (EPS)</t>
  </si>
  <si>
    <t>Natural England</t>
  </si>
  <si>
    <t>Mandatory Consultation</t>
  </si>
  <si>
    <t>Predominantly non-native trees</t>
  </si>
  <si>
    <t>Tenant</t>
  </si>
  <si>
    <t>I have signed consent from all parties with management control over the land</t>
  </si>
  <si>
    <t>Not confirmed</t>
  </si>
  <si>
    <t>Post</t>
  </si>
  <si>
    <t>Private landowners in partnership</t>
  </si>
  <si>
    <t>Agent only</t>
  </si>
  <si>
    <t>Not applicable</t>
  </si>
  <si>
    <t>Shallow very acid peaty soils over rock</t>
  </si>
  <si>
    <t>Grade 2</t>
  </si>
  <si>
    <t>Zone 2</t>
  </si>
  <si>
    <t>Habitat Regs Assessment</t>
  </si>
  <si>
    <t>Seeking Advice</t>
  </si>
  <si>
    <t>Predominantly non-native tree species not modelled in 
the Ecological Site Classification decision support system (ESC)</t>
  </si>
  <si>
    <t>Landlord</t>
  </si>
  <si>
    <t>I am a tenant with signed consent from the landowner</t>
  </si>
  <si>
    <t>Phone</t>
  </si>
  <si>
    <t>Agent Authority Form:</t>
  </si>
  <si>
    <t>No concern</t>
  </si>
  <si>
    <t>Shallow lime rich soils over chalk or limestone</t>
  </si>
  <si>
    <t>Grade 3</t>
  </si>
  <si>
    <t>Zone 3</t>
  </si>
  <si>
    <t>Local Archaeologist</t>
  </si>
  <si>
    <t>County Archaelogist / Local Historic Environment Service</t>
  </si>
  <si>
    <t>Licensor</t>
  </si>
  <si>
    <t>Local authority</t>
  </si>
  <si>
    <t>A Forestry Commission Agent Authority Form (v4.0 or later) is already in place between the named lead applicant and agent</t>
  </si>
  <si>
    <t>Sand dune soils</t>
  </si>
  <si>
    <t>Grade 4</t>
  </si>
  <si>
    <t>National Landscape (formerly Area of Outstanding Natural Beauty, AONB)</t>
  </si>
  <si>
    <t>National Landscape</t>
  </si>
  <si>
    <t>Other (please detail)</t>
  </si>
  <si>
    <t>Public body in partnership with a private body</t>
  </si>
  <si>
    <t>A Forestry Commission Agent Authority Form is enclosed with this application</t>
  </si>
  <si>
    <t>Freely draining lime rich loamy soils</t>
  </si>
  <si>
    <t>Grade 5</t>
  </si>
  <si>
    <t>National Nature Reserve (NNR)</t>
  </si>
  <si>
    <t>Other public body</t>
  </si>
  <si>
    <t>Freely draining slightly acid loamy soils</t>
  </si>
  <si>
    <t>Non Agricultural</t>
  </si>
  <si>
    <t xml:space="preserve">National Park (NP) </t>
  </si>
  <si>
    <t>National Park</t>
  </si>
  <si>
    <t>Local authority in partnership with a private body</t>
  </si>
  <si>
    <t>Freely draining slightly acid but base rich soils</t>
  </si>
  <si>
    <t>Scheduled Monument (SM)</t>
  </si>
  <si>
    <t>Historic England</t>
  </si>
  <si>
    <t>Charity</t>
  </si>
  <si>
    <t>Slightly acid loamy and clayey soils with impeded drainage</t>
  </si>
  <si>
    <t>Site of Special Scientific Interest (SSSI) Consultation</t>
  </si>
  <si>
    <t>Charitable company</t>
  </si>
  <si>
    <t>Lime rich loamy and clayey soils with impeded drainage</t>
  </si>
  <si>
    <t>Special Area of Conservation (SAC)</t>
  </si>
  <si>
    <t>Consortium</t>
  </si>
  <si>
    <t>Freely draining slightly acid sandy soils</t>
  </si>
  <si>
    <t>Special Protection Area (SPA)</t>
  </si>
  <si>
    <t>University</t>
  </si>
  <si>
    <t>Freely draining sandy breckland soils</t>
  </si>
  <si>
    <t>Registered Parks and Gardens</t>
  </si>
  <si>
    <t>Historic England / The Gardens Trust</t>
  </si>
  <si>
    <t>NGO</t>
  </si>
  <si>
    <t>Freely draining floodplain soils</t>
  </si>
  <si>
    <t>Other, (Please specify as needed eg . commons or permissions required for recreational infrastructure)</t>
  </si>
  <si>
    <t>Freely draining acid loamy soils over rock</t>
  </si>
  <si>
    <t>World Heritage Site (UNESCO site)</t>
  </si>
  <si>
    <t>World Heritage Site (Eng) / Historic England / World Heritage Partnertships Board/Co-ordinator</t>
  </si>
  <si>
    <t>Freely draining very acid sandy and loamy soils</t>
  </si>
  <si>
    <t>Naturally wet very acid sandy and loamy soils</t>
  </si>
  <si>
    <t>Very acid loamy upland soils with a wet peaty surface</t>
  </si>
  <si>
    <t>Slowly permeable seasonally wet acid loamy and clayey soils</t>
  </si>
  <si>
    <t>Slowly permeable seasonally wet slightly acid but base rich loamy and clayey soils</t>
  </si>
  <si>
    <t>Coming up in the future</t>
  </si>
  <si>
    <t>Slowly permeable wet very acid upland soils with a peaty surface</t>
  </si>
  <si>
    <t>EIA Forestry</t>
  </si>
  <si>
    <t>Forestry Commission</t>
  </si>
  <si>
    <t>Loamy and clayey floodplain soils with naturally high groundwater</t>
  </si>
  <si>
    <t>Loamy and clayey soils of coastal flats with naturally high groundwater</t>
  </si>
  <si>
    <t>Loamy soils with naturally high groundwater</t>
  </si>
  <si>
    <t>Loamy and sandy soils with naturally high groundwater and a peaty surface</t>
  </si>
  <si>
    <t>Restored soils mostly from quarry and opencast spoil</t>
  </si>
  <si>
    <t>Blanket bog peat soils</t>
  </si>
  <si>
    <t>Raised bog peat soils</t>
  </si>
  <si>
    <t>Fen peat soils</t>
  </si>
  <si>
    <t>Sea</t>
  </si>
  <si>
    <t>UC</t>
  </si>
  <si>
    <t>Non-Native Broadleaf</t>
  </si>
  <si>
    <t>Naturalised Broadleaf</t>
  </si>
  <si>
    <t>Native Conifer</t>
  </si>
  <si>
    <t>Non-Native Conifer</t>
  </si>
  <si>
    <t>Naturalised Conifer</t>
  </si>
  <si>
    <t>Native Woody Shrub</t>
  </si>
  <si>
    <r>
      <t xml:space="preserve">Assessment - </t>
    </r>
    <r>
      <rPr>
        <i/>
        <sz val="12"/>
        <color theme="0"/>
        <rFont val="Verdana"/>
        <family val="2"/>
      </rPr>
      <t>for completion by FC staff</t>
    </r>
    <r>
      <rPr>
        <b/>
        <sz val="12"/>
        <color theme="0"/>
        <rFont val="Verdana"/>
        <family val="2"/>
      </rPr>
      <t xml:space="preserve">
</t>
    </r>
    <r>
      <rPr>
        <sz val="11"/>
        <color theme="0"/>
        <rFont val="Verdana"/>
        <family val="2"/>
      </rPr>
      <t>Note for applicants: This does not constitute a formal offer. You must sign and accept a formal offer before completing any Stage 2 or Supplementary Payment works.</t>
    </r>
  </si>
  <si>
    <t>The Initial Application checks basic eligibility criteria and objectives in relation to the proposal. You must return this form to us upon completion of the Initial Application for review. If your application is accepted, you will be offered a Stage 1 agreement and asked to complete Stage 1 of this form. You must sign and accept this agreement before starting Stage 1 work.</t>
  </si>
  <si>
    <t xml:space="preserve">Are there any other water features identified within, or which may be affected by your proposal?
</t>
  </si>
  <si>
    <r>
      <rPr>
        <b/>
        <sz val="10"/>
        <color theme="1"/>
        <rFont val="Verdana"/>
        <family val="2"/>
      </rPr>
      <t>Check MAGIC</t>
    </r>
    <r>
      <rPr>
        <sz val="10"/>
        <color theme="1"/>
        <rFont val="Verdana"/>
        <family val="2"/>
      </rPr>
      <t xml:space="preserve">
</t>
    </r>
    <r>
      <rPr>
        <i/>
        <sz val="10"/>
        <color theme="1"/>
        <rFont val="Verdana"/>
        <family val="2"/>
      </rPr>
      <t xml:space="preserve">Magic layer(s): Designations &gt; Habitats and Species &gt; Woodland &gt; Ancient Woodland (England) &amp; Priority Habitat Inventory - Deciduous Woodland (England)
</t>
    </r>
    <r>
      <rPr>
        <sz val="10"/>
        <color theme="1"/>
        <rFont val="Verdana"/>
        <family val="2"/>
      </rPr>
      <t xml:space="preserve">Define buffer to 1,000m to check for adjacent sites.
</t>
    </r>
  </si>
  <si>
    <t>Are there any constraints identified on your Local Nature Recovery Strategy (LNRS).</t>
  </si>
  <si>
    <r>
      <t xml:space="preserve">Central Grid Reference of your proposed woodland:
</t>
    </r>
    <r>
      <rPr>
        <i/>
        <sz val="10"/>
        <color theme="1"/>
        <rFont val="Verdana"/>
        <family val="2"/>
      </rPr>
      <t>(E.g. GR 123 456)</t>
    </r>
  </si>
  <si>
    <r>
      <t xml:space="preserve">Hazard / Threat type
</t>
    </r>
    <r>
      <rPr>
        <i/>
        <sz val="10"/>
        <rFont val="Verdana"/>
        <family val="2"/>
      </rPr>
      <t>I.e. pests, pollutants</t>
    </r>
    <r>
      <rPr>
        <sz val="10"/>
        <rFont val="Verdana"/>
        <family val="2"/>
      </rPr>
      <t>, exposure, environmental limiting factors</t>
    </r>
  </si>
  <si>
    <t>Local authorities</t>
  </si>
  <si>
    <t>Is there a risk of drought during the woodland establishment phase?</t>
  </si>
  <si>
    <t>Adur</t>
  </si>
  <si>
    <t>Amber Valley</t>
  </si>
  <si>
    <t>Arun</t>
  </si>
  <si>
    <t>Ashfield</t>
  </si>
  <si>
    <t>Ashford</t>
  </si>
  <si>
    <t>Babergh</t>
  </si>
  <si>
    <t>Barking and Dagenham</t>
  </si>
  <si>
    <t>Barnet</t>
  </si>
  <si>
    <t>Barnsley</t>
  </si>
  <si>
    <t>Basildon</t>
  </si>
  <si>
    <t>Basingstoke and Deane</t>
  </si>
  <si>
    <t>Bassetlaw</t>
  </si>
  <si>
    <t>Bath and North East Somerset</t>
  </si>
  <si>
    <t>Bedford</t>
  </si>
  <si>
    <t>Bexley</t>
  </si>
  <si>
    <t>Birmingham</t>
  </si>
  <si>
    <t>Blaby</t>
  </si>
  <si>
    <t>Blackburn with Darwen</t>
  </si>
  <si>
    <t>Blackpool</t>
  </si>
  <si>
    <t>Bolsover</t>
  </si>
  <si>
    <t>Bolton</t>
  </si>
  <si>
    <t>Boston</t>
  </si>
  <si>
    <t>Bournemouth, Christchurch and Poole</t>
  </si>
  <si>
    <t>Bracknell Forest</t>
  </si>
  <si>
    <t>Bradford</t>
  </si>
  <si>
    <t>Braintree</t>
  </si>
  <si>
    <t>Breckland</t>
  </si>
  <si>
    <t>Brent</t>
  </si>
  <si>
    <t>Brentwood</t>
  </si>
  <si>
    <t>Brighton and Hove</t>
  </si>
  <si>
    <t>Bristol, City of</t>
  </si>
  <si>
    <t>Broadland</t>
  </si>
  <si>
    <t>Bromley</t>
  </si>
  <si>
    <t>Bromsgrove</t>
  </si>
  <si>
    <t>Broxbourne</t>
  </si>
  <si>
    <t>Broxtowe</t>
  </si>
  <si>
    <t>Buckinghamshire</t>
  </si>
  <si>
    <t>Burnley</t>
  </si>
  <si>
    <t>Bury</t>
  </si>
  <si>
    <t>Calderdale</t>
  </si>
  <si>
    <t>Cambridge</t>
  </si>
  <si>
    <t>Camden</t>
  </si>
  <si>
    <t>Cannock Chase</t>
  </si>
  <si>
    <t>Canterbury</t>
  </si>
  <si>
    <t>Castle Point</t>
  </si>
  <si>
    <t>Central Bedfordshire</t>
  </si>
  <si>
    <t>Charnwood</t>
  </si>
  <si>
    <t>Chelmsford</t>
  </si>
  <si>
    <t>Cheltenham</t>
  </si>
  <si>
    <t>Cherwell</t>
  </si>
  <si>
    <t>Cheshire East</t>
  </si>
  <si>
    <t>Cheshire West and Chester</t>
  </si>
  <si>
    <t>Chesterfield</t>
  </si>
  <si>
    <t>Chichester</t>
  </si>
  <si>
    <t>Chorley</t>
  </si>
  <si>
    <t>City of London</t>
  </si>
  <si>
    <t>Colchester</t>
  </si>
  <si>
    <t>Cornwall</t>
  </si>
  <si>
    <t>Cotswold</t>
  </si>
  <si>
    <t>County Durham</t>
  </si>
  <si>
    <t>Coventry</t>
  </si>
  <si>
    <t>Crawley</t>
  </si>
  <si>
    <t>Croydon</t>
  </si>
  <si>
    <t>Cumberland</t>
  </si>
  <si>
    <t>Dacorum</t>
  </si>
  <si>
    <t>Darlington</t>
  </si>
  <si>
    <t>Dartford</t>
  </si>
  <si>
    <t>Derby</t>
  </si>
  <si>
    <t>Derbyshire Dales</t>
  </si>
  <si>
    <t>Doncaster</t>
  </si>
  <si>
    <t>Dorset</t>
  </si>
  <si>
    <t>Dover</t>
  </si>
  <si>
    <t>Dudley</t>
  </si>
  <si>
    <t>Ealing</t>
  </si>
  <si>
    <t>East Cambridgeshire</t>
  </si>
  <si>
    <t>East Devon</t>
  </si>
  <si>
    <t>East Hampshire</t>
  </si>
  <si>
    <t>East Hertfordshire</t>
  </si>
  <si>
    <t>East Lindsey</t>
  </si>
  <si>
    <t>East Riding of Yorkshire</t>
  </si>
  <si>
    <t>East Staffordshire</t>
  </si>
  <si>
    <t>East Suffolk</t>
  </si>
  <si>
    <t>Eastbourne</t>
  </si>
  <si>
    <t>Eastleigh</t>
  </si>
  <si>
    <t>Elmbridge</t>
  </si>
  <si>
    <t>Enfield</t>
  </si>
  <si>
    <t>Epping Forest</t>
  </si>
  <si>
    <t>Epsom and Ewell</t>
  </si>
  <si>
    <t>Erewash</t>
  </si>
  <si>
    <t>Exeter</t>
  </si>
  <si>
    <t>Fareham</t>
  </si>
  <si>
    <t>Fenland</t>
  </si>
  <si>
    <t>Folkestone and Hythe</t>
  </si>
  <si>
    <t>Forest of Dean</t>
  </si>
  <si>
    <t>Fylde</t>
  </si>
  <si>
    <t>Gateshead</t>
  </si>
  <si>
    <t>Gedling</t>
  </si>
  <si>
    <t>Gloucester</t>
  </si>
  <si>
    <t>Gosport</t>
  </si>
  <si>
    <t>Gravesham</t>
  </si>
  <si>
    <t>Great Yarmouth</t>
  </si>
  <si>
    <t>Greenwich</t>
  </si>
  <si>
    <t>Guildford</t>
  </si>
  <si>
    <t>Hackney</t>
  </si>
  <si>
    <t>Halton</t>
  </si>
  <si>
    <t>Hammersmith and Fulham</t>
  </si>
  <si>
    <t>Harborough</t>
  </si>
  <si>
    <t>Haringey</t>
  </si>
  <si>
    <t>Harlow</t>
  </si>
  <si>
    <t>Harrow</t>
  </si>
  <si>
    <t>Hart</t>
  </si>
  <si>
    <t>Hartlepool</t>
  </si>
  <si>
    <t>Hastings</t>
  </si>
  <si>
    <t>Havant</t>
  </si>
  <si>
    <t>Havering</t>
  </si>
  <si>
    <t>Herefordshire, County of</t>
  </si>
  <si>
    <t>Hertsmere</t>
  </si>
  <si>
    <t>High Peak</t>
  </si>
  <si>
    <t>Hillingdon</t>
  </si>
  <si>
    <t>Hinckley and Bosworth</t>
  </si>
  <si>
    <t>Horsham</t>
  </si>
  <si>
    <t>Hounslow</t>
  </si>
  <si>
    <t>Huntingdonshire</t>
  </si>
  <si>
    <t>Hyndburn</t>
  </si>
  <si>
    <t>Ipswich</t>
  </si>
  <si>
    <t>Isle of Wight</t>
  </si>
  <si>
    <t>Isles of Scilly</t>
  </si>
  <si>
    <t>Islington</t>
  </si>
  <si>
    <t>Kensington and Chelsea</t>
  </si>
  <si>
    <t>King's Lynn and West Norfolk</t>
  </si>
  <si>
    <t>Kingston upon Hull, City of</t>
  </si>
  <si>
    <t>Kingston upon Thames</t>
  </si>
  <si>
    <t>Kirklees</t>
  </si>
  <si>
    <t>Knowsley</t>
  </si>
  <si>
    <t>Lambeth</t>
  </si>
  <si>
    <t>Lancaster</t>
  </si>
  <si>
    <t>Leeds</t>
  </si>
  <si>
    <t>Leicester</t>
  </si>
  <si>
    <t>Lewes</t>
  </si>
  <si>
    <t>Lewisham</t>
  </si>
  <si>
    <t>Lichfield</t>
  </si>
  <si>
    <t>Lincoln</t>
  </si>
  <si>
    <t>Liverpool</t>
  </si>
  <si>
    <t>Luton</t>
  </si>
  <si>
    <t>Maidstone</t>
  </si>
  <si>
    <t>Maldon</t>
  </si>
  <si>
    <t>Malvern Hills</t>
  </si>
  <si>
    <t>Manchester</t>
  </si>
  <si>
    <t>Mansfield</t>
  </si>
  <si>
    <t>Medway</t>
  </si>
  <si>
    <t>Melton</t>
  </si>
  <si>
    <t>Merton</t>
  </si>
  <si>
    <t>Mid Devon</t>
  </si>
  <si>
    <t>Mid Suffolk</t>
  </si>
  <si>
    <t>Mid Sussex</t>
  </si>
  <si>
    <t>Middlesbrough</t>
  </si>
  <si>
    <t>Milton Keynes</t>
  </si>
  <si>
    <t>Mole Valley</t>
  </si>
  <si>
    <t>New Forest</t>
  </si>
  <si>
    <t>Newark and Sherwood</t>
  </si>
  <si>
    <t>Newcastle upon Tyne</t>
  </si>
  <si>
    <t>Newcastle-under-Lyme</t>
  </si>
  <si>
    <t>Newham</t>
  </si>
  <si>
    <t>North Devon</t>
  </si>
  <si>
    <t>North East Derbyshire</t>
  </si>
  <si>
    <t>North East Lincolnshire</t>
  </si>
  <si>
    <t>North Hertfordshire</t>
  </si>
  <si>
    <t>North Kesteven</t>
  </si>
  <si>
    <t>North Lincolnshire</t>
  </si>
  <si>
    <t>North Norfolk</t>
  </si>
  <si>
    <t>North Northamptonshire</t>
  </si>
  <si>
    <t>North Somerset</t>
  </si>
  <si>
    <t>North Tyneside</t>
  </si>
  <si>
    <t>North Warwickshire</t>
  </si>
  <si>
    <t>North West Leicestershire</t>
  </si>
  <si>
    <t>North Yorkshire</t>
  </si>
  <si>
    <t>Northumberland</t>
  </si>
  <si>
    <t>Norwich</t>
  </si>
  <si>
    <t>Nottingham</t>
  </si>
  <si>
    <t>Nuneaton and Bedworth</t>
  </si>
  <si>
    <t>Oadby and Wigston</t>
  </si>
  <si>
    <t>Oldham</t>
  </si>
  <si>
    <t>Oxford</t>
  </si>
  <si>
    <t>Pendle</t>
  </si>
  <si>
    <t>Peterborough</t>
  </si>
  <si>
    <t>Plymouth</t>
  </si>
  <si>
    <t>Portsmouth</t>
  </si>
  <si>
    <t>Preston</t>
  </si>
  <si>
    <t>Reading</t>
  </si>
  <si>
    <t>Redbridge</t>
  </si>
  <si>
    <t>Redcar and Cleveland</t>
  </si>
  <si>
    <t>Redditch</t>
  </si>
  <si>
    <t>Reigate and Banstead</t>
  </si>
  <si>
    <t>Ribble Valley</t>
  </si>
  <si>
    <t>Richmond upon Thames</t>
  </si>
  <si>
    <t>Rochdale</t>
  </si>
  <si>
    <t>Rochford</t>
  </si>
  <si>
    <t>Rossendale</t>
  </si>
  <si>
    <t>Rother</t>
  </si>
  <si>
    <t>Rotherham</t>
  </si>
  <si>
    <t>Rugby</t>
  </si>
  <si>
    <t>Runnymede</t>
  </si>
  <si>
    <t>Rushcliffe</t>
  </si>
  <si>
    <t>Rushmoor</t>
  </si>
  <si>
    <t>Rutland</t>
  </si>
  <si>
    <t>Salford</t>
  </si>
  <si>
    <t>Sandwell</t>
  </si>
  <si>
    <t>Sefton</t>
  </si>
  <si>
    <t>Sevenoaks</t>
  </si>
  <si>
    <t>Sheffield</t>
  </si>
  <si>
    <t>Shropshire</t>
  </si>
  <si>
    <t>Slough</t>
  </si>
  <si>
    <t>Solihull</t>
  </si>
  <si>
    <t>Somerset</t>
  </si>
  <si>
    <t>South Cambridgeshire</t>
  </si>
  <si>
    <t>South Derbyshire</t>
  </si>
  <si>
    <t>South Gloucestershire</t>
  </si>
  <si>
    <t>South Hams</t>
  </si>
  <si>
    <t>South Holland</t>
  </si>
  <si>
    <t>South Kesteven</t>
  </si>
  <si>
    <t>South Norfolk</t>
  </si>
  <si>
    <t>South Oxfordshire</t>
  </si>
  <si>
    <t>South Ribble</t>
  </si>
  <si>
    <t>South Staffordshire</t>
  </si>
  <si>
    <t>South Tyneside</t>
  </si>
  <si>
    <t>Southampton</t>
  </si>
  <si>
    <t>Southend-on-Sea</t>
  </si>
  <si>
    <t>Southwark</t>
  </si>
  <si>
    <t>Spelthorne</t>
  </si>
  <si>
    <t>St Albans</t>
  </si>
  <si>
    <t>St. Helens</t>
  </si>
  <si>
    <t>Stafford</t>
  </si>
  <si>
    <t>Staffordshire Moorlands</t>
  </si>
  <si>
    <t>Stevenage</t>
  </si>
  <si>
    <t>Stockport</t>
  </si>
  <si>
    <t>Stockton-on-Tees</t>
  </si>
  <si>
    <t>Stoke-on-Trent</t>
  </si>
  <si>
    <t>Stratford-on-Avon</t>
  </si>
  <si>
    <t>Stroud</t>
  </si>
  <si>
    <t>Sunderland</t>
  </si>
  <si>
    <t>Surrey Heath</t>
  </si>
  <si>
    <t>Sutton</t>
  </si>
  <si>
    <t>Swale</t>
  </si>
  <si>
    <t>Swindon</t>
  </si>
  <si>
    <t>Tameside</t>
  </si>
  <si>
    <t>Tamworth</t>
  </si>
  <si>
    <t>Tandridge</t>
  </si>
  <si>
    <t>Teignbridge</t>
  </si>
  <si>
    <t>Telford and Wrekin</t>
  </si>
  <si>
    <t>Tendring</t>
  </si>
  <si>
    <t>Test Valley</t>
  </si>
  <si>
    <t>Tewkesbury</t>
  </si>
  <si>
    <t>Thanet</t>
  </si>
  <si>
    <t>Three Rivers</t>
  </si>
  <si>
    <t>Thurrock</t>
  </si>
  <si>
    <t>Tonbridge and Malling</t>
  </si>
  <si>
    <t>Torbay</t>
  </si>
  <si>
    <t>Torridge</t>
  </si>
  <si>
    <t>Tower Hamlets</t>
  </si>
  <si>
    <t>Trafford</t>
  </si>
  <si>
    <t>Tunbridge Wells</t>
  </si>
  <si>
    <t>Uttlesford</t>
  </si>
  <si>
    <t>Vale of White Horse</t>
  </si>
  <si>
    <t>Wakefield</t>
  </si>
  <si>
    <t>Walsall</t>
  </si>
  <si>
    <t>Waltham Forest</t>
  </si>
  <si>
    <t>Wandsworth</t>
  </si>
  <si>
    <t>Warrington</t>
  </si>
  <si>
    <t>Warwick</t>
  </si>
  <si>
    <t>Watford</t>
  </si>
  <si>
    <t>Waverley</t>
  </si>
  <si>
    <t>Wealden</t>
  </si>
  <si>
    <t>Welwyn Hatfield</t>
  </si>
  <si>
    <t>West Berkshire</t>
  </si>
  <si>
    <t>West Devon</t>
  </si>
  <si>
    <t>West Lancashire</t>
  </si>
  <si>
    <t>West Lindsey</t>
  </si>
  <si>
    <t>West Northamptonshire</t>
  </si>
  <si>
    <t>West Oxfordshire</t>
  </si>
  <si>
    <t>West Suffolk</t>
  </si>
  <si>
    <t>Westminster</t>
  </si>
  <si>
    <t>Westmorland and Furness</t>
  </si>
  <si>
    <t>Wigan</t>
  </si>
  <si>
    <t>Wiltshire</t>
  </si>
  <si>
    <t>Winchester</t>
  </si>
  <si>
    <t>Windsor and Maidenhead</t>
  </si>
  <si>
    <t>Wirral</t>
  </si>
  <si>
    <t>Woking</t>
  </si>
  <si>
    <t>Wokingham</t>
  </si>
  <si>
    <t>Wolverhampton</t>
  </si>
  <si>
    <t>Worcester</t>
  </si>
  <si>
    <t>Worthing</t>
  </si>
  <si>
    <t>Wychavon</t>
  </si>
  <si>
    <t>Wyre</t>
  </si>
  <si>
    <t>Wyre Forest</t>
  </si>
  <si>
    <t>York</t>
  </si>
  <si>
    <r>
      <t xml:space="preserve">If 'No' </t>
    </r>
    <r>
      <rPr>
        <sz val="10"/>
        <color theme="1"/>
        <rFont val="Verdana"/>
        <family val="2"/>
      </rPr>
      <t>please provide further details on the type and depth of cultivation that has occured.</t>
    </r>
  </si>
  <si>
    <t>Have you identified the broad soil types on the proposal site using desk-based checks?</t>
  </si>
  <si>
    <t xml:space="preserve">
Planting on or in close proximity to priority habitats is subject to the principles in: </t>
  </si>
  <si>
    <t>Check:</t>
  </si>
  <si>
    <t>Wildfire</t>
  </si>
  <si>
    <t>Guidance on how to use the above resource:</t>
  </si>
  <si>
    <t>adjacent to the proposal site?</t>
  </si>
  <si>
    <r>
      <rPr>
        <b/>
        <sz val="10"/>
        <rFont val="Verdana"/>
        <family val="2"/>
      </rPr>
      <t>Check the FC Map Browser Layer:</t>
    </r>
    <r>
      <rPr>
        <sz val="10"/>
        <rFont val="Verdana"/>
        <family val="2"/>
      </rPr>
      <t xml:space="preserve">
</t>
    </r>
    <r>
      <rPr>
        <i/>
        <sz val="10"/>
        <rFont val="Verdana"/>
        <family val="2"/>
      </rPr>
      <t>Data &gt; Constraints &gt; Statutory Main River Constraint Zone</t>
    </r>
  </si>
  <si>
    <r>
      <rPr>
        <b/>
        <sz val="10"/>
        <color theme="1"/>
        <rFont val="Verdana"/>
        <family val="2"/>
      </rPr>
      <t>Check Environment Agency Catchment Data</t>
    </r>
    <r>
      <rPr>
        <sz val="10"/>
        <color theme="1"/>
        <rFont val="Verdana"/>
        <family val="2"/>
      </rPr>
      <t xml:space="preserve">
Search the proposal area using the following resource:</t>
    </r>
  </si>
  <si>
    <r>
      <t xml:space="preserve">Do any water bodies sit within the proposal site or might be affected by the proposed planting </t>
    </r>
    <r>
      <rPr>
        <b/>
        <sz val="10"/>
        <rFont val="Verdana"/>
        <family val="2"/>
      </rPr>
      <t>scheme?</t>
    </r>
  </si>
  <si>
    <r>
      <rPr>
        <b/>
        <sz val="10"/>
        <rFont val="Verdana"/>
        <family val="2"/>
      </rPr>
      <t>Check the British Geological Survey Map</t>
    </r>
    <r>
      <rPr>
        <sz val="10"/>
        <rFont val="Verdana"/>
        <family val="2"/>
      </rPr>
      <t xml:space="preserve">
Enter postcode and add data layers: Water wells, Borehole records and BGS Boreholes.
</t>
    </r>
    <r>
      <rPr>
        <u/>
        <sz val="10"/>
        <color theme="10"/>
        <rFont val="Verdana"/>
        <family val="2"/>
      </rPr>
      <t xml:space="preserve">
</t>
    </r>
    <r>
      <rPr>
        <b/>
        <sz val="10"/>
        <rFont val="Verdana"/>
        <family val="2"/>
      </rPr>
      <t xml:space="preserve">
</t>
    </r>
    <r>
      <rPr>
        <sz val="10"/>
        <rFont val="Verdana"/>
        <family val="2"/>
      </rPr>
      <t xml:space="preserve">
</t>
    </r>
  </si>
  <si>
    <t>Please describe your findings in the summary box and include a map of water features other than drinking water supplies and watercourses. This may include adits (mine entrances used for drainage), springs, seepage and wetland areas, ponds and lakes.</t>
  </si>
  <si>
    <r>
      <rPr>
        <b/>
        <sz val="10"/>
        <rFont val="Verdana"/>
        <family val="2"/>
      </rPr>
      <t>Check the FC Map Browser Layers:</t>
    </r>
    <r>
      <rPr>
        <sz val="10"/>
        <rFont val="Verdana"/>
        <family val="2"/>
      </rPr>
      <t xml:space="preserve">
</t>
    </r>
    <r>
      <rPr>
        <i/>
        <sz val="10"/>
        <rFont val="Verdana"/>
        <family val="2"/>
      </rPr>
      <t xml:space="preserve">- Data &gt; Constraints &gt; EA Flood Map Zone 2 (England)
- Data &gt; Constraints &gt; EA Flood Map Zone 3 (England)
- Data &gt; Constraints &gt; Flood Defences and </t>
    </r>
    <r>
      <rPr>
        <sz val="10"/>
        <rFont val="Verdana"/>
        <family val="2"/>
      </rPr>
      <t xml:space="preserve">
</t>
    </r>
    <r>
      <rPr>
        <i/>
        <sz val="10"/>
        <rFont val="Verdana"/>
        <family val="2"/>
      </rPr>
      <t>- Data &gt; Constraints &gt; Flood Storage Areas</t>
    </r>
  </si>
  <si>
    <r>
      <t xml:space="preserve">Check the FC Map Browser Layer: 
</t>
    </r>
    <r>
      <rPr>
        <i/>
        <sz val="10"/>
        <color theme="1"/>
        <rFont val="Verdana"/>
        <family val="2"/>
      </rPr>
      <t>- Data &gt; Constraints &gt; Drinking Water Safeguard Zones (surface water)
- Data &gt; Constraints &gt; Drinking Water Protected Areas</t>
    </r>
  </si>
  <si>
    <r>
      <rPr>
        <b/>
        <sz val="10"/>
        <rFont val="Verdana"/>
        <family val="2"/>
      </rPr>
      <t xml:space="preserve">Check the FC Map Browser Layer:
</t>
    </r>
    <r>
      <rPr>
        <i/>
        <sz val="10"/>
        <rFont val="Verdana"/>
        <family val="2"/>
      </rPr>
      <t>Data &gt; Targeting and scoring &gt; Acid Vulnerable Catchments</t>
    </r>
  </si>
  <si>
    <r>
      <rPr>
        <b/>
        <sz val="10"/>
        <rFont val="Verdana"/>
        <family val="2"/>
      </rPr>
      <t xml:space="preserve">Check the FC Map Browser Layer:
</t>
    </r>
    <r>
      <rPr>
        <i/>
        <sz val="10"/>
        <rFont val="Verdana"/>
        <family val="2"/>
      </rPr>
      <t>Data &gt; Constraints &gt; Groundwater Dependent Terrestrial Ecosystems (England only)</t>
    </r>
  </si>
  <si>
    <r>
      <rPr>
        <b/>
        <sz val="10"/>
        <rFont val="Verdana"/>
        <family val="2"/>
      </rPr>
      <t>If 'Yes' and the site is on the main river 
floodplain</t>
    </r>
    <r>
      <rPr>
        <sz val="10"/>
        <rFont val="Verdana"/>
        <family val="2"/>
      </rPr>
      <t xml:space="preserve"> check with the Environment Agency (EA) whether a permit is required for planting.</t>
    </r>
  </si>
  <si>
    <r>
      <t xml:space="preserve">Please describe your findings in the summary box and include a map of water bodies, including identifying watercourses designated as either SPA, SAC and/or RAMSAR and any main rivers.
</t>
    </r>
    <r>
      <rPr>
        <b/>
        <sz val="10"/>
        <rFont val="Verdana"/>
        <family val="2"/>
      </rPr>
      <t>If 'Yes' and the site is within 8 meters of a main river, main river culvert or flood defence, or within 16 meters of a tidal main river, tidal main river culvert or flood defence</t>
    </r>
    <r>
      <rPr>
        <sz val="10"/>
        <rFont val="Verdana"/>
        <family val="2"/>
      </rPr>
      <t>, check with the Environment Agency (EA) whether a permit may be required.</t>
    </r>
  </si>
  <si>
    <r>
      <rPr>
        <b/>
        <sz val="10"/>
        <rFont val="Verdana"/>
        <family val="2"/>
      </rPr>
      <t>If 'Yes'</t>
    </r>
    <r>
      <rPr>
        <sz val="10"/>
        <rFont val="Verdana"/>
        <family val="2"/>
      </rPr>
      <t>, you should seek advice from the Forestry Commission on the potential impact of woodland creation on future water yield.</t>
    </r>
  </si>
  <si>
    <r>
      <rPr>
        <b/>
        <sz val="10"/>
        <rFont val="Verdana"/>
        <family val="2"/>
      </rPr>
      <t>If 'Yes'</t>
    </r>
    <r>
      <rPr>
        <sz val="10"/>
        <rFont val="Verdana"/>
        <family val="2"/>
      </rPr>
      <t>, request a map. 
Contact the landowner, Local Authority or local water company for a layout map. You must submit this map and any correspondence when you return this form.</t>
    </r>
  </si>
  <si>
    <r>
      <rPr>
        <b/>
        <sz val="10"/>
        <color theme="1"/>
        <rFont val="Verdana"/>
        <family val="2"/>
      </rPr>
      <t>If 'Yes'</t>
    </r>
    <r>
      <rPr>
        <sz val="10"/>
        <color theme="1"/>
        <rFont val="Verdana"/>
        <family val="2"/>
      </rPr>
      <t>, seek advice from the Environment Agency (EA) if your project will have significant nutrient impact, or requires an abstraction licence.</t>
    </r>
  </si>
  <si>
    <t>Check the Environment Agency NVZ &amp; SgZs map:</t>
  </si>
  <si>
    <t xml:space="preserve">See an example of a Landscape Context Plan at: </t>
  </si>
  <si>
    <r>
      <rPr>
        <b/>
        <sz val="11"/>
        <color theme="1"/>
        <rFont val="Verdana"/>
        <family val="2"/>
      </rPr>
      <t xml:space="preserve">Guidance on completing your application
</t>
    </r>
    <r>
      <rPr>
        <sz val="10"/>
        <color theme="1"/>
        <rFont val="Verdana"/>
        <family val="2"/>
      </rPr>
      <t>An overview of the Woodland Creation Planning Grant including guidance, documents and forms can be found at:</t>
    </r>
  </si>
  <si>
    <t>How to submit this form</t>
  </si>
  <si>
    <t>Your application must be submitted together with a completed declaration form downloadable from GOV.UK:</t>
  </si>
  <si>
    <t>You should submit both completed documents to the Forestry Commission and await confirmation of receipt:</t>
  </si>
  <si>
    <t>Guidance on identifying common constraints and designation within the proposal area is available at:</t>
  </si>
  <si>
    <t xml:space="preserve">The following guide provides support in that you need to think about before you start planning and designing new woodland:
</t>
  </si>
  <si>
    <r>
      <rPr>
        <i/>
        <sz val="10"/>
        <color theme="1"/>
        <rFont val="Verdana"/>
        <family val="2"/>
      </rPr>
      <t>Please consider this guidance before you start, and refer back to it thoughout the application process.</t>
    </r>
    <r>
      <rPr>
        <sz val="10"/>
        <color theme="1"/>
        <rFont val="Verdana"/>
        <family val="2"/>
      </rPr>
      <t xml:space="preserve">
Following the guidance provided will help to ensure your Woodland Creation Design Plan comlplies with the UK Forestry Standard which can be found and referenced here:</t>
    </r>
  </si>
  <si>
    <t xml:space="preserve">This will be supported with maps, supporting evidence and a Landscape Context Plan, which shows the location of the site within the wider landscape context. During this stage, you will also identify any surveys that need to be undertaken. </t>
  </si>
  <si>
    <t xml:space="preserve">Further guidance on preparing to plan your woodland at Stage 1 and what needs to be checked can be found in Section 2 of the following guide:
</t>
  </si>
  <si>
    <t>Completing Stage 2 will demonstrate a design process, from a survey of the site’s key features to analysis of how they will affect the proposed woodland’s design, bringing this information together into a design concept for the woodland. Identified stakeholders will be engaged on this design concept for review and comment. 
Finalising Stage 2 will also bring together the Landscape Context and Site Appraisal Plan to form the overall Landscape Character Appraisal of the proposed woodland design. This involves the integration of the shape of the woodland design with the site, landscape context and project objectives.  
The Final Woodland Creation Design Plan forms part of the Stage 2 work process.</t>
  </si>
  <si>
    <t>How to print this form
If you wish to print this form, please do not use 'Page Layout' on the View tab as it will reset the print area and prevent some parts from printing correctly. If this happens, you will need to set your own print area for each of these worksheets by clicking on the 'Page Layout' tab at the top, selecting the area you wish to print, and clicking on Print Area &gt; Set Print Area. The pre-set print area has been chosen so that instruction boxes, such as this, will not print.
Hard copies of applications and additional supporting information can also be sent to:
Woodland Creation Planning Grant (WCPG)
Forestry Commission National Office
620 Bristol Business Park 
Coldharbour Lane, Bristol
BS16 1EJ</t>
  </si>
  <si>
    <t>You are not required to provide a Single Business Identifier (SBI), but we strongly encourage applicants to do so. If you do not have an SBI, we may need to contact you for further information about your land ownership or business. SBIs are mandatory for applications to the England Woodland Creation Offer (EWCO).
You can get an SBI by registering with the Rural Payments Agency:</t>
  </si>
  <si>
    <t>You must complete this section if an agent is authorised to act on behalf of the lead applicant in relation to this application. Agent correspondence in relation to this application will be via the email address stated on the Agent Authority Form unless otherwise notified. The Lead Applicant is responsible for notifying us of any changes to this arrangement.</t>
  </si>
  <si>
    <t>Please complete a WCPG Declaration Form. You must include this when submitting your initial application.</t>
  </si>
  <si>
    <r>
      <rPr>
        <sz val="11"/>
        <rFont val="Verdana"/>
        <family val="2"/>
      </rPr>
      <t>Please provide the details for the lead applicant applying, and any agent authorised to act on their behalf.
Required fields for completion are shown in yellow. Fields that do not require completion are greyed-out.</t>
    </r>
    <r>
      <rPr>
        <sz val="20"/>
        <rFont val="Verdana"/>
        <family val="2"/>
      </rPr>
      <t xml:space="preserve"> </t>
    </r>
  </si>
  <si>
    <t>Please provide the proposed site details and complete the basic eligibility check below. 
Required fields for completion are shown in yellow. Fields that do not require completion are greyed-out. 
A unique WCPG reference will be allocated by the Forestry Commission (FC) on receipt of your application.</t>
  </si>
  <si>
    <t xml:space="preserve">Please confirm all land in this application: </t>
  </si>
  <si>
    <t>Is in England</t>
  </si>
  <si>
    <r>
      <t>Is not in an area of deep peat</t>
    </r>
    <r>
      <rPr>
        <sz val="11"/>
        <rFont val="Verdana"/>
        <family val="2"/>
      </rPr>
      <t xml:space="preserve">
</t>
    </r>
    <r>
      <rPr>
        <i/>
        <sz val="11"/>
        <rFont val="Verdana"/>
        <family val="2"/>
      </rPr>
      <t>Check Forester GIS &gt; Constraints &gt; Natural England Peat Map</t>
    </r>
  </si>
  <si>
    <t>Is not currently subject to incompatible or overlapping obligations under an existing grant scheme</t>
  </si>
  <si>
    <t>Is not subject to any form of legally binding obligation, such as planning consent or a section 106 agreement</t>
  </si>
  <si>
    <t>Was not previously wooded and then felled or deforested within the past 20 years</t>
  </si>
  <si>
    <t>Please provide a map showing the proposed area for woodland creation, clearly showing the site boundary. You must include this when submitting your initial application.
Guidance on how to create a map can be found at (Appendix1) in the following guide:</t>
  </si>
  <si>
    <t>You will need to select the layers indicated for the check in the 'What you need to do' column, and then use the 'Site Check' tool in MAGIC to draw your site boundary as a polygon.
Unless stated under 'what you need to do', you do not need to generate/submit a map for each check.
Define the buffer to 1,000m and click 'buffer' to apply, then perform site check to see the report. If needed, print the report as a PDF and save a copy.
To save a copy of the map, use the 'Print' tool and click 'Printout' to open the map and save a copy. 
Please add as many details as possible in the comments box, summarising the biodiversity key issues, and identify what further data gathering or survey work is likely to be required to produce a UKFS-compliant Woodland Creation Design Plan, in relation to the site’s biodiversity sensitivities. Please ensure you include the answers to the questions on European Sites, and that you identify what information needs to be collected in order to fully consider the potential impact of woodland creation on these sites, where applicable.</t>
  </si>
  <si>
    <r>
      <rPr>
        <b/>
        <sz val="11"/>
        <color theme="1"/>
        <rFont val="Verdana"/>
        <family val="2"/>
      </rPr>
      <t xml:space="preserve">Guidance
</t>
    </r>
    <r>
      <rPr>
        <sz val="11"/>
        <color theme="1"/>
        <rFont val="Verdana"/>
        <family val="2"/>
      </rPr>
      <t>To carry out most of these checks you will need to use Defra's MAGIC interactive mapping website:</t>
    </r>
  </si>
  <si>
    <r>
      <rPr>
        <b/>
        <sz val="10"/>
        <rFont val="Verdana"/>
        <family val="2"/>
      </rPr>
      <t>Check MAGIC</t>
    </r>
    <r>
      <rPr>
        <sz val="10"/>
        <rFont val="Verdana"/>
        <family val="2"/>
      </rPr>
      <t xml:space="preserve">
</t>
    </r>
    <r>
      <rPr>
        <i/>
        <sz val="10"/>
        <rFont val="Verdana"/>
        <family val="2"/>
      </rPr>
      <t>Magic layer: Targeting &amp; Scoring Layers &gt; Biodiversity &gt; Woodland - Red Squirrel - Creation (England) &amp; Woodland - Red Squirrel - Management (England)</t>
    </r>
    <r>
      <rPr>
        <sz val="10"/>
        <rFont val="Verdana"/>
        <family val="2"/>
      </rPr>
      <t xml:space="preserve">
Further guidance is available in the following Operations Note:</t>
    </r>
  </si>
  <si>
    <t xml:space="preserve">Is the proposal site within a British Trust for </t>
  </si>
  <si>
    <t>Ornithology (BTO) wader zonal strata?</t>
  </si>
  <si>
    <t>Check this on the map browser here:</t>
  </si>
  <si>
    <t>Currently there is only one recognised wader recovery area, the Curlew Life Geltsdale &amp; Hadrian's Wall initiative.</t>
  </si>
  <si>
    <r>
      <rPr>
        <b/>
        <sz val="10"/>
        <rFont val="Verdana"/>
        <family val="2"/>
      </rPr>
      <t>Check the supporting document:</t>
    </r>
  </si>
  <si>
    <t>the site proposal?</t>
  </si>
  <si>
    <t xml:space="preserve">Contact your Historic Environment Record Centre (HERC)
Find your local centre here. You must submit a copy of any maps or comments when you return this form.
For guidance and template letters see: </t>
  </si>
  <si>
    <t>Is there a Public Right of Way (PRoW) on or</t>
  </si>
  <si>
    <t>adjacent to the site that may be impacted by the</t>
  </si>
  <si>
    <t>woodland creation proposal?</t>
  </si>
  <si>
    <t>Contact the relevant Highway Authority
You are required to take advice to understand access to the proposal site.  For North England (Cumbria, North East and North Yorkshire) contact the Timber Transport Forum:</t>
  </si>
  <si>
    <r>
      <rPr>
        <sz val="10"/>
        <rFont val="Verdana"/>
        <family val="2"/>
      </rPr>
      <t>For other areas, where there could be access challenges associated with the site, contact the relevant highway authority.</t>
    </r>
    <r>
      <rPr>
        <u/>
        <sz val="10"/>
        <color theme="10"/>
        <rFont val="Verdana"/>
        <family val="2"/>
      </rPr>
      <t xml:space="preserve">
</t>
    </r>
    <r>
      <rPr>
        <sz val="10"/>
        <rFont val="Verdana"/>
        <family val="2"/>
      </rPr>
      <t xml:space="preserve">
You must submit a copy of any correspondence and maps when you return this form.</t>
    </r>
  </si>
  <si>
    <r>
      <rPr>
        <b/>
        <sz val="14"/>
        <rFont val="Verdana"/>
        <family val="2"/>
      </rPr>
      <t>Guidance</t>
    </r>
    <r>
      <rPr>
        <sz val="10"/>
        <rFont val="Verdana"/>
        <family val="2"/>
      </rPr>
      <t xml:space="preserve">
Please summarise any survey requirements identified in the table below. You should now submit this checklist along with supporting documentation and any Supplementary Payment application forms, which can be downloaded here:</t>
    </r>
  </si>
  <si>
    <t xml:space="preserve">Supplementary payments are available where a more detailed assessment of key features is required before the proposal can proceed. 
Where appropriate, we will require you to follow a Standard Brief which sets out the work required for the Supplementary Payment.  The Standard Briefs can be found at: </t>
  </si>
  <si>
    <r>
      <t xml:space="preserve">The summary table below shows any checks from Stage 1 that have been flagged, to provide an overview for us to make an assessment on the next steps. 
Once you know the next steps, please consider any future grant applications, such as the England Woodland Creation Offer (EWCO), you may wish to make in your design concept and final design plans.
</t>
    </r>
    <r>
      <rPr>
        <b/>
        <sz val="10"/>
        <rFont val="Verdana"/>
        <family val="2"/>
      </rPr>
      <t>Do not begin work on Stage 2 or any survey work for which you are applying for funding (Supplementary Payment) until you have received a formal offer of funding from the Forestry Commission.</t>
    </r>
  </si>
  <si>
    <r>
      <rPr>
        <b/>
        <sz val="11"/>
        <rFont val="Verdana"/>
        <family val="2"/>
      </rPr>
      <t>Guidance</t>
    </r>
    <r>
      <rPr>
        <sz val="10"/>
        <rFont val="Verdana"/>
        <family val="2"/>
      </rPr>
      <t xml:space="preserve">
Complete this tab where the woodland creation proposal may impact on or affect a European Protected Site.
Guidance on Habitats regulation assessments in relation to protecting European sites is available at:</t>
    </r>
  </si>
  <si>
    <r>
      <rPr>
        <b/>
        <sz val="10"/>
        <color theme="1"/>
        <rFont val="Verdana"/>
        <family val="2"/>
      </rPr>
      <t>Ramsar site details or European Sites (SAC/SPA)</t>
    </r>
    <r>
      <rPr>
        <sz val="10"/>
        <color theme="1"/>
        <rFont val="Verdana"/>
        <family val="2"/>
      </rPr>
      <t xml:space="preserve">
To obtain qualifying features for SAC’s and SPA’s see:</t>
    </r>
  </si>
  <si>
    <t>To obtain qualifying features &amp; species for Ramsar sites see:</t>
  </si>
  <si>
    <t>Stage 2 of the Template supports the production of a UKFS compliant woodland creation design plan. You will develop your plan through analysis and synthesis based on your management objectives, and the site's landscape context, features and sensitivity. You should undertake a landscape survey and appraisal, and any other surveys for key features that require a more detailed assessment as identified at Stage 1.</t>
  </si>
  <si>
    <t>The Landscape Character Appraisal (appendix 3 and 4) needs to be expressed in the form of annotated spatial plans and photographs. This will inform the shape of the woodland design by integrating the site, landscape context with the project objectives. The UKFS elements of landscape context (landscape character, landscape and visual sensitive and historic context and designed landscapes) and Forest Design Principles (spirit of place (local distinctiveness), unity (landscape fit), shape, landform, pattern of enclosure, scale and diversity) will help inform the appraisal (page 66 of the UKFS). 
Checklist: You should undertake a Landscape Character Appraisal (appendix 3 and 4) to include assessment of the following:
• Landscape and Visual context including photographs
• Landscape and other relevant designations
• Viewpoints and views from within and outside planned woodland
• Elements of landscape and visual diversity
• Visual detractors and zones of high landscape and visual sensitivity
• Identify watercourses, infrastructure supply catchments
• All characteristics that make the place distinctive and contribute to landscape fit</t>
  </si>
  <si>
    <t>This is a zoned plan that graphically evaluates all the survey information from both Stage 1 and Stage 2 of the WCPG process.
The Site Appraisal Plan should identify the key factors which have the greatest influence on meeting the proposal's objectives and UKFS requirements and how these factors may relate to each other. The Site Appraisal Plan will capture the key landscape and visual characteristics and features of the site and the wider landscape context.  Visual aids, such as annotated photographs and sketches should be used to visualise the plan where appropriate.
When preparing your Site Appraisal Plan, consideration needs to be given to the design principles set out in the UK Forestry Standard found here:</t>
  </si>
  <si>
    <r>
      <t>Further guidance on applying these design principles</t>
    </r>
    <r>
      <rPr>
        <sz val="10"/>
        <color rgb="FFFF0000"/>
        <rFont val="Verdana"/>
        <family val="2"/>
      </rPr>
      <t xml:space="preserve"> </t>
    </r>
    <r>
      <rPr>
        <sz val="10"/>
        <color rgb="FF000000"/>
        <rFont val="Verdana"/>
        <family val="2"/>
      </rPr>
      <t>and producing plans can be found via the following links:</t>
    </r>
  </si>
  <si>
    <t>Stage 2 of the Template supports the production of a UKFS compliant woodland creation design plan. You will develop your plan through analysis and synthesis based on your management objectives, and the site's landscape context, features and sensitivity. You should undertake a landscape survey and appraisal, and any other surveys for key features that require a more detailed assessment as identified at Stage 1.
Use this section to set out the objectives for the proposal site and form your design concept plan(s).</t>
  </si>
  <si>
    <t>The method of stakeholder engagement should reflect the size of your woodland creation proposal, extent of operations and sensitivities on your site, and the potential to impact on other people’s interests. 
If you will be holding a public meeting, schedule it for early in the process to allow people time to respond. 
Offer your stakeholders enough information to let them consider the issues raised by your proposed new woodland. Provide them with a short summary of your key proposals, your management objectives, potential timber transport access points and detail of proposed public access together with accompanying maps and plans. The information you give to your stakeholders must be clear and understandable.
Record engagement with stakeholders in the table below. To type a new line within a row, use Alt + Enter. You should submit a copy of any evidence (e.g., email correspondence, survey responses) with your application.
Please see section 3.4.2 of the following resource for further guidance:</t>
  </si>
  <si>
    <r>
      <t>If 'Yes',</t>
    </r>
    <r>
      <rPr>
        <sz val="10"/>
        <color theme="1"/>
        <rFont val="Verdana"/>
        <family val="2"/>
      </rPr>
      <t xml:space="preserve"> seek advice from the FC on whether a critical load assessment is required. </t>
    </r>
  </si>
  <si>
    <t>Please use this worksheet as a guide to species names and codes to support your proposed planting. This worksheet has been provided for use with the Species Breakdown tab, when detailing your proposal. This sheet is for information and supplementary to your application - you cannot edit this sheet.
The Tree Procurement Summary will be populated as you complete your WCPG Species Breakdown. Please check this summary to ensure this information matches your understanding. 
Please note: 
- Due to tree health issues, funding for the planting of ash (Fraxinus excelsior) and larch (Larix spp) is not available. 
- Due to tree health issues, there are restrictions on planting of spruce trees in parts of East Anglia and South East England. For more details see the following linked guidance:</t>
  </si>
  <si>
    <t xml:space="preserve">- Ash will be permitted through natural colonisation and is listed for reporting purposes, but ash is not eligible for planting. </t>
  </si>
  <si>
    <r>
      <t xml:space="preserve">
Stocking density of species
</t>
    </r>
    <r>
      <rPr>
        <sz val="10"/>
        <color theme="1"/>
        <rFont val="Verdana"/>
        <family val="2"/>
      </rPr>
      <t xml:space="preserve">(stems per hectare of planted area excluding open space) </t>
    </r>
  </si>
  <si>
    <t>Survey reports, ground-truthed soil pit observations</t>
  </si>
  <si>
    <r>
      <t xml:space="preserve">Check MAGIC.
</t>
    </r>
    <r>
      <rPr>
        <i/>
        <sz val="10"/>
        <color theme="1"/>
        <rFont val="Verdana"/>
        <family val="2"/>
      </rPr>
      <t>Layer: Landscape &gt; Geology and Soils &gt; Soilscape</t>
    </r>
    <r>
      <rPr>
        <b/>
        <sz val="10"/>
        <color theme="1"/>
        <rFont val="Verdana"/>
        <family val="2"/>
      </rPr>
      <t xml:space="preserve">
Create a Soilscapes report.
</t>
    </r>
    <r>
      <rPr>
        <sz val="10"/>
        <color theme="1"/>
        <rFont val="Verdana"/>
        <family val="2"/>
      </rPr>
      <t>It is good practice to ground truth the findings in the Soilscapes report with a site visit and a few soil pits taken from across the site.</t>
    </r>
    <r>
      <rPr>
        <b/>
        <sz val="10"/>
        <color theme="1"/>
        <rFont val="Verdana"/>
        <family val="2"/>
      </rPr>
      <t xml:space="preserve">  
Cross-reference between the soilscapes report and Forestry Soil Classifications by referring to:</t>
    </r>
  </si>
  <si>
    <t>FC Soil Type 2:</t>
  </si>
  <si>
    <t>FC Soil Type 1:</t>
  </si>
  <si>
    <t>Summarise FC Soil Type presumed from 1:250,000 scale maps (during Stage 2 it is a minimum standard to ground-truth the presumed soils with some representative reconnaissance soil pits across the site).</t>
  </si>
  <si>
    <t xml:space="preserve">Guidance:
</t>
  </si>
  <si>
    <r>
      <t xml:space="preserve">Biodiversity
</t>
    </r>
    <r>
      <rPr>
        <sz val="10"/>
        <color rgb="FF000000"/>
        <rFont val="Verdana"/>
        <family val="2"/>
      </rPr>
      <t>Describe how the impact of the woodland proposal on any designated areas, protected sites, priority habitats or priority species has been considered. Identify mitigation actions that will be adopted to avoid or reduce any adverse ecological impacts. Design principles should follow those contained in the Chartered Institute of Ecology and Environmental Management good practice for Ecological Impact Assessment and be proportionate to the scale of the proposals. 
Please provide detail of discussions with the Rural Payments Agency (RPA) if the land is currently subject to any land management schemes e.g., Higher Level Stewardship (HLS).</t>
    </r>
  </si>
  <si>
    <r>
      <t xml:space="preserve">Species selection </t>
    </r>
    <r>
      <rPr>
        <sz val="10"/>
        <color theme="1"/>
        <rFont val="Verdana"/>
        <family val="2"/>
      </rPr>
      <t>(species section must display how species and species mixtures are adapted to site and appropriate to the scale, context and ecological potential of the site)</t>
    </r>
  </si>
  <si>
    <r>
      <t>Stocking density</t>
    </r>
    <r>
      <rPr>
        <sz val="11"/>
        <color theme="1"/>
        <rFont val="Verdana"/>
        <family val="2"/>
      </rPr>
      <t xml:space="preserve"> </t>
    </r>
    <r>
      <rPr>
        <sz val="10"/>
        <color theme="1"/>
        <rFont val="Verdana"/>
        <family val="2"/>
      </rPr>
      <t>(how these support your proposal management objectives)</t>
    </r>
  </si>
  <si>
    <r>
      <t xml:space="preserve">Natural colonisation </t>
    </r>
    <r>
      <rPr>
        <sz val="10"/>
        <color theme="1"/>
        <rFont val="Verdana"/>
        <family val="2"/>
      </rPr>
      <t>(a map showing location, species and abundance of seed source may be necessary, as well as detail on vegetation management and the plan if natural colonisation fails)</t>
    </r>
  </si>
  <si>
    <t>Finalising your plan involves drawing together the written and graphical information you have gathered throughout the planning and design process and integrating it with your management objectives and your analysis of the site’s opportunities and constraints.
The final Design Plan will show the preferred design option for the woodland proposal, including detail on the species selection, fencing and protection, ground preparation, stocking density, location of open ground and woodland edge transitions, watercourses, notable features, proposed infrastructure (including any recreational facility proposed), and access points. 
The FC approved Final Design Plan will be published on the Consultation Public Register for a period of 21 days, plus an Environmental Impact Assessment 'Stage 1' carried out. More information   
Please consider any future grant applications you may wish to make in your design concept and final design plans. For example, if you are interested in applying for the England Woodland Creation Offer (EWCO), please speak to your Woodland Creation Officer about design requirements for Additional Contribution payments.</t>
  </si>
  <si>
    <r>
      <t xml:space="preserve">Have you identified any soil problems that may limit natural rooting?
</t>
    </r>
    <r>
      <rPr>
        <i/>
        <sz val="10"/>
        <color theme="1"/>
        <rFont val="Verdana"/>
        <family val="2"/>
      </rPr>
      <t xml:space="preserve">Soil problems could include: compaction, plough pan, drought cracks or waterlogging </t>
    </r>
  </si>
  <si>
    <t>Use the ESC decision support system to generate a desk based ESC output for baseline (AWC) and 2050 (AWC) scenarios. You must submit a copy of these reports when you return this form.
(At Stage 2 input ground truthed soil information to drastically improve accuracy).</t>
  </si>
  <si>
    <t xml:space="preserve">Create an: 
</t>
  </si>
  <si>
    <t xml:space="preserve">Layer: Constraints </t>
  </si>
  <si>
    <t xml:space="preserve">Will at least 85% of the area to be planted </t>
  </si>
  <si>
    <t>UKCP18 climate prediction? * 
*UKCP09 projections are suitable to use if using ESC 4.0. Any marginal species will need to be reasoned.</t>
  </si>
  <si>
    <r>
      <t xml:space="preserve">FC Practice Guidance:
</t>
    </r>
    <r>
      <rPr>
        <sz val="10"/>
        <rFont val="Verdana"/>
        <family val="2"/>
      </rPr>
      <t>Building Wildfire Resilience in Forest Management Planning and assessment of potential wildfire risk resulting from planned deforestation to open habitat:</t>
    </r>
  </si>
  <si>
    <r>
      <t xml:space="preserve">Soil
</t>
    </r>
    <r>
      <rPr>
        <sz val="10"/>
        <color theme="1"/>
        <rFont val="Verdana"/>
        <family val="2"/>
      </rPr>
      <t xml:space="preserve">a) Describe how variation in soil across the site has been accounted to limit soil damage, consider tree species choice, and accommodate future access for ongoing management. 
b) Describe and justify the proposed ground preparation, including drainage, required to establish the proposal. This should be accompanied by a map illustrating where ground preparation types for the proposal will be used. </t>
    </r>
  </si>
  <si>
    <r>
      <t xml:space="preserve">Climate change
</t>
    </r>
    <r>
      <rPr>
        <sz val="10"/>
        <color theme="1"/>
        <rFont val="Verdana"/>
        <family val="2"/>
      </rPr>
      <t xml:space="preserve">a) Describe how the impacts of a warming climate or ESC projections have been considered in the choice of planting stock (species and provenance/origin). 
b) State how exposure and microclimates across the site have been considered within the design. 
c) Describe how the tree species locations in the design accommodate any site specific seasonal drought and waterlogging. </t>
    </r>
  </si>
  <si>
    <r>
      <t xml:space="preserve">Silviculture &amp; protection
</t>
    </r>
    <r>
      <rPr>
        <sz val="10"/>
        <color theme="1"/>
        <rFont val="Verdana"/>
        <family val="2"/>
      </rPr>
      <t>a) Please provide justification for tree species which ESC either considers to be marginal or does not provide an assessment for.
b) Describe how the mixture design and /or compatibility of different tree species being used in the scheme have been assessed as suitable.
c) Describe how the trees will be maintained, including protection and weed control. Also, describe the plan to maintain, remove and dispose of plastics, including but not limited to all tree protection items and signage.
d) Include a description of how deer impact, or the presence of other mammals such as grey squirrels, will be managed (where applicable).  
e) Describe how managed open space and woodland rides will be maintained including detail on cyclical regimes and equipment to be used.</t>
    </r>
  </si>
  <si>
    <t>Are there any prominent tree pests present in the surrounding area that might affect woodland health (e.g. check whether the proposal is within a Phytophthora ramorum Risk Zone, Ips typographus Demarcated Area)?</t>
  </si>
  <si>
    <r>
      <rPr>
        <b/>
        <sz val="10"/>
        <rFont val="Verdana"/>
        <family val="2"/>
      </rPr>
      <t>Check:</t>
    </r>
    <r>
      <rPr>
        <sz val="10"/>
        <color theme="1"/>
        <rFont val="Verdana"/>
        <family val="2"/>
      </rPr>
      <t xml:space="preserve">
</t>
    </r>
  </si>
  <si>
    <t>Initial ESC report, Soilscapes report, Forest Development Types (FDTs) &amp; National Vegetation Classification (NVC)</t>
  </si>
  <si>
    <t>Check Natural England's green infrastructure portal:</t>
  </si>
  <si>
    <t>Further information and guidance on the requirements for landscape consideration within your woodland creation design can be found using the following link:</t>
  </si>
  <si>
    <r>
      <t xml:space="preserve">Is there a known local flood risk within or </t>
    </r>
    <r>
      <rPr>
        <b/>
        <sz val="10"/>
        <color theme="0"/>
        <rFont val="Verdana"/>
        <family val="2"/>
      </rPr>
      <t>adjacent to the proposal site?</t>
    </r>
  </si>
  <si>
    <t>scale of planting proposal and the species proposed?</t>
  </si>
  <si>
    <r>
      <t xml:space="preserve">Local Authority:
</t>
    </r>
    <r>
      <rPr>
        <i/>
        <sz val="11"/>
        <color theme="1"/>
        <rFont val="Verdana"/>
        <family val="2"/>
      </rPr>
      <t>(select dropdown or type)</t>
    </r>
  </si>
  <si>
    <r>
      <rPr>
        <b/>
        <sz val="10"/>
        <rFont val="Verdana"/>
        <family val="2"/>
      </rPr>
      <t xml:space="preserve">Check the FC Map Browser Layer: </t>
    </r>
    <r>
      <rPr>
        <sz val="10"/>
        <rFont val="Verdana"/>
        <family val="2"/>
      </rPr>
      <t xml:space="preserve">
</t>
    </r>
    <r>
      <rPr>
        <i/>
        <sz val="10"/>
        <rFont val="Verdana"/>
        <family val="2"/>
      </rPr>
      <t>- Data &gt; Targeting and Scoring &gt; Water Resources
&gt; Vulnerable Water Body for Total Woodland Cover
- Data &gt; Targeting and Scoring &gt; Water Resources &gt; Vulnerable Water Body for Broadleaf Woodland
- Data &gt; Targeting and Scoring &gt; Water Resources &gt; Vulnerable Water Body for Conifer Woodland</t>
    </r>
  </si>
  <si>
    <r>
      <t>Is the proposal over 50ha, or in an Integrated Water Body Catchment (IWB) identified by the Environment Agency (EA) as vulnerable to a reduction in water resource?</t>
    </r>
    <r>
      <rPr>
        <b/>
        <sz val="10"/>
        <rFont val="Verdana"/>
        <family val="2"/>
      </rPr>
      <t xml:space="preserve">
</t>
    </r>
  </si>
  <si>
    <t xml:space="preserve">Is your proposal in an area identified by the </t>
  </si>
  <si>
    <t>Environment Agency (EA) as a Nitrate Vulnerable Zone (NVZ) or a Drinking Water Safeguard Zone (SgZs)?</t>
  </si>
  <si>
    <r>
      <rPr>
        <b/>
        <sz val="10"/>
        <color theme="1"/>
        <rFont val="Verdana"/>
        <family val="2"/>
      </rPr>
      <t xml:space="preserve">How to use this form
</t>
    </r>
    <r>
      <rPr>
        <sz val="10"/>
        <color theme="1"/>
        <rFont val="Verdana"/>
        <family val="2"/>
      </rPr>
      <t xml:space="preserve">This form should be completed in three sections starting with </t>
    </r>
    <r>
      <rPr>
        <i/>
        <sz val="10"/>
        <color theme="1"/>
        <rFont val="Verdana"/>
        <family val="2"/>
      </rPr>
      <t>Intitial Application</t>
    </r>
    <r>
      <rPr>
        <sz val="10"/>
        <color theme="1"/>
        <rFont val="Verdana"/>
        <family val="2"/>
      </rPr>
      <t xml:space="preserve">, followed by </t>
    </r>
    <r>
      <rPr>
        <i/>
        <sz val="10"/>
        <color theme="1"/>
        <rFont val="Verdana"/>
        <family val="2"/>
      </rPr>
      <t>Stage 1</t>
    </r>
    <r>
      <rPr>
        <sz val="10"/>
        <color theme="1"/>
        <rFont val="Verdana"/>
        <family val="2"/>
      </rPr>
      <t xml:space="preserve">, and finally </t>
    </r>
    <r>
      <rPr>
        <i/>
        <sz val="10"/>
        <color theme="1"/>
        <rFont val="Verdana"/>
        <family val="2"/>
      </rPr>
      <t>Stage 2 (including Final Woodland Design Plan).</t>
    </r>
    <r>
      <rPr>
        <sz val="10"/>
        <color theme="1"/>
        <rFont val="Verdana"/>
        <family val="2"/>
      </rPr>
      <t xml:space="preserve">
A summary of each section and the tabs you need to complete is shown below.
You should return this form to us for review after completion of each of the three sections. We will then let you know the next steps to proceed with your application.
To help guide applicants through the process, tabs will only be visible if they are relevant to the stage you are at woth your application.
We will send formal offers for Stage 1, Stage 2 and Supplementary Payments. These must be signd and accepted before you atart any work related to that stage.</t>
    </r>
  </si>
  <si>
    <t>Please provide an overview of the woodland that you wish to design and briefly describe your economic, social and environmental objectives. The boxes will expand automatically as you type.
The concept of balanced objectives is central to sustainable forest management. The most appropriate balance should be determined according to local circumstances. 
Further guidance can be found in the Uk Forestry Standard, linked below:</t>
  </si>
  <si>
    <r>
      <rPr>
        <b/>
        <sz val="10"/>
        <rFont val="Verdana"/>
        <family val="2"/>
      </rPr>
      <t>1. Perform a MAGIC site check</t>
    </r>
    <r>
      <rPr>
        <sz val="10"/>
        <rFont val="Verdana"/>
        <family val="2"/>
      </rPr>
      <t xml:space="preserve">
Layers: Habitats and Species &gt; Priority Habitats &gt; All layers</t>
    </r>
    <r>
      <rPr>
        <u/>
        <sz val="10"/>
        <color theme="10"/>
        <rFont val="Verdana"/>
        <family val="2"/>
      </rPr>
      <t xml:space="preserve">
</t>
    </r>
    <r>
      <rPr>
        <sz val="10"/>
        <rFont val="Verdana"/>
        <family val="2"/>
      </rPr>
      <t>You must save a copy of the MAGIC report and map.</t>
    </r>
  </si>
  <si>
    <t>Submit these when you return this form.</t>
  </si>
  <si>
    <t>Are you aware of the Good Practice guidance to safeguard badgers when undertaking forestry operations and the need to obtain a licence if you</t>
  </si>
  <si>
    <t>cannot comply with the Good Practice?</t>
  </si>
  <si>
    <t>Check Flood Risk Information on GOV.UK:</t>
  </si>
  <si>
    <t xml:space="preserve">Are there any public or private water supplies, water abstraction points, or drinking water protection zones that might be affected by the </t>
  </si>
  <si>
    <r>
      <t xml:space="preserve">Is any of the proposal site uncultivated land? 
</t>
    </r>
    <r>
      <rPr>
        <i/>
        <sz val="10"/>
        <color theme="1"/>
        <rFont val="Verdana"/>
        <family val="2"/>
      </rPr>
      <t>Cultivation may be by physical means (including ploughing and harrowing) or chemical means (including the application of fertilisers</t>
    </r>
    <r>
      <rPr>
        <sz val="10"/>
        <color theme="1"/>
        <rFont val="Verdana"/>
        <family val="2"/>
      </rPr>
      <t>)</t>
    </r>
  </si>
  <si>
    <r>
      <rPr>
        <b/>
        <sz val="10"/>
        <rFont val="Verdana"/>
        <family val="2"/>
      </rPr>
      <t xml:space="preserve">2. Contact your Local Environmental Records Centre (LERC)
</t>
    </r>
    <r>
      <rPr>
        <sz val="10"/>
        <rFont val="Verdana"/>
        <family val="2"/>
      </rPr>
      <t>Request information relating to priority (s.41) habitats, protected &amp; priority (s.41) species and Local Wildlife Site boundary maps on/intersecting with (</t>
    </r>
    <r>
      <rPr>
        <b/>
        <sz val="10"/>
        <rFont val="Verdana"/>
        <family val="2"/>
      </rPr>
      <t>or within 1km</t>
    </r>
    <r>
      <rPr>
        <sz val="10"/>
        <rFont val="Verdana"/>
        <family val="2"/>
      </rPr>
      <t>) of the proposed planting footprint. You must submit a copy of the dataset and any comments when you return this form.</t>
    </r>
  </si>
  <si>
    <r>
      <rPr>
        <b/>
        <sz val="10"/>
        <color theme="1"/>
        <rFont val="Verdana"/>
        <family val="2"/>
      </rPr>
      <t>Contact your Local Environmental Records Centre (LERC)</t>
    </r>
    <r>
      <rPr>
        <sz val="10"/>
        <color theme="1"/>
        <rFont val="Verdana"/>
        <family val="2"/>
      </rPr>
      <t xml:space="preserve">
Request information available for the proposed planting area and a </t>
    </r>
    <r>
      <rPr>
        <b/>
        <sz val="10"/>
        <color theme="1"/>
        <rFont val="Verdana"/>
        <family val="2"/>
      </rPr>
      <t>surrounding 1km buffer</t>
    </r>
    <r>
      <rPr>
        <sz val="10"/>
        <color theme="1"/>
        <rFont val="Verdana"/>
        <family val="2"/>
      </rPr>
      <t xml:space="preserve">. You must submit a copy of the dataset and any comments when you return this form.
</t>
    </r>
    <r>
      <rPr>
        <b/>
        <sz val="10"/>
        <color theme="1"/>
        <rFont val="Verdana"/>
        <family val="2"/>
      </rPr>
      <t>If yes:</t>
    </r>
    <r>
      <rPr>
        <sz val="10"/>
        <color theme="1"/>
        <rFont val="Verdana"/>
        <family val="2"/>
      </rPr>
      <t xml:space="preserve">
As a landowner you would usually qualify for a free copy of the survey that determined your land as being of county/regional significance for wildlife and/or geology.</t>
    </r>
  </si>
  <si>
    <r>
      <rPr>
        <b/>
        <sz val="10"/>
        <color theme="1"/>
        <rFont val="Verdana"/>
        <family val="2"/>
      </rPr>
      <t>Contact your Local Environmental Records Centre (LERC)</t>
    </r>
    <r>
      <rPr>
        <sz val="10"/>
        <color theme="1"/>
        <rFont val="Verdana"/>
        <family val="2"/>
      </rPr>
      <t xml:space="preserve">
Request information available for the proposed planting area and a </t>
    </r>
    <r>
      <rPr>
        <b/>
        <sz val="10"/>
        <color theme="1"/>
        <rFont val="Verdana"/>
        <family val="2"/>
      </rPr>
      <t>surrounding 1km buffer</t>
    </r>
    <r>
      <rPr>
        <sz val="10"/>
        <color theme="1"/>
        <rFont val="Verdana"/>
        <family val="2"/>
      </rPr>
      <t>. You must submit a copy of the dataset and any comments when you return this form.</t>
    </r>
  </si>
  <si>
    <r>
      <t xml:space="preserve">Your LNRS may help you identify constraints on the land, such as existing irreplaceable habitat. Mapped measures over or near your land may tell you which habitat interventions would have the greatest benefits for nature and the wider environment and which could be addressed through the design of your woodland creation plan.
Your LNRS can be found on the relevant responsible authority website (not all responsible authorities have published a LNRS. If this impacts your proposal please select 'No LNRS available' from the dropdown). </t>
    </r>
    <r>
      <rPr>
        <b/>
        <sz val="10"/>
        <color theme="1"/>
        <rFont val="Verdana"/>
        <family val="2"/>
      </rPr>
      <t xml:space="preserve">Check the Gov.uk LNRS map to find your responsible authority: </t>
    </r>
    <r>
      <rPr>
        <sz val="10"/>
        <color theme="1"/>
        <rFont val="Verdana"/>
        <family val="2"/>
      </rPr>
      <t xml:space="preserve">
</t>
    </r>
  </si>
  <si>
    <t>Is the site within a National Landscape (formerly known as an Area of Outstanding Natural Beauty)?</t>
  </si>
  <si>
    <t xml:space="preserve">Check the Local Authority website for the LCA
</t>
  </si>
  <si>
    <t xml:space="preserve">Have you reviewed the Local Authority Landscape Character Assessment (LCA) in relation to </t>
  </si>
  <si>
    <t>If 'Yes' please provide further details on how you will mitigate this risk?</t>
  </si>
  <si>
    <t>Completing Stage 1 shows all necessary datasets have been checked to identify constraints, and forms your issues log. Further information on checking constraints and designations for forestry projects is available at:</t>
  </si>
  <si>
    <t>If not modelled in the ESC support system, please provide main species:</t>
  </si>
  <si>
    <r>
      <t xml:space="preserve">Check MAGIC
</t>
    </r>
    <r>
      <rPr>
        <sz val="10"/>
        <color rgb="FF000000"/>
        <rFont val="Verdana"/>
        <family val="2"/>
      </rPr>
      <t xml:space="preserve">Layer: </t>
    </r>
    <r>
      <rPr>
        <i/>
        <sz val="10"/>
        <color rgb="FF000000"/>
        <rFont val="Verdana"/>
        <family val="2"/>
      </rPr>
      <t xml:space="preserve">Access &gt; Countryside and Rights of Way Act, Section 15 Land (England)
</t>
    </r>
    <r>
      <rPr>
        <b/>
        <sz val="10"/>
        <color rgb="FF000000"/>
        <rFont val="Verdana"/>
        <family val="2"/>
      </rPr>
      <t xml:space="preserve">If yes:
Contact the Local Access Forum
</t>
    </r>
    <r>
      <rPr>
        <sz val="10"/>
        <color rgb="FF000000"/>
        <rFont val="Verdana"/>
        <family val="2"/>
      </rPr>
      <t>You must submit a copy of any correspondence when you return this form.</t>
    </r>
    <r>
      <rPr>
        <b/>
        <sz val="10"/>
        <color rgb="FF000000"/>
        <rFont val="Verdana"/>
        <family val="2"/>
      </rPr>
      <t xml:space="preserve">
Land with pre-existing public access rights
</t>
    </r>
    <r>
      <rPr>
        <sz val="10"/>
        <color rgb="FF000000"/>
        <rFont val="Verdana"/>
        <family val="2"/>
      </rPr>
      <t>Open access rights that existed before 2000 are likely to still apply. Land with these pre-existing rights is known as ‘section 15 land’. Access rights and restriction powers under the CROW Act don’t apply to Section 15 land.</t>
    </r>
  </si>
  <si>
    <r>
      <rPr>
        <i/>
        <sz val="10"/>
        <rFont val="Verdana"/>
        <family val="2"/>
      </rPr>
      <t xml:space="preserve">
Layer: 3 Linear Access Network &gt; Public Rights of Way (PRoW) Network
</t>
    </r>
    <r>
      <rPr>
        <sz val="10"/>
        <rFont val="Verdana"/>
        <family val="2"/>
      </rPr>
      <t xml:space="preserve">
The NE GI portal includes mapping information for PRoW in most areas of England. For other areas, or for the legally definitive line of a PRoW, consult the Local Highway Authority definitive map and statement.</t>
    </r>
    <r>
      <rPr>
        <sz val="10"/>
        <color theme="10"/>
        <rFont val="Verdana"/>
        <family val="2"/>
      </rPr>
      <t xml:space="preserve">
</t>
    </r>
    <r>
      <rPr>
        <b/>
        <sz val="10"/>
        <rFont val="Verdana"/>
        <family val="2"/>
      </rPr>
      <t>If yes:</t>
    </r>
    <r>
      <rPr>
        <sz val="10"/>
        <color theme="10"/>
        <rFont val="Verdana"/>
        <family val="2"/>
      </rPr>
      <t xml:space="preserve">
</t>
    </r>
    <r>
      <rPr>
        <sz val="10"/>
        <rFont val="Verdana"/>
        <family val="2"/>
      </rPr>
      <t>Contact the Local Highway Authority
Request advice from the Public Rights of Way Officer at the County Council or Unitary Authority. You must submit a copy of any correspondence when you return this form.</t>
    </r>
  </si>
  <si>
    <t>You must produce a Landscape Context Plan which shows the location of the site on an Ordnance Survey backdrop (suggested scale - 1:15,000 or 1-20,000). The Landscape Context Plan is one of the outputs required as part of the landscape character appraisal which also includes the Site Appraisal Plan (Appendix 4). 
The Landscape Context Plan should summarise the key landform and landscape patterns that influence the woodland design on the site. This plan should show contours, key features and characteristics of the wider landscape context. The plan should include text boxes with annotated narrative highlighting landscape and visual sensitivities relevant to woodland creation. The National Character Area Profiles, County and District Landscape Character Assessment (LCA) are important reference documents. Identify what further data gathering or survey work is likely to be required to produce the Site Appraisal Plan (Appendix 4) and a UKFS-compliant Woodland Creation Design Plan. Refer to the UK Forestry Standard Chapter 6 Forests and Landscape.
Example Landscape Context plans and producing maps can be found via the following links:</t>
  </si>
  <si>
    <t>If 'Yes' please provide further details on how you will mitigate known hazards or threats?
Use the 'Other Hazards &amp; Threats' table below if required</t>
  </si>
  <si>
    <r>
      <t>Other Hazards &amp; Threats (</t>
    </r>
    <r>
      <rPr>
        <b/>
        <i/>
        <sz val="12"/>
        <color theme="0"/>
        <rFont val="Verdana"/>
        <family val="2"/>
      </rPr>
      <t>cont)</t>
    </r>
  </si>
  <si>
    <t>Data &gt; Constraints &gt; Natural England Peat Map</t>
  </si>
  <si>
    <t>You will need to select the layers indicated for the check in the 'What you need to do' column, and then use the 'Site Check' tool in MAGIC to draw your site boundary as a polygon.
Define the buffer to 1,000m and click 'buffer' to apply, then perform site check to see the report. If needed, print the report as PDF and save a copy.
To save a copy of the map, use the 'Print' tool and click 'Printout' to open the map and save a copy. 
Please add as many comments as possible, summarising key landscape issues, and identify what further data gathering or survey work is likely to be required to produce a UKFS-compliant Woodland Creation Design Plan.</t>
  </si>
  <si>
    <r>
      <rPr>
        <b/>
        <sz val="11"/>
        <color theme="1"/>
        <rFont val="Verdana"/>
        <family val="2"/>
      </rPr>
      <t>Guidance</t>
    </r>
    <r>
      <rPr>
        <sz val="11"/>
        <color theme="1"/>
        <rFont val="Verdana"/>
        <family val="2"/>
      </rPr>
      <t xml:space="preserve">
To carry out most of these checks you will need to use Defra's MAGIC interactive mapping website. </t>
    </r>
  </si>
  <si>
    <t>You will need to select the layers indicated for the check in the 'What you need to do' column, and then use the 'Site Check' tool in MAGIC to draw your site boundary as a polygon.
Define the buffer to 1,000m and click 'buffer' to apply, then perform site check to see the report. If needed, print the report as PDF and save a copy.
To save a copy of the map, use the 'Print' tool and click 'Printout' to open the map and save a copy. 
Please add as many comments as possible, summarising key water issues, and identify what further data gathering or survey work is likely to be required to produce a UKFS-compliant Woodland Creation Design Plan in relation to water sensitivities.</t>
  </si>
  <si>
    <t>You will need to select the layers indicated for the check in the 'What you need to do' column, and then use the 'Site Check' tool in MAGIC to draw your site boundary as a polygon.
Define the buffer to 1,000m and click 'buffer' to apply, then perform site check to see the report. If needed, print the report as PDF and save a copy.
To save a copy of the map, use the 'Print' tool and click 'Printout' to open the map and save a copy. 
Please add as much detail as possible in the comments box, summarising the key historic environment issues and identify what further data gathering or survey work is likely to be required to produce a UKFS-compliant Woodland Creation Design Plan in relation to Historic Environment sensitivities.
Please see our guidance on notifying Historic Environment organisations:</t>
  </si>
  <si>
    <r>
      <rPr>
        <b/>
        <sz val="11"/>
        <color rgb="FF000000"/>
        <rFont val="Verdana"/>
        <family val="2"/>
      </rPr>
      <t>Guidance</t>
    </r>
    <r>
      <rPr>
        <sz val="11"/>
        <color rgb="FF000000"/>
        <rFont val="Verdana"/>
        <family val="2"/>
      </rPr>
      <t xml:space="preserve">
To carry out most of these checks you will need to use Defra's MAGIC interactive mapping website. </t>
    </r>
  </si>
  <si>
    <t>You will need to select the layers indicated for the check in the 'What you need to do' column, and then use the 'Site Check' tool in MAGIC to draw your site boundary as a polygon.
Define the buffer to 1,000m and click 'buffer' to apply, then perform site check to see the report. If needed, print the report as PDF and save a copy.
To save a copy of the map, use the 'Print' tool and click 'Printout' to open the map and save a copy. 
When considering your species choice please consider the how future climate may affect your woodland and consider how you can reduce the risk through diversification. You can find advice on our GOV.UK page Managing England’s woodland in a climate emergency. Or watch this video, which provides information on how to select species and provenances to meet management objectives.</t>
  </si>
  <si>
    <r>
      <t xml:space="preserve">Guidance
</t>
    </r>
    <r>
      <rPr>
        <sz val="11"/>
        <color theme="1"/>
        <rFont val="Verdana"/>
        <family val="2"/>
      </rPr>
      <t xml:space="preserve">To carry out most of these checks you will need to use Defra's MAGIC interactive mapping website. </t>
    </r>
  </si>
  <si>
    <r>
      <rPr>
        <b/>
        <sz val="11"/>
        <color theme="1"/>
        <rFont val="Verdana"/>
        <family val="2"/>
      </rPr>
      <t>Guidance</t>
    </r>
    <r>
      <rPr>
        <sz val="11"/>
        <color theme="1"/>
        <rFont val="Verdana"/>
        <family val="2"/>
      </rPr>
      <t xml:space="preserve">
To carry out most of these checks you will need to use Defra's MAGIC interactive mapping website.</t>
    </r>
  </si>
  <si>
    <t>You will need to select the layers indicated for the check in the 'What you need to do' column, and then use the 'Site Check' tool in MAGIC to draw your site boundary as a polygon.
Define the buffer to 1,000m and click 'buffer' to apply, then perform site check to see the report. If needed, print the report as PDF and save a copy.
To save a copy of the map, use the 'Print' tool and click 'Printout' to open the map and save a copy.
Please add as much detail as possible in the comments box, summarising the key access and local interest issues and identify what further data gathering or engagement is likely to be required to produce a UKFS-compliant Woodland Creation Design Plan.</t>
  </si>
  <si>
    <t>What is the Agricultural Land Classification (ALC) for the proposal site?</t>
  </si>
  <si>
    <r>
      <rPr>
        <b/>
        <sz val="10"/>
        <rFont val="Verdana"/>
        <family val="2"/>
      </rPr>
      <t>Check MAGIC.</t>
    </r>
    <r>
      <rPr>
        <sz val="10"/>
        <rFont val="Verdana"/>
        <family val="2"/>
      </rPr>
      <t xml:space="preserve">
Layer: Landscape &gt; Landscape Classifications &gt; Agricultural land classification - provisional (England)</t>
    </r>
  </si>
  <si>
    <t xml:space="preserve">with tree species classed as at least ‘suitable’ under the current and 2050 </t>
  </si>
  <si>
    <t>Historic Landscape Character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</si>
</sst>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8" x14ac:knownFonts="1">
    <font>
      <sz val="11"/>
      <color theme="1"/>
      <name val="Calibri"/>
      <family val="2"/>
      <scheme val="minor"/>
    </font>
    <font>
      <b/>
      <sz val="11"/>
      <color theme="1"/>
      <name val="Calibri"/>
      <family val="2"/>
      <scheme val="minor"/>
    </font>
    <font>
      <b/>
      <sz val="10"/>
      <color theme="1"/>
      <name val="Verdana"/>
      <family val="2"/>
    </font>
    <font>
      <u/>
      <sz val="11"/>
      <color theme="10"/>
      <name val="Calibri"/>
      <family val="2"/>
      <scheme val="minor"/>
    </font>
    <font>
      <b/>
      <sz val="14"/>
      <color rgb="FF00B050"/>
      <name val="Calibri"/>
      <family val="2"/>
      <scheme val="minor"/>
    </font>
    <font>
      <b/>
      <sz val="14"/>
      <color rgb="FF00B050"/>
      <name val="Verdana"/>
      <family val="2"/>
    </font>
    <font>
      <b/>
      <sz val="12"/>
      <color theme="1"/>
      <name val="Calibri"/>
      <family val="2"/>
      <scheme val="minor"/>
    </font>
    <font>
      <b/>
      <u/>
      <sz val="11"/>
      <color theme="1"/>
      <name val="Calibri"/>
      <family val="2"/>
      <scheme val="minor"/>
    </font>
    <font>
      <sz val="11"/>
      <color rgb="FF000000"/>
      <name val="Calibri"/>
      <family val="2"/>
      <scheme val="minor"/>
    </font>
    <font>
      <sz val="11"/>
      <name val="Verdana"/>
      <family val="2"/>
    </font>
    <font>
      <sz val="11"/>
      <color theme="1"/>
      <name val="Calibri"/>
      <family val="2"/>
      <scheme val="minor"/>
    </font>
    <font>
      <b/>
      <sz val="10"/>
      <color rgb="FF000000"/>
      <name val="Verdana"/>
      <family val="2"/>
    </font>
    <font>
      <sz val="11"/>
      <color rgb="FFFF0000"/>
      <name val="Calibri"/>
      <family val="2"/>
      <scheme val="minor"/>
    </font>
    <font>
      <b/>
      <sz val="10"/>
      <color rgb="FFFF0000"/>
      <name val="Verdana"/>
      <family val="2"/>
    </font>
    <font>
      <sz val="10"/>
      <color rgb="FFFF0000"/>
      <name val="Verdana"/>
      <family val="2"/>
    </font>
    <font>
      <sz val="11"/>
      <color rgb="FF7030A0"/>
      <name val="Calibri"/>
      <family val="2"/>
      <scheme val="minor"/>
    </font>
    <font>
      <sz val="11"/>
      <color rgb="FF00B0F0"/>
      <name val="Calibri"/>
      <family val="2"/>
      <scheme val="minor"/>
    </font>
    <font>
      <b/>
      <sz val="20"/>
      <name val="Verdana"/>
      <family val="2"/>
    </font>
    <font>
      <b/>
      <sz val="12"/>
      <color theme="0"/>
      <name val="Verdana"/>
      <family val="2"/>
    </font>
    <font>
      <b/>
      <sz val="11"/>
      <color theme="1"/>
      <name val="Verdana"/>
      <family val="2"/>
    </font>
    <font>
      <sz val="11"/>
      <color theme="1"/>
      <name val="Verdana"/>
      <family val="2"/>
    </font>
    <font>
      <sz val="8"/>
      <name val="Calibri"/>
      <family val="2"/>
      <scheme val="minor"/>
    </font>
    <font>
      <b/>
      <sz val="11"/>
      <color theme="0"/>
      <name val="Verdana"/>
      <family val="2"/>
    </font>
    <font>
      <sz val="10"/>
      <color theme="1"/>
      <name val="Verdana"/>
      <family val="2"/>
    </font>
    <font>
      <b/>
      <sz val="11"/>
      <name val="Verdana"/>
      <family val="2"/>
    </font>
    <font>
      <i/>
      <sz val="9"/>
      <name val="Verdana"/>
      <family val="2"/>
    </font>
    <font>
      <i/>
      <sz val="10"/>
      <color theme="1"/>
      <name val="Verdana"/>
      <family val="2"/>
    </font>
    <font>
      <b/>
      <sz val="10"/>
      <name val="Verdana"/>
      <family val="2"/>
    </font>
    <font>
      <sz val="11"/>
      <color theme="0"/>
      <name val="Verdana"/>
      <family val="2"/>
    </font>
    <font>
      <i/>
      <sz val="11"/>
      <color theme="1"/>
      <name val="Verdana"/>
      <family val="2"/>
    </font>
    <font>
      <i/>
      <sz val="10"/>
      <name val="Verdana"/>
      <family val="2"/>
    </font>
    <font>
      <u/>
      <sz val="10"/>
      <color theme="10"/>
      <name val="Verdana"/>
      <family val="2"/>
    </font>
    <font>
      <b/>
      <i/>
      <sz val="10"/>
      <color theme="1"/>
      <name val="Verdana"/>
      <family val="2"/>
    </font>
    <font>
      <sz val="10"/>
      <name val="Verdana"/>
      <family val="2"/>
    </font>
    <font>
      <b/>
      <sz val="10"/>
      <color theme="0"/>
      <name val="Verdana"/>
      <family val="2"/>
    </font>
    <font>
      <b/>
      <sz val="12"/>
      <name val="Verdana"/>
      <family val="2"/>
    </font>
    <font>
      <u/>
      <sz val="11"/>
      <color theme="10"/>
      <name val="Verdana"/>
      <family val="2"/>
    </font>
    <font>
      <i/>
      <sz val="12"/>
      <color theme="0"/>
      <name val="Verdana"/>
      <family val="2"/>
    </font>
    <font>
      <i/>
      <sz val="10"/>
      <color theme="0"/>
      <name val="Verdana"/>
      <family val="2"/>
    </font>
    <font>
      <i/>
      <sz val="11"/>
      <color theme="0"/>
      <name val="Verdana"/>
      <family val="2"/>
    </font>
    <font>
      <sz val="10"/>
      <color theme="0"/>
      <name val="Verdana"/>
      <family val="2"/>
    </font>
    <font>
      <b/>
      <sz val="20"/>
      <color theme="1"/>
      <name val="Verdana"/>
      <family val="2"/>
    </font>
    <font>
      <sz val="10"/>
      <color rgb="FF000000"/>
      <name val="Verdana"/>
      <family val="2"/>
    </font>
    <font>
      <i/>
      <sz val="10"/>
      <color rgb="FF000000"/>
      <name val="Verdana"/>
      <family val="2"/>
    </font>
    <font>
      <sz val="10"/>
      <color rgb="FFDA846B"/>
      <name val="Verdana"/>
      <family val="2"/>
    </font>
    <font>
      <i/>
      <sz val="10"/>
      <color rgb="FFDA846B"/>
      <name val="Verdana"/>
      <family val="2"/>
    </font>
    <font>
      <b/>
      <sz val="11"/>
      <color rgb="FFFA7D00"/>
      <name val="Calibri"/>
      <family val="2"/>
      <scheme val="minor"/>
    </font>
    <font>
      <i/>
      <u/>
      <sz val="11"/>
      <color theme="10"/>
      <name val="Verdana"/>
      <family val="2"/>
    </font>
    <font>
      <sz val="11"/>
      <name val="Calibri"/>
      <family val="2"/>
      <scheme val="minor"/>
    </font>
    <font>
      <b/>
      <sz val="14"/>
      <color theme="0"/>
      <name val="Verdana"/>
      <family val="2"/>
    </font>
    <font>
      <b/>
      <sz val="11"/>
      <color rgb="FF000000"/>
      <name val="Verdana"/>
      <family val="2"/>
    </font>
    <font>
      <sz val="11"/>
      <color rgb="FF000000"/>
      <name val="Verdana"/>
      <family val="2"/>
    </font>
    <font>
      <sz val="10"/>
      <color theme="10"/>
      <name val="Verdana"/>
      <family val="2"/>
    </font>
    <font>
      <b/>
      <i/>
      <sz val="11"/>
      <name val="Verdana"/>
      <family val="2"/>
    </font>
    <font>
      <b/>
      <sz val="19.5"/>
      <name val="Verdana"/>
      <family val="2"/>
    </font>
    <font>
      <i/>
      <sz val="11"/>
      <color theme="1"/>
      <name val="Calibri"/>
      <family val="2"/>
      <scheme val="minor"/>
    </font>
    <font>
      <b/>
      <sz val="11"/>
      <name val="Calibri"/>
      <family val="2"/>
      <scheme val="minor"/>
    </font>
    <font>
      <b/>
      <sz val="16"/>
      <color theme="1"/>
      <name val="Verdana"/>
      <family val="2"/>
    </font>
    <font>
      <b/>
      <u/>
      <sz val="10"/>
      <name val="Verdana"/>
      <family val="2"/>
    </font>
    <font>
      <i/>
      <sz val="11"/>
      <name val="Verdana"/>
      <family val="2"/>
    </font>
    <font>
      <u/>
      <sz val="10"/>
      <color rgb="FF0070C0"/>
      <name val="Verdana"/>
      <family val="2"/>
    </font>
    <font>
      <sz val="10"/>
      <color theme="1"/>
      <name val="Verdana"/>
      <family val="2"/>
    </font>
    <font>
      <sz val="10"/>
      <name val="Verdana"/>
      <family val="2"/>
    </font>
    <font>
      <sz val="20"/>
      <name val="Verdana"/>
      <family val="2"/>
    </font>
    <font>
      <b/>
      <sz val="14"/>
      <name val="Verdana"/>
      <family val="2"/>
    </font>
    <font>
      <b/>
      <sz val="18"/>
      <color theme="0"/>
      <name val="Verdana"/>
      <family val="2"/>
    </font>
    <font>
      <b/>
      <i/>
      <sz val="12"/>
      <color theme="0"/>
      <name val="Verdana"/>
      <family val="2"/>
    </font>
    <font>
      <b/>
      <sz val="150"/>
      <color theme="1"/>
      <name val="Arial Black"/>
      <family val="2"/>
    </font>
  </fonts>
  <fills count="2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2"/>
        <bgColor indexed="64"/>
      </patternFill>
    </fill>
    <fill>
      <patternFill patternType="solid">
        <fgColor rgb="FF006939"/>
        <bgColor indexed="64"/>
      </patternFill>
    </fill>
    <fill>
      <patternFill patternType="solid">
        <fgColor rgb="FF007390"/>
        <bgColor indexed="64"/>
      </patternFill>
    </fill>
    <fill>
      <patternFill patternType="solid">
        <fgColor rgb="FF62A60E"/>
        <bgColor indexed="64"/>
      </patternFill>
    </fill>
    <fill>
      <patternFill patternType="solid">
        <fgColor theme="6" tint="0.79998168889431442"/>
        <bgColor indexed="64"/>
      </patternFill>
    </fill>
    <fill>
      <patternFill patternType="solid">
        <fgColor rgb="FF10069F"/>
        <bgColor indexed="64"/>
      </patternFill>
    </fill>
    <fill>
      <patternFill patternType="solid">
        <fgColor rgb="FFB94700"/>
        <bgColor indexed="64"/>
      </patternFill>
    </fill>
    <fill>
      <patternFill patternType="solid">
        <fgColor rgb="FF862041"/>
        <bgColor indexed="64"/>
      </patternFill>
    </fill>
    <fill>
      <patternFill patternType="solid">
        <fgColor theme="5" tint="0.39997558519241921"/>
        <bgColor indexed="64"/>
      </patternFill>
    </fill>
    <fill>
      <patternFill patternType="solid">
        <fgColor rgb="FF006939"/>
        <bgColor rgb="FF000000"/>
      </patternFill>
    </fill>
    <fill>
      <patternFill patternType="solid">
        <fgColor rgb="FFF2F2F2"/>
      </patternFill>
    </fill>
    <fill>
      <patternFill patternType="solid">
        <fgColor rgb="FFCCECFF"/>
        <bgColor indexed="64"/>
      </patternFill>
    </fill>
    <fill>
      <patternFill patternType="solid">
        <fgColor theme="5"/>
        <bgColor indexed="64"/>
      </patternFill>
    </fill>
    <fill>
      <patternFill patternType="solid">
        <fgColor rgb="FF9933FF"/>
        <bgColor indexed="64"/>
      </patternFill>
    </fill>
    <fill>
      <patternFill patternType="solid">
        <fgColor rgb="FF7030A0"/>
        <bgColor indexed="64"/>
      </patternFill>
    </fill>
    <fill>
      <patternFill patternType="solid">
        <fgColor theme="2" tint="-0.249977111117893"/>
        <bgColor indexed="64"/>
      </patternFill>
    </fill>
    <fill>
      <patternFill patternType="solid">
        <fgColor theme="2" tint="-9.9978637043366805E-2"/>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rgb="FF7F7F7F"/>
      </right>
      <top/>
      <bottom/>
      <diagonal/>
    </border>
    <border>
      <left style="medium">
        <color indexed="64"/>
      </left>
      <right style="thin">
        <color indexed="64"/>
      </right>
      <top/>
      <bottom style="thin">
        <color indexed="64"/>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6">
    <xf numFmtId="0" fontId="0" fillId="0" borderId="0"/>
    <xf numFmtId="0" fontId="3" fillId="0" borderId="0" applyNumberFormat="0" applyFill="0" applyBorder="0" applyAlignment="0" applyProtection="0"/>
    <xf numFmtId="0" fontId="46" fillId="15" borderId="23" applyNumberFormat="0" applyAlignment="0" applyProtection="0"/>
    <xf numFmtId="0" fontId="10" fillId="0" borderId="0"/>
    <xf numFmtId="9" fontId="10" fillId="0" borderId="0" applyFont="0" applyFill="0" applyBorder="0" applyAlignment="0" applyProtection="0"/>
    <xf numFmtId="0" fontId="33" fillId="0" borderId="0"/>
  </cellStyleXfs>
  <cellXfs count="884">
    <xf numFmtId="0" fontId="0" fillId="0" borderId="0" xfId="0"/>
    <xf numFmtId="0" fontId="1" fillId="0" borderId="0" xfId="0" applyFont="1" applyAlignment="1">
      <alignment wrapText="1"/>
    </xf>
    <xf numFmtId="0" fontId="0" fillId="0" borderId="0" xfId="0" applyAlignment="1">
      <alignment wrapText="1"/>
    </xf>
    <xf numFmtId="0" fontId="19" fillId="0" borderId="1" xfId="0" applyFont="1" applyBorder="1" applyAlignment="1" applyProtection="1">
      <alignment horizontal="left" vertical="center" wrapText="1"/>
      <protection hidden="1"/>
    </xf>
    <xf numFmtId="0" fontId="18" fillId="6" borderId="1" xfId="0" applyFont="1" applyFill="1" applyBorder="1" applyAlignment="1" applyProtection="1">
      <alignment vertical="center"/>
      <protection hidden="1"/>
    </xf>
    <xf numFmtId="0" fontId="22" fillId="6" borderId="1" xfId="0" applyFont="1" applyFill="1" applyBorder="1" applyAlignment="1" applyProtection="1">
      <alignment vertical="center"/>
      <protection hidden="1"/>
    </xf>
    <xf numFmtId="0" fontId="17" fillId="0" borderId="0" xfId="0" applyFont="1" applyProtection="1">
      <protection hidden="1"/>
    </xf>
    <xf numFmtId="0" fontId="18" fillId="8" borderId="2" xfId="0" applyFont="1" applyFill="1" applyBorder="1" applyAlignment="1" applyProtection="1">
      <alignment horizontal="left" vertical="center"/>
      <protection hidden="1"/>
    </xf>
    <xf numFmtId="0" fontId="22" fillId="8" borderId="2" xfId="0" applyFont="1" applyFill="1" applyBorder="1" applyAlignment="1" applyProtection="1">
      <alignment horizontal="left" vertical="center"/>
      <protection hidden="1"/>
    </xf>
    <xf numFmtId="0" fontId="22" fillId="8" borderId="1" xfId="0" applyFont="1" applyFill="1" applyBorder="1" applyAlignment="1" applyProtection="1">
      <alignment horizontal="left" vertical="center"/>
      <protection hidden="1"/>
    </xf>
    <xf numFmtId="0" fontId="20" fillId="0" borderId="0" xfId="0" applyFont="1" applyAlignment="1" applyProtection="1">
      <alignment horizontal="left" vertical="center"/>
      <protection hidden="1"/>
    </xf>
    <xf numFmtId="0" fontId="17" fillId="0" borderId="0" xfId="0" applyFont="1" applyAlignment="1">
      <alignment vertical="center"/>
    </xf>
    <xf numFmtId="0" fontId="18" fillId="8" borderId="1" xfId="0" applyFont="1" applyFill="1" applyBorder="1" applyAlignment="1" applyProtection="1">
      <alignment vertical="center"/>
      <protection hidden="1"/>
    </xf>
    <xf numFmtId="0" fontId="19" fillId="0" borderId="0" xfId="0" applyFont="1" applyAlignment="1" applyProtection="1">
      <alignment horizontal="left" vertical="center" wrapText="1"/>
      <protection hidden="1"/>
    </xf>
    <xf numFmtId="0" fontId="23" fillId="0" borderId="0" xfId="0" applyFont="1" applyProtection="1">
      <protection hidden="1"/>
    </xf>
    <xf numFmtId="0" fontId="23" fillId="3" borderId="14" xfId="0" applyFont="1" applyFill="1" applyBorder="1" applyAlignment="1" applyProtection="1">
      <alignment horizontal="right"/>
      <protection hidden="1"/>
    </xf>
    <xf numFmtId="0" fontId="23" fillId="3" borderId="6" xfId="0" applyFont="1" applyFill="1" applyBorder="1" applyAlignment="1" applyProtection="1">
      <alignment horizontal="right"/>
      <protection hidden="1"/>
    </xf>
    <xf numFmtId="0" fontId="23" fillId="3" borderId="13" xfId="0" applyFont="1" applyFill="1" applyBorder="1" applyAlignment="1" applyProtection="1">
      <alignment horizontal="right"/>
      <protection hidden="1"/>
    </xf>
    <xf numFmtId="0" fontId="23" fillId="3" borderId="19" xfId="0" applyFont="1" applyFill="1" applyBorder="1" applyAlignment="1" applyProtection="1">
      <alignment horizontal="right"/>
      <protection hidden="1"/>
    </xf>
    <xf numFmtId="0" fontId="18" fillId="6" borderId="1" xfId="0" applyFont="1" applyFill="1" applyBorder="1" applyAlignment="1" applyProtection="1">
      <alignment horizontal="left" vertical="center"/>
      <protection hidden="1"/>
    </xf>
    <xf numFmtId="0" fontId="24" fillId="5" borderId="1" xfId="0" applyFont="1" applyFill="1" applyBorder="1" applyAlignment="1" applyProtection="1">
      <alignment vertical="center"/>
      <protection hidden="1"/>
    </xf>
    <xf numFmtId="0" fontId="18" fillId="6" borderId="3" xfId="0" applyFont="1" applyFill="1" applyBorder="1" applyAlignment="1" applyProtection="1">
      <alignment vertical="center"/>
      <protection hidden="1"/>
    </xf>
    <xf numFmtId="0" fontId="23" fillId="0" borderId="0" xfId="0" applyFont="1" applyAlignment="1" applyProtection="1">
      <alignment wrapText="1"/>
      <protection hidden="1"/>
    </xf>
    <xf numFmtId="0" fontId="23" fillId="0" borderId="0" xfId="0" applyFont="1" applyAlignment="1" applyProtection="1">
      <alignment horizontal="center" vertical="center" wrapText="1"/>
      <protection hidden="1"/>
    </xf>
    <xf numFmtId="0" fontId="2" fillId="0" borderId="0" xfId="0" applyFont="1" applyAlignment="1" applyProtection="1">
      <alignment horizontal="left" vertical="center" wrapText="1"/>
      <protection hidden="1"/>
    </xf>
    <xf numFmtId="1" fontId="20" fillId="0" borderId="0" xfId="0" applyNumberFormat="1" applyFont="1" applyAlignment="1" applyProtection="1">
      <alignment horizontal="center" vertical="center" wrapText="1"/>
      <protection hidden="1"/>
    </xf>
    <xf numFmtId="0" fontId="42" fillId="0" borderId="0" xfId="0" applyFont="1" applyProtection="1">
      <protection hidden="1"/>
    </xf>
    <xf numFmtId="0" fontId="42" fillId="0" borderId="0" xfId="0" applyFont="1" applyAlignment="1" applyProtection="1">
      <alignment wrapText="1"/>
      <protection hidden="1"/>
    </xf>
    <xf numFmtId="0" fontId="34" fillId="14" borderId="13" xfId="0" applyFont="1" applyFill="1" applyBorder="1" applyAlignment="1" applyProtection="1">
      <alignment horizontal="left" vertical="center" wrapText="1"/>
      <protection hidden="1"/>
    </xf>
    <xf numFmtId="0" fontId="34" fillId="14" borderId="5" xfId="0" applyFont="1" applyFill="1" applyBorder="1" applyAlignment="1" applyProtection="1">
      <alignment horizontal="left" vertical="center" wrapText="1"/>
      <protection hidden="1"/>
    </xf>
    <xf numFmtId="0" fontId="34" fillId="14" borderId="6" xfId="0" applyFont="1" applyFill="1" applyBorder="1" applyAlignment="1" applyProtection="1">
      <alignment horizontal="center" vertical="center" wrapText="1"/>
      <protection hidden="1"/>
    </xf>
    <xf numFmtId="0" fontId="34" fillId="14" borderId="2" xfId="0" applyFont="1" applyFill="1" applyBorder="1" applyAlignment="1" applyProtection="1">
      <alignment horizontal="left" vertical="center" wrapText="1"/>
      <protection hidden="1"/>
    </xf>
    <xf numFmtId="0" fontId="34" fillId="14" borderId="3" xfId="0" applyFont="1" applyFill="1" applyBorder="1" applyAlignment="1" applyProtection="1">
      <alignment horizontal="left" vertical="center" wrapText="1"/>
      <protection hidden="1"/>
    </xf>
    <xf numFmtId="0" fontId="34" fillId="14" borderId="4" xfId="0" applyFont="1" applyFill="1" applyBorder="1" applyAlignment="1" applyProtection="1">
      <alignment horizontal="left" vertical="center" wrapText="1"/>
      <protection hidden="1"/>
    </xf>
    <xf numFmtId="0" fontId="34" fillId="6" borderId="7" xfId="0" applyFont="1" applyFill="1" applyBorder="1" applyAlignment="1" applyProtection="1">
      <alignment horizontal="center" vertical="center" wrapText="1"/>
      <protection hidden="1"/>
    </xf>
    <xf numFmtId="0" fontId="42" fillId="0" borderId="11" xfId="0" applyFont="1" applyBorder="1" applyAlignment="1" applyProtection="1">
      <alignment horizontal="left" vertical="center" wrapText="1"/>
      <protection hidden="1"/>
    </xf>
    <xf numFmtId="0" fontId="42" fillId="0" borderId="0" xfId="0" applyFont="1" applyAlignment="1" applyProtection="1">
      <alignment horizontal="left" vertical="center" wrapText="1"/>
      <protection hidden="1"/>
    </xf>
    <xf numFmtId="0" fontId="42" fillId="0" borderId="11" xfId="0" applyFont="1" applyBorder="1" applyAlignment="1" applyProtection="1">
      <alignment wrapText="1"/>
      <protection hidden="1"/>
    </xf>
    <xf numFmtId="0" fontId="43" fillId="0" borderId="0" xfId="0" applyFont="1" applyAlignment="1" applyProtection="1">
      <alignment wrapText="1"/>
      <protection hidden="1"/>
    </xf>
    <xf numFmtId="0" fontId="42" fillId="0" borderId="13" xfId="0" applyFont="1" applyBorder="1" applyAlignment="1" applyProtection="1">
      <alignment wrapText="1"/>
      <protection hidden="1"/>
    </xf>
    <xf numFmtId="0" fontId="43" fillId="0" borderId="5" xfId="0" applyFont="1" applyBorder="1" applyAlignment="1" applyProtection="1">
      <alignment wrapText="1"/>
      <protection hidden="1"/>
    </xf>
    <xf numFmtId="0" fontId="42" fillId="0" borderId="5" xfId="0" applyFont="1" applyBorder="1" applyAlignment="1" applyProtection="1">
      <alignment wrapText="1"/>
      <protection hidden="1"/>
    </xf>
    <xf numFmtId="3" fontId="23" fillId="0" borderId="6" xfId="0" applyNumberFormat="1" applyFont="1" applyBorder="1" applyAlignment="1" applyProtection="1">
      <alignment horizontal="center" vertical="center" wrapText="1"/>
      <protection hidden="1"/>
    </xf>
    <xf numFmtId="0" fontId="33" fillId="0" borderId="11" xfId="0" applyFont="1" applyBorder="1" applyAlignment="1" applyProtection="1">
      <alignment wrapText="1"/>
      <protection hidden="1"/>
    </xf>
    <xf numFmtId="0" fontId="30" fillId="0" borderId="0" xfId="0" applyFont="1" applyAlignment="1" applyProtection="1">
      <alignment wrapText="1"/>
      <protection hidden="1"/>
    </xf>
    <xf numFmtId="0" fontId="33" fillId="0" borderId="0" xfId="0" applyFont="1" applyAlignment="1" applyProtection="1">
      <alignment wrapText="1"/>
      <protection hidden="1"/>
    </xf>
    <xf numFmtId="0" fontId="34" fillId="14" borderId="2" xfId="0" applyFont="1" applyFill="1" applyBorder="1" applyAlignment="1" applyProtection="1">
      <alignment wrapText="1"/>
      <protection hidden="1"/>
    </xf>
    <xf numFmtId="0" fontId="34" fillId="14" borderId="3" xfId="0" applyFont="1" applyFill="1" applyBorder="1" applyAlignment="1" applyProtection="1">
      <alignment wrapText="1"/>
      <protection hidden="1"/>
    </xf>
    <xf numFmtId="0" fontId="34" fillId="6" borderId="1" xfId="0" applyFont="1" applyFill="1" applyBorder="1" applyAlignment="1" applyProtection="1">
      <alignment horizontal="center" vertical="center" wrapText="1"/>
      <protection hidden="1"/>
    </xf>
    <xf numFmtId="0" fontId="42" fillId="13" borderId="11" xfId="0" applyFont="1" applyFill="1" applyBorder="1" applyAlignment="1" applyProtection="1">
      <alignment wrapText="1"/>
      <protection hidden="1"/>
    </xf>
    <xf numFmtId="0" fontId="42" fillId="0" borderId="9" xfId="0" applyFont="1" applyBorder="1" applyAlignment="1" applyProtection="1">
      <alignment wrapText="1"/>
      <protection hidden="1"/>
    </xf>
    <xf numFmtId="0" fontId="42" fillId="0" borderId="10" xfId="0" applyFont="1" applyBorder="1" applyAlignment="1" applyProtection="1">
      <alignment wrapText="1"/>
      <protection hidden="1"/>
    </xf>
    <xf numFmtId="0" fontId="42" fillId="0" borderId="12" xfId="0" applyFont="1" applyBorder="1" applyAlignment="1" applyProtection="1">
      <alignment wrapText="1"/>
      <protection hidden="1"/>
    </xf>
    <xf numFmtId="3" fontId="23" fillId="0" borderId="15" xfId="0" applyNumberFormat="1" applyFont="1" applyBorder="1" applyAlignment="1" applyProtection="1">
      <alignment horizontal="center" vertical="center" wrapText="1"/>
      <protection hidden="1"/>
    </xf>
    <xf numFmtId="0" fontId="43" fillId="0" borderId="0" xfId="0" applyFont="1" applyAlignment="1" applyProtection="1">
      <alignment vertical="center" wrapText="1"/>
      <protection hidden="1"/>
    </xf>
    <xf numFmtId="0" fontId="42" fillId="4" borderId="11" xfId="0" applyFont="1" applyFill="1" applyBorder="1" applyAlignment="1" applyProtection="1">
      <alignment wrapText="1"/>
      <protection hidden="1"/>
    </xf>
    <xf numFmtId="0" fontId="42" fillId="0" borderId="14" xfId="0" applyFont="1" applyBorder="1" applyAlignment="1" applyProtection="1">
      <alignment wrapText="1"/>
      <protection hidden="1"/>
    </xf>
    <xf numFmtId="0" fontId="42" fillId="0" borderId="2" xfId="0" applyFont="1" applyBorder="1" applyAlignment="1" applyProtection="1">
      <alignment wrapText="1"/>
      <protection hidden="1"/>
    </xf>
    <xf numFmtId="0" fontId="43" fillId="0" borderId="3" xfId="0" applyFont="1" applyBorder="1" applyAlignment="1" applyProtection="1">
      <alignment wrapText="1"/>
      <protection hidden="1"/>
    </xf>
    <xf numFmtId="0" fontId="42" fillId="0" borderId="4" xfId="0" applyFont="1" applyBorder="1" applyAlignment="1" applyProtection="1">
      <alignment wrapText="1"/>
      <protection hidden="1"/>
    </xf>
    <xf numFmtId="3" fontId="23" fillId="0" borderId="1" xfId="0" applyNumberFormat="1" applyFont="1" applyBorder="1" applyAlignment="1" applyProtection="1">
      <alignment horizontal="center" vertical="center" wrapText="1"/>
      <protection hidden="1"/>
    </xf>
    <xf numFmtId="0" fontId="42" fillId="0" borderId="8" xfId="0" applyFont="1" applyBorder="1" applyAlignment="1" applyProtection="1">
      <alignment wrapText="1"/>
      <protection hidden="1"/>
    </xf>
    <xf numFmtId="0" fontId="43" fillId="0" borderId="9" xfId="0" applyFont="1" applyBorder="1" applyAlignment="1" applyProtection="1">
      <alignment wrapText="1"/>
      <protection hidden="1"/>
    </xf>
    <xf numFmtId="0" fontId="42" fillId="13" borderId="13" xfId="0" applyFont="1" applyFill="1" applyBorder="1" applyAlignment="1" applyProtection="1">
      <alignment wrapText="1"/>
      <protection hidden="1"/>
    </xf>
    <xf numFmtId="3" fontId="42" fillId="0" borderId="15" xfId="0" applyNumberFormat="1" applyFont="1" applyBorder="1" applyAlignment="1" applyProtection="1">
      <alignment horizontal="center" wrapText="1"/>
      <protection hidden="1"/>
    </xf>
    <xf numFmtId="0" fontId="13" fillId="0" borderId="0" xfId="0" applyFont="1" applyAlignment="1" applyProtection="1">
      <alignment wrapText="1"/>
      <protection hidden="1"/>
    </xf>
    <xf numFmtId="0" fontId="20" fillId="0" borderId="4" xfId="0" applyFont="1" applyBorder="1" applyAlignment="1" applyProtection="1">
      <alignment vertical="center" wrapText="1"/>
      <protection locked="0"/>
    </xf>
    <xf numFmtId="0" fontId="0" fillId="8" borderId="26" xfId="0" applyFill="1" applyBorder="1"/>
    <xf numFmtId="0" fontId="0" fillId="8" borderId="27" xfId="0" applyFill="1" applyBorder="1"/>
    <xf numFmtId="0" fontId="0" fillId="8" borderId="28" xfId="0" applyFill="1" applyBorder="1"/>
    <xf numFmtId="0" fontId="1" fillId="8" borderId="25" xfId="0" applyFont="1" applyFill="1" applyBorder="1"/>
    <xf numFmtId="0" fontId="0" fillId="6" borderId="0" xfId="0" applyFill="1"/>
    <xf numFmtId="0" fontId="19" fillId="5" borderId="1" xfId="0" applyFont="1" applyFill="1" applyBorder="1" applyAlignment="1" applyProtection="1">
      <alignment horizontal="left" vertical="center" wrapText="1"/>
      <protection hidden="1"/>
    </xf>
    <xf numFmtId="0" fontId="26" fillId="5" borderId="2" xfId="0" applyFont="1" applyFill="1" applyBorder="1" applyAlignment="1" applyProtection="1">
      <alignment horizontal="left" vertical="center" wrapText="1"/>
      <protection hidden="1"/>
    </xf>
    <xf numFmtId="0" fontId="26" fillId="5" borderId="1" xfId="0" applyFont="1" applyFill="1" applyBorder="1" applyAlignment="1" applyProtection="1">
      <alignment horizontal="left" vertical="center" wrapText="1"/>
      <protection hidden="1"/>
    </xf>
    <xf numFmtId="0" fontId="18" fillId="7" borderId="2" xfId="0" applyFont="1" applyFill="1" applyBorder="1" applyAlignment="1" applyProtection="1">
      <alignment vertical="center"/>
      <protection hidden="1"/>
    </xf>
    <xf numFmtId="0" fontId="18" fillId="7" borderId="3" xfId="0" applyFont="1" applyFill="1" applyBorder="1" applyAlignment="1" applyProtection="1">
      <alignment vertical="center"/>
      <protection hidden="1"/>
    </xf>
    <xf numFmtId="0" fontId="18" fillId="7" borderId="4" xfId="0" applyFont="1" applyFill="1" applyBorder="1" applyAlignment="1" applyProtection="1">
      <alignment vertical="center"/>
      <protection hidden="1"/>
    </xf>
    <xf numFmtId="2" fontId="19" fillId="3" borderId="1" xfId="0" applyNumberFormat="1" applyFont="1" applyFill="1" applyBorder="1" applyAlignment="1" applyProtection="1">
      <alignment horizontal="center" vertical="center"/>
      <protection hidden="1"/>
    </xf>
    <xf numFmtId="0" fontId="23" fillId="0" borderId="0" xfId="0" applyFont="1" applyAlignment="1" applyProtection="1">
      <alignment horizontal="center" vertical="center"/>
      <protection hidden="1"/>
    </xf>
    <xf numFmtId="0" fontId="2" fillId="0" borderId="0" xfId="0" applyFont="1" applyAlignment="1" applyProtection="1">
      <alignment horizontal="left" vertical="center"/>
      <protection hidden="1"/>
    </xf>
    <xf numFmtId="0" fontId="23" fillId="0" borderId="0" xfId="0" applyFont="1" applyAlignment="1" applyProtection="1">
      <alignment horizontal="left" vertical="center"/>
      <protection hidden="1"/>
    </xf>
    <xf numFmtId="2" fontId="2" fillId="0" borderId="0" xfId="0" applyNumberFormat="1" applyFont="1" applyAlignment="1" applyProtection="1">
      <alignment horizontal="center" vertical="center"/>
      <protection hidden="1"/>
    </xf>
    <xf numFmtId="2" fontId="23" fillId="0" borderId="0" xfId="0" applyNumberFormat="1" applyFont="1" applyAlignment="1" applyProtection="1">
      <alignment horizontal="center" vertical="center"/>
      <protection hidden="1"/>
    </xf>
    <xf numFmtId="0" fontId="23" fillId="0" borderId="0" xfId="0" applyFont="1" applyAlignment="1" applyProtection="1">
      <alignment vertical="center"/>
      <protection hidden="1"/>
    </xf>
    <xf numFmtId="0" fontId="2" fillId="16" borderId="1" xfId="0" applyFont="1" applyFill="1" applyBorder="1" applyAlignment="1" applyProtection="1">
      <alignment horizontal="center" vertical="center" wrapText="1"/>
      <protection hidden="1"/>
    </xf>
    <xf numFmtId="3" fontId="2" fillId="3" borderId="2" xfId="0" applyNumberFormat="1" applyFont="1" applyFill="1" applyBorder="1" applyAlignment="1" applyProtection="1">
      <alignment horizontal="center" vertical="center"/>
      <protection hidden="1"/>
    </xf>
    <xf numFmtId="3" fontId="2" fillId="3" borderId="1" xfId="0" applyNumberFormat="1" applyFont="1" applyFill="1" applyBorder="1" applyAlignment="1" applyProtection="1">
      <alignment horizontal="center" vertical="center"/>
      <protection hidden="1"/>
    </xf>
    <xf numFmtId="3" fontId="2" fillId="3" borderId="7" xfId="0" applyNumberFormat="1" applyFont="1" applyFill="1" applyBorder="1" applyAlignment="1" applyProtection="1">
      <alignment horizontal="center" vertical="center"/>
      <protection hidden="1"/>
    </xf>
    <xf numFmtId="0" fontId="2" fillId="0" borderId="7" xfId="0" applyFont="1" applyBorder="1" applyAlignment="1" applyProtection="1">
      <alignment horizontal="center"/>
      <protection hidden="1"/>
    </xf>
    <xf numFmtId="0" fontId="2" fillId="0" borderId="7" xfId="0" applyFont="1" applyBorder="1" applyAlignment="1" applyProtection="1">
      <alignment horizontal="center" vertical="center"/>
      <protection hidden="1"/>
    </xf>
    <xf numFmtId="0" fontId="2" fillId="0" borderId="0" xfId="0" applyFont="1" applyAlignment="1" applyProtection="1">
      <alignment horizontal="center"/>
      <protection hidden="1"/>
    </xf>
    <xf numFmtId="0" fontId="2" fillId="4" borderId="29" xfId="0" applyFont="1" applyFill="1" applyBorder="1" applyAlignment="1" applyProtection="1">
      <alignment horizontal="center" vertical="center"/>
      <protection hidden="1"/>
    </xf>
    <xf numFmtId="0" fontId="2" fillId="4" borderId="30" xfId="0" applyFont="1" applyFill="1" applyBorder="1" applyAlignment="1" applyProtection="1">
      <alignment horizontal="center" vertical="center"/>
      <protection hidden="1"/>
    </xf>
    <xf numFmtId="0" fontId="2" fillId="4" borderId="31" xfId="0" applyFont="1" applyFill="1" applyBorder="1" applyAlignment="1" applyProtection="1">
      <alignment horizontal="center" vertical="center"/>
      <protection hidden="1"/>
    </xf>
    <xf numFmtId="0" fontId="2" fillId="3" borderId="16" xfId="0" applyFont="1" applyFill="1" applyBorder="1" applyAlignment="1" applyProtection="1">
      <alignment horizontal="center" vertical="center" wrapText="1"/>
      <protection hidden="1"/>
    </xf>
    <xf numFmtId="0" fontId="2" fillId="3" borderId="17" xfId="0" applyFont="1" applyFill="1" applyBorder="1" applyAlignment="1" applyProtection="1">
      <alignment horizontal="center" vertical="center" wrapText="1"/>
      <protection hidden="1"/>
    </xf>
    <xf numFmtId="0" fontId="2" fillId="3" borderId="18" xfId="0" applyFont="1" applyFill="1" applyBorder="1" applyAlignment="1" applyProtection="1">
      <alignment horizontal="center" vertical="center" wrapText="1"/>
      <protection hidden="1"/>
    </xf>
    <xf numFmtId="0" fontId="23" fillId="0" borderId="0" xfId="0" applyFont="1" applyAlignment="1" applyProtection="1">
      <alignment horizontal="center" vertical="top"/>
      <protection hidden="1"/>
    </xf>
    <xf numFmtId="4" fontId="23" fillId="4" borderId="6" xfId="0" applyNumberFormat="1" applyFont="1" applyFill="1" applyBorder="1" applyAlignment="1" applyProtection="1">
      <alignment horizontal="center" vertical="center"/>
      <protection hidden="1"/>
    </xf>
    <xf numFmtId="2" fontId="23" fillId="4" borderId="4" xfId="0" applyNumberFormat="1" applyFont="1" applyFill="1" applyBorder="1" applyAlignment="1" applyProtection="1">
      <alignment horizontal="right" vertical="center"/>
      <protection hidden="1"/>
    </xf>
    <xf numFmtId="2" fontId="23" fillId="4" borderId="1" xfId="0" applyNumberFormat="1" applyFont="1" applyFill="1" applyBorder="1" applyAlignment="1" applyProtection="1">
      <alignment horizontal="right" vertical="center"/>
      <protection hidden="1"/>
    </xf>
    <xf numFmtId="2" fontId="23" fillId="4" borderId="2" xfId="0" applyNumberFormat="1" applyFont="1" applyFill="1" applyBorder="1" applyAlignment="1" applyProtection="1">
      <alignment horizontal="right" vertical="center"/>
      <protection hidden="1"/>
    </xf>
    <xf numFmtId="2" fontId="23" fillId="4" borderId="20" xfId="0" applyNumberFormat="1" applyFont="1" applyFill="1" applyBorder="1" applyAlignment="1" applyProtection="1">
      <alignment horizontal="right" vertical="center"/>
      <protection hidden="1"/>
    </xf>
    <xf numFmtId="3" fontId="23" fillId="3" borderId="1" xfId="0" applyNumberFormat="1" applyFont="1" applyFill="1" applyBorder="1" applyAlignment="1" applyProtection="1">
      <alignment horizontal="center" vertical="center"/>
      <protection hidden="1"/>
    </xf>
    <xf numFmtId="2" fontId="23" fillId="4" borderId="7" xfId="0" applyNumberFormat="1" applyFont="1" applyFill="1" applyBorder="1" applyAlignment="1" applyProtection="1">
      <alignment horizontal="right" vertical="center"/>
      <protection hidden="1"/>
    </xf>
    <xf numFmtId="2" fontId="23" fillId="4" borderId="8" xfId="0" applyNumberFormat="1" applyFont="1" applyFill="1" applyBorder="1" applyAlignment="1" applyProtection="1">
      <alignment horizontal="right" vertical="center"/>
      <protection hidden="1"/>
    </xf>
    <xf numFmtId="2" fontId="23" fillId="4" borderId="21" xfId="0" applyNumberFormat="1" applyFont="1" applyFill="1" applyBorder="1" applyAlignment="1" applyProtection="1">
      <alignment horizontal="right" vertical="center"/>
      <protection hidden="1"/>
    </xf>
    <xf numFmtId="2" fontId="23" fillId="4" borderId="10" xfId="0" applyNumberFormat="1" applyFont="1" applyFill="1" applyBorder="1" applyAlignment="1" applyProtection="1">
      <alignment horizontal="right" vertical="center"/>
      <protection hidden="1"/>
    </xf>
    <xf numFmtId="0" fontId="23" fillId="2" borderId="15" xfId="0" applyFont="1" applyFill="1" applyBorder="1" applyAlignment="1" applyProtection="1">
      <alignment horizontal="right"/>
      <protection hidden="1"/>
    </xf>
    <xf numFmtId="0" fontId="23" fillId="2" borderId="11" xfId="0" applyFont="1" applyFill="1" applyBorder="1" applyAlignment="1" applyProtection="1">
      <alignment horizontal="right"/>
      <protection hidden="1"/>
    </xf>
    <xf numFmtId="0" fontId="23" fillId="2" borderId="22" xfId="0" applyFont="1" applyFill="1" applyBorder="1" applyAlignment="1" applyProtection="1">
      <alignment horizontal="right"/>
      <protection hidden="1"/>
    </xf>
    <xf numFmtId="0" fontId="23" fillId="4" borderId="4" xfId="0" applyFont="1" applyFill="1" applyBorder="1" applyAlignment="1" applyProtection="1">
      <alignment horizontal="right" vertical="center"/>
      <protection hidden="1"/>
    </xf>
    <xf numFmtId="0" fontId="23" fillId="2" borderId="6" xfId="0" applyFont="1" applyFill="1" applyBorder="1" applyAlignment="1" applyProtection="1">
      <alignment horizontal="right"/>
      <protection hidden="1"/>
    </xf>
    <xf numFmtId="0" fontId="23" fillId="2" borderId="13" xfId="0" applyFont="1" applyFill="1" applyBorder="1" applyAlignment="1" applyProtection="1">
      <alignment horizontal="right"/>
      <protection hidden="1"/>
    </xf>
    <xf numFmtId="0" fontId="2" fillId="0" borderId="0" xfId="0" applyFont="1" applyAlignment="1" applyProtection="1">
      <alignment horizontal="center" vertical="center"/>
      <protection hidden="1"/>
    </xf>
    <xf numFmtId="3" fontId="23" fillId="0" borderId="0" xfId="0" applyNumberFormat="1" applyFont="1" applyAlignment="1" applyProtection="1">
      <alignment horizontal="right" vertical="center"/>
      <protection hidden="1"/>
    </xf>
    <xf numFmtId="4" fontId="23" fillId="4" borderId="0" xfId="0" applyNumberFormat="1" applyFont="1" applyFill="1" applyAlignment="1" applyProtection="1">
      <alignment horizontal="right" vertical="center"/>
      <protection hidden="1"/>
    </xf>
    <xf numFmtId="0" fontId="23" fillId="0" borderId="0" xfId="0" applyFont="1" applyAlignment="1" applyProtection="1">
      <alignment horizontal="right" vertical="center"/>
      <protection hidden="1"/>
    </xf>
    <xf numFmtId="2" fontId="23" fillId="4" borderId="0" xfId="0" applyNumberFormat="1" applyFont="1" applyFill="1" applyAlignment="1" applyProtection="1">
      <alignment horizontal="right" vertical="center"/>
      <protection hidden="1"/>
    </xf>
    <xf numFmtId="0" fontId="22" fillId="11" borderId="2" xfId="0" applyFont="1" applyFill="1" applyBorder="1" applyAlignment="1" applyProtection="1">
      <alignment horizontal="center" vertical="center" wrapText="1"/>
      <protection hidden="1"/>
    </xf>
    <xf numFmtId="0" fontId="22" fillId="11" borderId="1" xfId="0" applyFont="1" applyFill="1" applyBorder="1" applyAlignment="1" applyProtection="1">
      <alignment horizontal="center" vertical="center" wrapText="1"/>
      <protection hidden="1"/>
    </xf>
    <xf numFmtId="0" fontId="2" fillId="3" borderId="34" xfId="0" applyFont="1" applyFill="1" applyBorder="1" applyAlignment="1" applyProtection="1">
      <alignment horizontal="center" vertical="top" wrapText="1"/>
      <protection hidden="1"/>
    </xf>
    <xf numFmtId="4" fontId="23" fillId="4" borderId="1" xfId="0" applyNumberFormat="1" applyFont="1" applyFill="1" applyBorder="1" applyAlignment="1" applyProtection="1">
      <alignment horizontal="center" vertical="center"/>
      <protection hidden="1"/>
    </xf>
    <xf numFmtId="3" fontId="23" fillId="3" borderId="20" xfId="0" applyNumberFormat="1" applyFont="1" applyFill="1" applyBorder="1" applyAlignment="1" applyProtection="1">
      <alignment horizontal="center" vertical="center"/>
      <protection hidden="1"/>
    </xf>
    <xf numFmtId="4" fontId="23" fillId="4" borderId="36" xfId="0" applyNumberFormat="1" applyFont="1" applyFill="1" applyBorder="1" applyAlignment="1" applyProtection="1">
      <alignment horizontal="center" vertical="center"/>
      <protection hidden="1"/>
    </xf>
    <xf numFmtId="3" fontId="23" fillId="3" borderId="37" xfId="0" applyNumberFormat="1" applyFont="1" applyFill="1" applyBorder="1" applyAlignment="1" applyProtection="1">
      <alignment horizontal="center" vertical="center"/>
      <protection hidden="1"/>
    </xf>
    <xf numFmtId="0" fontId="2" fillId="3" borderId="33" xfId="0" applyFont="1" applyFill="1" applyBorder="1" applyAlignment="1" applyProtection="1">
      <alignment horizontal="center" vertical="top" wrapText="1"/>
      <protection hidden="1"/>
    </xf>
    <xf numFmtId="0" fontId="2" fillId="3" borderId="1" xfId="0" applyFont="1" applyFill="1" applyBorder="1" applyAlignment="1" applyProtection="1">
      <alignment horizontal="center" vertical="top" wrapText="1"/>
      <protection hidden="1"/>
    </xf>
    <xf numFmtId="0" fontId="2" fillId="3" borderId="20" xfId="0" applyFont="1" applyFill="1" applyBorder="1" applyAlignment="1" applyProtection="1">
      <alignment horizontal="center" vertical="top" wrapText="1"/>
      <protection hidden="1"/>
    </xf>
    <xf numFmtId="3" fontId="23" fillId="3" borderId="19" xfId="0" applyNumberFormat="1" applyFont="1" applyFill="1" applyBorder="1" applyAlignment="1" applyProtection="1">
      <alignment horizontal="center" vertical="center"/>
      <protection hidden="1"/>
    </xf>
    <xf numFmtId="0" fontId="32" fillId="3" borderId="35" xfId="0" applyFont="1" applyFill="1" applyBorder="1" applyAlignment="1" applyProtection="1">
      <alignment horizontal="center" vertical="center"/>
      <protection hidden="1"/>
    </xf>
    <xf numFmtId="0" fontId="32" fillId="3" borderId="36" xfId="0" applyFont="1" applyFill="1" applyBorder="1" applyAlignment="1" applyProtection="1">
      <alignment horizontal="center" vertical="center" wrapText="1"/>
      <protection hidden="1"/>
    </xf>
    <xf numFmtId="0" fontId="32" fillId="3" borderId="36" xfId="0" applyFont="1" applyFill="1" applyBorder="1" applyAlignment="1" applyProtection="1">
      <alignment horizontal="center" vertical="center"/>
      <protection hidden="1"/>
    </xf>
    <xf numFmtId="2" fontId="32" fillId="3" borderId="36" xfId="0" applyNumberFormat="1" applyFont="1" applyFill="1" applyBorder="1" applyAlignment="1" applyProtection="1">
      <alignment horizontal="center" vertical="center"/>
      <protection hidden="1"/>
    </xf>
    <xf numFmtId="3" fontId="32" fillId="3" borderId="36" xfId="0" applyNumberFormat="1" applyFont="1" applyFill="1" applyBorder="1" applyAlignment="1" applyProtection="1">
      <alignment horizontal="center" vertical="center"/>
      <protection hidden="1"/>
    </xf>
    <xf numFmtId="3" fontId="32" fillId="3" borderId="37" xfId="0" applyNumberFormat="1" applyFont="1" applyFill="1" applyBorder="1" applyAlignment="1" applyProtection="1">
      <alignment horizontal="center" vertical="center"/>
      <protection hidden="1"/>
    </xf>
    <xf numFmtId="0" fontId="34" fillId="14" borderId="2" xfId="0" applyFont="1" applyFill="1" applyBorder="1" applyAlignment="1" applyProtection="1">
      <alignment vertical="center" wrapText="1"/>
      <protection hidden="1"/>
    </xf>
    <xf numFmtId="0" fontId="34" fillId="14" borderId="3" xfId="0" applyFont="1" applyFill="1" applyBorder="1" applyAlignment="1" applyProtection="1">
      <alignment vertical="center" wrapText="1"/>
      <protection hidden="1"/>
    </xf>
    <xf numFmtId="0" fontId="34" fillId="14" borderId="4" xfId="0" applyFont="1" applyFill="1" applyBorder="1" applyAlignment="1" applyProtection="1">
      <alignment vertical="center" wrapText="1"/>
      <protection hidden="1"/>
    </xf>
    <xf numFmtId="3" fontId="42" fillId="0" borderId="6" xfId="0" applyNumberFormat="1" applyFont="1" applyBorder="1" applyAlignment="1" applyProtection="1">
      <alignment horizontal="center" wrapText="1"/>
      <protection hidden="1"/>
    </xf>
    <xf numFmtId="0" fontId="34" fillId="14" borderId="8" xfId="0" applyFont="1" applyFill="1" applyBorder="1" applyAlignment="1" applyProtection="1">
      <alignment horizontal="left" vertical="center" wrapText="1"/>
      <protection hidden="1"/>
    </xf>
    <xf numFmtId="0" fontId="34" fillId="14" borderId="9" xfId="0" applyFont="1" applyFill="1" applyBorder="1" applyAlignment="1" applyProtection="1">
      <alignment horizontal="left" vertical="center" wrapText="1"/>
      <protection hidden="1"/>
    </xf>
    <xf numFmtId="0" fontId="34" fillId="14" borderId="10" xfId="0" applyFont="1" applyFill="1" applyBorder="1" applyAlignment="1" applyProtection="1">
      <alignment horizontal="left" vertical="center" wrapText="1"/>
      <protection hidden="1"/>
    </xf>
    <xf numFmtId="0" fontId="34" fillId="14" borderId="8" xfId="0" applyFont="1" applyFill="1" applyBorder="1" applyAlignment="1" applyProtection="1">
      <alignment vertical="center" wrapText="1"/>
      <protection hidden="1"/>
    </xf>
    <xf numFmtId="0" fontId="34" fillId="14" borderId="9" xfId="0" applyFont="1" applyFill="1" applyBorder="1" applyAlignment="1" applyProtection="1">
      <alignment vertical="center" wrapText="1"/>
      <protection hidden="1"/>
    </xf>
    <xf numFmtId="0" fontId="34" fillId="14" borderId="10" xfId="0" applyFont="1" applyFill="1" applyBorder="1" applyAlignment="1" applyProtection="1">
      <alignment vertical="center" wrapText="1"/>
      <protection hidden="1"/>
    </xf>
    <xf numFmtId="0" fontId="8" fillId="0" borderId="24" xfId="0" applyFont="1" applyBorder="1" applyAlignment="1" applyProtection="1">
      <alignment horizontal="left" vertical="center"/>
      <protection hidden="1"/>
    </xf>
    <xf numFmtId="0" fontId="34" fillId="6" borderId="7" xfId="0" applyFont="1" applyFill="1" applyBorder="1" applyAlignment="1" applyProtection="1">
      <alignment horizontal="center" wrapText="1"/>
      <protection hidden="1"/>
    </xf>
    <xf numFmtId="0" fontId="22" fillId="11" borderId="1" xfId="0" applyFont="1" applyFill="1" applyBorder="1" applyAlignment="1" applyProtection="1">
      <alignment vertical="center"/>
      <protection hidden="1"/>
    </xf>
    <xf numFmtId="0" fontId="22" fillId="7" borderId="1" xfId="0" applyFont="1" applyFill="1" applyBorder="1" applyAlignment="1" applyProtection="1">
      <alignment vertical="center"/>
      <protection hidden="1"/>
    </xf>
    <xf numFmtId="0" fontId="0" fillId="6" borderId="38" xfId="0" applyFill="1" applyBorder="1"/>
    <xf numFmtId="0" fontId="0" fillId="6" borderId="39" xfId="0" applyFill="1" applyBorder="1"/>
    <xf numFmtId="0" fontId="18" fillId="6" borderId="3" xfId="0" applyFont="1" applyFill="1" applyBorder="1" applyAlignment="1" applyProtection="1">
      <alignment vertical="center" wrapText="1"/>
      <protection hidden="1"/>
    </xf>
    <xf numFmtId="0" fontId="24" fillId="5" borderId="1" xfId="0" applyFont="1" applyFill="1" applyBorder="1" applyAlignment="1" applyProtection="1">
      <alignment vertical="center" wrapText="1"/>
      <protection hidden="1"/>
    </xf>
    <xf numFmtId="0" fontId="23" fillId="0" borderId="1" xfId="0" applyFont="1" applyBorder="1" applyAlignment="1" applyProtection="1">
      <alignment vertical="center" wrapText="1"/>
      <protection locked="0"/>
    </xf>
    <xf numFmtId="14" fontId="23" fillId="0" borderId="1" xfId="0" applyNumberFormat="1" applyFont="1" applyBorder="1" applyAlignment="1" applyProtection="1">
      <alignment vertical="center" wrapText="1"/>
      <protection locked="0"/>
    </xf>
    <xf numFmtId="0" fontId="23" fillId="0" borderId="2" xfId="0" applyFont="1" applyBorder="1" applyAlignment="1" applyProtection="1">
      <alignment vertical="center" wrapText="1"/>
      <protection locked="0"/>
    </xf>
    <xf numFmtId="0" fontId="0" fillId="0" borderId="0" xfId="0" applyProtection="1">
      <protection locked="0"/>
    </xf>
    <xf numFmtId="0" fontId="23" fillId="5" borderId="1" xfId="0" applyFont="1" applyFill="1" applyBorder="1" applyProtection="1">
      <protection hidden="1"/>
    </xf>
    <xf numFmtId="0" fontId="0" fillId="5" borderId="1" xfId="0" applyFill="1" applyBorder="1" applyProtection="1">
      <protection hidden="1"/>
    </xf>
    <xf numFmtId="2" fontId="2" fillId="3" borderId="1" xfId="0" applyNumberFormat="1" applyFont="1" applyFill="1" applyBorder="1" applyAlignment="1" applyProtection="1">
      <alignment horizontal="center" vertical="center"/>
      <protection hidden="1"/>
    </xf>
    <xf numFmtId="0" fontId="50" fillId="0" borderId="1" xfId="0" applyFont="1" applyBorder="1" applyAlignment="1" applyProtection="1">
      <alignment vertical="center" wrapText="1"/>
      <protection hidden="1"/>
    </xf>
    <xf numFmtId="0" fontId="0" fillId="4" borderId="1" xfId="0" applyFill="1" applyBorder="1" applyAlignment="1" applyProtection="1">
      <alignment vertical="center" wrapText="1"/>
      <protection hidden="1"/>
    </xf>
    <xf numFmtId="0" fontId="55" fillId="4" borderId="1" xfId="0" applyFont="1" applyFill="1" applyBorder="1" applyAlignment="1" applyProtection="1">
      <alignment vertical="center" wrapText="1"/>
      <protection hidden="1"/>
    </xf>
    <xf numFmtId="0" fontId="0" fillId="0" borderId="1" xfId="0" applyBorder="1" applyAlignment="1">
      <alignment wrapText="1"/>
    </xf>
    <xf numFmtId="0" fontId="0" fillId="0" borderId="7" xfId="0" applyBorder="1" applyAlignment="1">
      <alignment wrapText="1"/>
    </xf>
    <xf numFmtId="0" fontId="0" fillId="0" borderId="6" xfId="0" applyBorder="1" applyAlignment="1">
      <alignment wrapText="1"/>
    </xf>
    <xf numFmtId="0" fontId="0" fillId="0" borderId="11" xfId="0" applyBorder="1" applyAlignment="1">
      <alignment wrapText="1"/>
    </xf>
    <xf numFmtId="0" fontId="0" fillId="0" borderId="12" xfId="0" applyBorder="1" applyAlignment="1">
      <alignment wrapText="1"/>
    </xf>
    <xf numFmtId="0" fontId="0" fillId="0" borderId="13" xfId="0" applyBorder="1" applyAlignment="1">
      <alignment wrapText="1"/>
    </xf>
    <xf numFmtId="0" fontId="0" fillId="0" borderId="5" xfId="0" applyBorder="1" applyAlignment="1">
      <alignment wrapText="1"/>
    </xf>
    <xf numFmtId="0" fontId="0" fillId="0" borderId="14" xfId="0" applyBorder="1" applyAlignment="1">
      <alignment wrapText="1"/>
    </xf>
    <xf numFmtId="0" fontId="0" fillId="0" borderId="1" xfId="0" applyBorder="1" applyAlignment="1">
      <alignment vertical="center" wrapText="1"/>
    </xf>
    <xf numFmtId="0" fontId="46" fillId="15" borderId="23" xfId="2" applyAlignment="1" applyProtection="1">
      <alignment vertical="center" wrapText="1"/>
      <protection hidden="1"/>
    </xf>
    <xf numFmtId="0" fontId="56" fillId="17" borderId="23" xfId="2" applyFont="1" applyFill="1" applyAlignment="1" applyProtection="1">
      <alignment vertical="center" wrapText="1"/>
      <protection hidden="1"/>
    </xf>
    <xf numFmtId="0" fontId="0" fillId="0" borderId="0" xfId="0" applyAlignment="1">
      <alignment vertical="center"/>
    </xf>
    <xf numFmtId="0" fontId="8" fillId="0" borderId="1" xfId="0" applyFont="1" applyBorder="1" applyAlignment="1" applyProtection="1">
      <alignment vertical="center"/>
      <protection hidden="1"/>
    </xf>
    <xf numFmtId="0" fontId="8" fillId="0" borderId="24" xfId="0" applyFont="1" applyBorder="1" applyAlignment="1" applyProtection="1">
      <alignment vertical="center"/>
      <protection hidden="1"/>
    </xf>
    <xf numFmtId="0" fontId="48" fillId="0" borderId="24" xfId="0" applyFont="1" applyBorder="1" applyAlignment="1" applyProtection="1">
      <alignment vertical="center"/>
      <protection hidden="1"/>
    </xf>
    <xf numFmtId="0" fontId="0" fillId="4" borderId="15" xfId="0" applyFill="1" applyBorder="1" applyAlignment="1" applyProtection="1">
      <alignment vertical="center" wrapText="1"/>
      <protection hidden="1"/>
    </xf>
    <xf numFmtId="0" fontId="55" fillId="4" borderId="15" xfId="0" applyFont="1" applyFill="1" applyBorder="1" applyAlignment="1" applyProtection="1">
      <alignment vertical="center" wrapText="1"/>
      <protection hidden="1"/>
    </xf>
    <xf numFmtId="0" fontId="55" fillId="0" borderId="0" xfId="0" applyFont="1" applyAlignment="1">
      <alignment wrapText="1"/>
    </xf>
    <xf numFmtId="0" fontId="1" fillId="18" borderId="1" xfId="0" applyFont="1" applyFill="1" applyBorder="1" applyAlignment="1">
      <alignment vertical="center" wrapText="1"/>
    </xf>
    <xf numFmtId="2" fontId="27" fillId="3" borderId="1" xfId="0" applyNumberFormat="1" applyFont="1" applyFill="1" applyBorder="1" applyAlignment="1" applyProtection="1">
      <alignment horizontal="center" vertical="center"/>
      <protection hidden="1"/>
    </xf>
    <xf numFmtId="0" fontId="23" fillId="0" borderId="1" xfId="0" applyFont="1" applyBorder="1" applyProtection="1">
      <protection hidden="1"/>
    </xf>
    <xf numFmtId="2" fontId="23" fillId="0" borderId="1" xfId="0" applyNumberFormat="1" applyFont="1" applyBorder="1" applyProtection="1">
      <protection hidden="1"/>
    </xf>
    <xf numFmtId="0" fontId="23" fillId="0" borderId="33" xfId="0" applyFont="1" applyBorder="1" applyProtection="1">
      <protection hidden="1"/>
    </xf>
    <xf numFmtId="0" fontId="23" fillId="0" borderId="20" xfId="0" applyFont="1" applyBorder="1" applyProtection="1">
      <protection hidden="1"/>
    </xf>
    <xf numFmtId="0" fontId="23" fillId="0" borderId="35" xfId="0" applyFont="1" applyBorder="1" applyProtection="1">
      <protection hidden="1"/>
    </xf>
    <xf numFmtId="0" fontId="23" fillId="0" borderId="36" xfId="0" applyFont="1" applyBorder="1" applyProtection="1">
      <protection hidden="1"/>
    </xf>
    <xf numFmtId="2" fontId="23" fillId="0" borderId="36" xfId="0" applyNumberFormat="1" applyFont="1" applyBorder="1" applyProtection="1">
      <protection hidden="1"/>
    </xf>
    <xf numFmtId="0" fontId="23" fillId="0" borderId="37" xfId="0" applyFont="1" applyBorder="1" applyProtection="1">
      <protection hidden="1"/>
    </xf>
    <xf numFmtId="0" fontId="23" fillId="3" borderId="41" xfId="0" applyFont="1" applyFill="1" applyBorder="1" applyProtection="1">
      <protection hidden="1"/>
    </xf>
    <xf numFmtId="0" fontId="23" fillId="3" borderId="6" xfId="0" applyFont="1" applyFill="1" applyBorder="1" applyProtection="1">
      <protection hidden="1"/>
    </xf>
    <xf numFmtId="0" fontId="23" fillId="3" borderId="19" xfId="0" applyFont="1" applyFill="1" applyBorder="1" applyProtection="1">
      <protection hidden="1"/>
    </xf>
    <xf numFmtId="0" fontId="2" fillId="3" borderId="42" xfId="0" applyFont="1" applyFill="1" applyBorder="1" applyAlignment="1" applyProtection="1">
      <alignment horizontal="center" vertical="center" wrapText="1"/>
      <protection hidden="1"/>
    </xf>
    <xf numFmtId="0" fontId="2" fillId="3" borderId="43" xfId="0" applyFont="1" applyFill="1" applyBorder="1" applyAlignment="1" applyProtection="1">
      <alignment horizontal="center" vertical="center" wrapText="1"/>
      <protection hidden="1"/>
    </xf>
    <xf numFmtId="0" fontId="2" fillId="3" borderId="44" xfId="0" applyFont="1" applyFill="1" applyBorder="1" applyAlignment="1" applyProtection="1">
      <alignment horizontal="center" vertical="center" wrapText="1"/>
      <protection hidden="1"/>
    </xf>
    <xf numFmtId="0" fontId="2" fillId="0" borderId="45" xfId="0" applyFont="1" applyBorder="1" applyAlignment="1" applyProtection="1">
      <alignment horizontal="center" vertical="center"/>
      <protection hidden="1"/>
    </xf>
    <xf numFmtId="0" fontId="2" fillId="0" borderId="46" xfId="0" applyFont="1" applyBorder="1" applyAlignment="1" applyProtection="1">
      <alignment horizontal="center" vertical="center"/>
      <protection hidden="1"/>
    </xf>
    <xf numFmtId="0" fontId="2" fillId="0" borderId="47" xfId="0" applyFont="1" applyBorder="1" applyAlignment="1" applyProtection="1">
      <alignment horizontal="center" vertical="center"/>
      <protection hidden="1"/>
    </xf>
    <xf numFmtId="0" fontId="57" fillId="0" borderId="0" xfId="0" applyFont="1" applyAlignment="1" applyProtection="1">
      <alignment horizontal="left"/>
      <protection hidden="1"/>
    </xf>
    <xf numFmtId="2" fontId="24" fillId="3" borderId="1" xfId="0" applyNumberFormat="1" applyFont="1" applyFill="1" applyBorder="1" applyAlignment="1" applyProtection="1">
      <alignment horizontal="center" vertical="center"/>
      <protection hidden="1"/>
    </xf>
    <xf numFmtId="0" fontId="20" fillId="4" borderId="0" xfId="0" applyFont="1" applyFill="1" applyAlignment="1" applyProtection="1">
      <alignment wrapText="1"/>
      <protection hidden="1"/>
    </xf>
    <xf numFmtId="0" fontId="20" fillId="4" borderId="0" xfId="0" applyFont="1" applyFill="1" applyProtection="1">
      <protection hidden="1"/>
    </xf>
    <xf numFmtId="0" fontId="20" fillId="0" borderId="0" xfId="0" applyFont="1" applyAlignment="1" applyProtection="1">
      <alignment wrapText="1"/>
      <protection hidden="1"/>
    </xf>
    <xf numFmtId="0" fontId="2" fillId="0" borderId="0" xfId="0" applyFont="1" applyAlignment="1">
      <alignment horizontal="left" vertical="center"/>
    </xf>
    <xf numFmtId="0" fontId="23" fillId="0" borderId="0" xfId="0" applyFont="1" applyAlignment="1">
      <alignment horizontal="left" vertical="center"/>
    </xf>
    <xf numFmtId="17" fontId="23" fillId="0" borderId="0" xfId="0" applyNumberFormat="1" applyFont="1" applyAlignment="1">
      <alignment horizontal="left" vertical="center"/>
    </xf>
    <xf numFmtId="0" fontId="31" fillId="4" borderId="0" xfId="1" applyFont="1" applyFill="1" applyAlignment="1" applyProtection="1">
      <alignment horizontal="left" vertical="center" wrapText="1"/>
      <protection hidden="1"/>
    </xf>
    <xf numFmtId="0" fontId="20" fillId="4" borderId="0" xfId="0" applyFont="1" applyFill="1" applyAlignment="1" applyProtection="1">
      <alignment horizontal="left" wrapText="1"/>
      <protection hidden="1"/>
    </xf>
    <xf numFmtId="0" fontId="2" fillId="2" borderId="0" xfId="0" applyFont="1" applyFill="1" applyAlignment="1" applyProtection="1">
      <alignment horizontal="left" vertical="center" wrapText="1"/>
      <protection hidden="1"/>
    </xf>
    <xf numFmtId="0" fontId="23" fillId="0" borderId="0" xfId="0" applyFont="1" applyAlignment="1" applyProtection="1">
      <alignment vertical="center" wrapText="1"/>
      <protection locked="0"/>
    </xf>
    <xf numFmtId="0" fontId="23" fillId="2" borderId="0" xfId="0" applyFont="1" applyFill="1" applyAlignment="1" applyProtection="1">
      <alignment horizontal="left" vertical="center" wrapText="1"/>
      <protection hidden="1"/>
    </xf>
    <xf numFmtId="0" fontId="20" fillId="0" borderId="33" xfId="0" applyFont="1" applyBorder="1" applyAlignment="1" applyProtection="1">
      <alignment vertical="center" wrapText="1"/>
      <protection locked="0"/>
    </xf>
    <xf numFmtId="0" fontId="23" fillId="0" borderId="20" xfId="0" applyFont="1" applyBorder="1" applyAlignment="1" applyProtection="1">
      <alignment vertical="center" wrapText="1"/>
      <protection locked="0"/>
    </xf>
    <xf numFmtId="0" fontId="20" fillId="0" borderId="0" xfId="0" applyFont="1" applyProtection="1">
      <protection hidden="1"/>
    </xf>
    <xf numFmtId="0" fontId="20" fillId="4" borderId="33" xfId="0" applyFont="1" applyFill="1" applyBorder="1" applyAlignment="1" applyProtection="1">
      <alignment vertical="center" wrapText="1"/>
      <protection hidden="1"/>
    </xf>
    <xf numFmtId="0" fontId="20" fillId="4" borderId="4" xfId="0" applyFont="1" applyFill="1" applyBorder="1" applyAlignment="1" applyProtection="1">
      <alignment vertical="center" wrapText="1"/>
      <protection hidden="1"/>
    </xf>
    <xf numFmtId="0" fontId="23" fillId="0" borderId="8" xfId="0" applyFont="1" applyBorder="1" applyAlignment="1" applyProtection="1">
      <alignment vertical="center" wrapText="1"/>
      <protection locked="0"/>
    </xf>
    <xf numFmtId="0" fontId="20" fillId="4" borderId="35" xfId="0" applyFont="1" applyFill="1" applyBorder="1" applyAlignment="1" applyProtection="1">
      <alignment vertical="center" wrapText="1"/>
      <protection hidden="1"/>
    </xf>
    <xf numFmtId="0" fontId="20" fillId="4" borderId="52" xfId="0" applyFont="1" applyFill="1" applyBorder="1" applyAlignment="1" applyProtection="1">
      <alignment vertical="center" wrapText="1"/>
      <protection hidden="1"/>
    </xf>
    <xf numFmtId="0" fontId="23" fillId="0" borderId="36" xfId="0" applyFont="1" applyBorder="1" applyAlignment="1" applyProtection="1">
      <alignment vertical="center" wrapText="1"/>
      <protection locked="0"/>
    </xf>
    <xf numFmtId="0" fontId="23" fillId="0" borderId="53" xfId="0" applyFont="1" applyBorder="1" applyAlignment="1" applyProtection="1">
      <alignment vertical="center" wrapText="1"/>
      <protection locked="0"/>
    </xf>
    <xf numFmtId="0" fontId="23" fillId="0" borderId="54" xfId="0" applyFont="1" applyBorder="1" applyAlignment="1" applyProtection="1">
      <alignment vertical="center" wrapText="1"/>
      <protection locked="0"/>
    </xf>
    <xf numFmtId="0" fontId="22" fillId="6" borderId="1" xfId="0" applyFont="1" applyFill="1" applyBorder="1" applyAlignment="1" applyProtection="1">
      <alignment horizontal="center" vertical="center" wrapText="1"/>
      <protection hidden="1"/>
    </xf>
    <xf numFmtId="0" fontId="20" fillId="4" borderId="56" xfId="0" applyFont="1" applyFill="1" applyBorder="1" applyAlignment="1" applyProtection="1">
      <alignment wrapText="1"/>
      <protection hidden="1"/>
    </xf>
    <xf numFmtId="0" fontId="19" fillId="0" borderId="0" xfId="0" applyFont="1" applyAlignment="1" applyProtection="1">
      <alignment vertical="center" wrapText="1"/>
      <protection hidden="1"/>
    </xf>
    <xf numFmtId="0" fontId="20" fillId="0" borderId="59" xfId="0" applyFont="1" applyBorder="1" applyAlignment="1" applyProtection="1">
      <alignment wrapText="1"/>
      <protection hidden="1"/>
    </xf>
    <xf numFmtId="0" fontId="19" fillId="5" borderId="32" xfId="0" applyFont="1" applyFill="1" applyBorder="1" applyAlignment="1" applyProtection="1">
      <alignment horizontal="center" vertical="center" wrapText="1"/>
      <protection hidden="1"/>
    </xf>
    <xf numFmtId="0" fontId="19" fillId="5" borderId="50" xfId="0" applyFont="1" applyFill="1" applyBorder="1" applyAlignment="1" applyProtection="1">
      <alignment horizontal="center" vertical="center" wrapText="1"/>
      <protection hidden="1"/>
    </xf>
    <xf numFmtId="0" fontId="19" fillId="5" borderId="30" xfId="0" applyFont="1" applyFill="1" applyBorder="1" applyAlignment="1" applyProtection="1">
      <alignment horizontal="center" vertical="center" wrapText="1"/>
      <protection hidden="1"/>
    </xf>
    <xf numFmtId="0" fontId="19" fillId="5" borderId="29" xfId="0" applyFont="1" applyFill="1" applyBorder="1" applyAlignment="1" applyProtection="1">
      <alignment horizontal="center" vertical="center" wrapText="1"/>
      <protection hidden="1"/>
    </xf>
    <xf numFmtId="0" fontId="20" fillId="5" borderId="30" xfId="0" applyFont="1" applyFill="1" applyBorder="1" applyAlignment="1" applyProtection="1">
      <alignment horizontal="center" vertical="center" wrapText="1"/>
      <protection hidden="1"/>
    </xf>
    <xf numFmtId="0" fontId="20" fillId="5" borderId="51" xfId="0" applyFont="1" applyFill="1" applyBorder="1" applyAlignment="1" applyProtection="1">
      <alignment horizontal="center" vertical="center" wrapText="1"/>
      <protection hidden="1"/>
    </xf>
    <xf numFmtId="0" fontId="19" fillId="5" borderId="31" xfId="0" applyFont="1" applyFill="1" applyBorder="1" applyAlignment="1" applyProtection="1">
      <alignment horizontal="center" vertical="center" wrapText="1"/>
      <protection hidden="1"/>
    </xf>
    <xf numFmtId="0" fontId="23" fillId="0" borderId="62" xfId="0" applyFont="1" applyBorder="1" applyAlignment="1" applyProtection="1">
      <alignment vertical="center" wrapText="1"/>
      <protection locked="0"/>
    </xf>
    <xf numFmtId="0" fontId="2" fillId="2" borderId="1" xfId="0" applyFont="1" applyFill="1" applyBorder="1" applyAlignment="1" applyProtection="1">
      <alignment horizontal="center" vertical="center" wrapText="1"/>
      <protection hidden="1"/>
    </xf>
    <xf numFmtId="0" fontId="2" fillId="2" borderId="4" xfId="0" applyFont="1" applyFill="1" applyBorder="1" applyAlignment="1" applyProtection="1">
      <alignment horizontal="center" vertical="center" wrapText="1"/>
      <protection hidden="1"/>
    </xf>
    <xf numFmtId="0" fontId="2" fillId="4" borderId="63" xfId="0" applyFont="1" applyFill="1" applyBorder="1" applyAlignment="1" applyProtection="1">
      <alignment horizontal="left" vertical="center" wrapText="1"/>
      <protection hidden="1"/>
    </xf>
    <xf numFmtId="0" fontId="2" fillId="4" borderId="24" xfId="0" applyFont="1" applyFill="1" applyBorder="1" applyAlignment="1" applyProtection="1">
      <alignment horizontal="left" vertical="center" wrapText="1"/>
      <protection hidden="1"/>
    </xf>
    <xf numFmtId="0" fontId="2" fillId="4" borderId="55" xfId="0" applyFont="1" applyFill="1" applyBorder="1" applyAlignment="1" applyProtection="1">
      <alignment horizontal="left" vertical="center" wrapText="1"/>
      <protection hidden="1"/>
    </xf>
    <xf numFmtId="0" fontId="2" fillId="4" borderId="26" xfId="0" applyFont="1" applyFill="1" applyBorder="1" applyAlignment="1" applyProtection="1">
      <alignment horizontal="left" vertical="center" wrapText="1"/>
      <protection hidden="1"/>
    </xf>
    <xf numFmtId="3" fontId="2" fillId="0" borderId="1" xfId="0" applyNumberFormat="1" applyFont="1" applyBorder="1" applyAlignment="1" applyProtection="1">
      <alignment horizontal="center" vertical="center" wrapText="1"/>
      <protection hidden="1"/>
    </xf>
    <xf numFmtId="0" fontId="19" fillId="20" borderId="1" xfId="0" applyFont="1" applyFill="1" applyBorder="1" applyAlignment="1" applyProtection="1">
      <alignment horizontal="left" vertical="center" wrapText="1" indent="2"/>
      <protection hidden="1"/>
    </xf>
    <xf numFmtId="0" fontId="20" fillId="0" borderId="1" xfId="0" applyFont="1" applyBorder="1" applyAlignment="1" applyProtection="1">
      <alignment vertical="center" wrapText="1"/>
      <protection hidden="1"/>
    </xf>
    <xf numFmtId="0" fontId="0" fillId="0" borderId="0" xfId="0" applyProtection="1">
      <protection hidden="1"/>
    </xf>
    <xf numFmtId="0" fontId="17" fillId="0" borderId="0" xfId="0" applyFont="1" applyAlignment="1" applyProtection="1">
      <alignment vertical="center" wrapText="1"/>
      <protection hidden="1"/>
    </xf>
    <xf numFmtId="2" fontId="23" fillId="3" borderId="6" xfId="0" applyNumberFormat="1" applyFont="1" applyFill="1" applyBorder="1" applyAlignment="1" applyProtection="1">
      <alignment horizontal="center" vertical="center" wrapText="1"/>
      <protection hidden="1"/>
    </xf>
    <xf numFmtId="2" fontId="23" fillId="3" borderId="1" xfId="0" applyNumberFormat="1" applyFont="1" applyFill="1" applyBorder="1" applyAlignment="1" applyProtection="1">
      <alignment horizontal="center" vertical="center" wrapText="1"/>
      <protection hidden="1"/>
    </xf>
    <xf numFmtId="2" fontId="23" fillId="3" borderId="36" xfId="0" applyNumberFormat="1" applyFont="1" applyFill="1" applyBorder="1" applyAlignment="1" applyProtection="1">
      <alignment horizontal="center" vertical="center" wrapText="1"/>
      <protection hidden="1"/>
    </xf>
    <xf numFmtId="0" fontId="23" fillId="3" borderId="6" xfId="0" applyFont="1" applyFill="1" applyBorder="1" applyAlignment="1" applyProtection="1">
      <alignment horizontal="center" vertical="center" wrapText="1"/>
      <protection hidden="1"/>
    </xf>
    <xf numFmtId="0" fontId="26" fillId="5" borderId="1" xfId="0" applyFont="1" applyFill="1" applyBorder="1" applyAlignment="1" applyProtection="1">
      <alignment vertical="center" wrapText="1"/>
      <protection hidden="1"/>
    </xf>
    <xf numFmtId="0" fontId="19" fillId="5" borderId="1" xfId="0" applyFont="1" applyFill="1" applyBorder="1" applyAlignment="1" applyProtection="1">
      <alignment vertical="center" wrapText="1"/>
      <protection hidden="1"/>
    </xf>
    <xf numFmtId="0" fontId="1" fillId="18" borderId="12" xfId="0" applyFont="1" applyFill="1" applyBorder="1" applyAlignment="1">
      <alignment vertical="center" wrapText="1"/>
    </xf>
    <xf numFmtId="0" fontId="22" fillId="6" borderId="6" xfId="0" applyFont="1" applyFill="1" applyBorder="1" applyAlignment="1" applyProtection="1">
      <alignment vertical="center"/>
      <protection hidden="1"/>
    </xf>
    <xf numFmtId="0" fontId="22" fillId="6" borderId="7" xfId="0" applyFont="1" applyFill="1" applyBorder="1" applyAlignment="1" applyProtection="1">
      <alignment vertical="center"/>
      <protection hidden="1"/>
    </xf>
    <xf numFmtId="0" fontId="3" fillId="5" borderId="0" xfId="1" applyFill="1" applyBorder="1" applyAlignment="1" applyProtection="1">
      <alignment horizontal="left" vertical="top" wrapText="1"/>
      <protection hidden="1"/>
    </xf>
    <xf numFmtId="0" fontId="34" fillId="5" borderId="12" xfId="0" applyFont="1" applyFill="1" applyBorder="1" applyAlignment="1" applyProtection="1">
      <alignment horizontal="left" vertical="top" wrapText="1"/>
      <protection hidden="1"/>
    </xf>
    <xf numFmtId="0" fontId="29" fillId="9" borderId="14" xfId="0" applyFont="1" applyFill="1" applyBorder="1" applyAlignment="1" applyProtection="1">
      <alignment horizontal="left" vertical="top" wrapText="1"/>
      <protection hidden="1"/>
    </xf>
    <xf numFmtId="0" fontId="0" fillId="0" borderId="0" xfId="0" applyAlignment="1" applyProtection="1">
      <alignment vertical="center"/>
      <protection hidden="1"/>
    </xf>
    <xf numFmtId="0" fontId="0" fillId="0" borderId="0" xfId="0" applyAlignment="1" applyProtection="1">
      <alignment vertical="top"/>
      <protection hidden="1"/>
    </xf>
    <xf numFmtId="0" fontId="19" fillId="0" borderId="1" xfId="0" applyFont="1" applyBorder="1" applyAlignment="1" applyProtection="1">
      <alignment vertical="center" wrapText="1"/>
      <protection hidden="1"/>
    </xf>
    <xf numFmtId="0" fontId="24" fillId="0" borderId="7" xfId="0" applyFont="1" applyBorder="1" applyAlignment="1" applyProtection="1">
      <alignment vertical="center" wrapText="1"/>
      <protection hidden="1"/>
    </xf>
    <xf numFmtId="0" fontId="0" fillId="0" borderId="12" xfId="0" applyBorder="1" applyAlignment="1" applyProtection="1">
      <alignment vertical="top"/>
      <protection hidden="1"/>
    </xf>
    <xf numFmtId="0" fontId="20" fillId="21" borderId="7" xfId="0" applyFont="1" applyFill="1" applyBorder="1" applyAlignment="1" applyProtection="1">
      <alignment horizontal="left" vertical="top" wrapText="1"/>
      <protection hidden="1"/>
    </xf>
    <xf numFmtId="0" fontId="18" fillId="5" borderId="0" xfId="0" applyFont="1" applyFill="1" applyAlignment="1" applyProtection="1">
      <alignment horizontal="left" vertical="top"/>
      <protection hidden="1"/>
    </xf>
    <xf numFmtId="0" fontId="18" fillId="5" borderId="0" xfId="0" applyFont="1" applyFill="1" applyAlignment="1" applyProtection="1">
      <alignment horizontal="left" vertical="center"/>
      <protection hidden="1"/>
    </xf>
    <xf numFmtId="0" fontId="18" fillId="5" borderId="12" xfId="0" applyFont="1" applyFill="1" applyBorder="1" applyAlignment="1" applyProtection="1">
      <alignment horizontal="left" vertical="top"/>
      <protection hidden="1"/>
    </xf>
    <xf numFmtId="0" fontId="18" fillId="5" borderId="12" xfId="0" applyFont="1" applyFill="1" applyBorder="1" applyAlignment="1" applyProtection="1">
      <alignment horizontal="left" vertical="center"/>
      <protection hidden="1"/>
    </xf>
    <xf numFmtId="0" fontId="34" fillId="5" borderId="5" xfId="0" applyFont="1" applyFill="1" applyBorder="1" applyAlignment="1" applyProtection="1">
      <alignment horizontal="left" vertical="top"/>
      <protection hidden="1"/>
    </xf>
    <xf numFmtId="0" fontId="34" fillId="5" borderId="14" xfId="0" applyFont="1" applyFill="1" applyBorder="1" applyAlignment="1" applyProtection="1">
      <alignment horizontal="left" vertical="top"/>
      <protection hidden="1"/>
    </xf>
    <xf numFmtId="0" fontId="18" fillId="5" borderId="5" xfId="0" applyFont="1" applyFill="1" applyBorder="1" applyAlignment="1" applyProtection="1">
      <alignment horizontal="left" vertical="top"/>
      <protection hidden="1"/>
    </xf>
    <xf numFmtId="0" fontId="18" fillId="5" borderId="14" xfId="0" applyFont="1" applyFill="1" applyBorder="1" applyAlignment="1" applyProtection="1">
      <alignment horizontal="left" vertical="top"/>
      <protection hidden="1"/>
    </xf>
    <xf numFmtId="0" fontId="2" fillId="0" borderId="0" xfId="0" applyFont="1" applyProtection="1">
      <protection hidden="1"/>
    </xf>
    <xf numFmtId="0" fontId="23" fillId="0" borderId="0" xfId="0" applyFont="1" applyAlignment="1" applyProtection="1">
      <alignment vertical="top"/>
      <protection hidden="1"/>
    </xf>
    <xf numFmtId="0" fontId="23" fillId="5" borderId="0" xfId="0" applyFont="1" applyFill="1" applyAlignment="1" applyProtection="1">
      <alignment vertical="top" wrapText="1"/>
      <protection hidden="1"/>
    </xf>
    <xf numFmtId="0" fontId="23" fillId="5" borderId="0" xfId="0" applyFont="1" applyFill="1" applyAlignment="1" applyProtection="1">
      <alignment horizontal="center" vertical="top" wrapText="1"/>
      <protection hidden="1"/>
    </xf>
    <xf numFmtId="0" fontId="23" fillId="5" borderId="12" xfId="0" applyFont="1" applyFill="1" applyBorder="1" applyAlignment="1" applyProtection="1">
      <alignment horizontal="center" vertical="top" wrapText="1"/>
      <protection hidden="1"/>
    </xf>
    <xf numFmtId="0" fontId="23" fillId="5" borderId="5" xfId="0" applyFont="1" applyFill="1" applyBorder="1" applyAlignment="1" applyProtection="1">
      <alignment vertical="top" wrapText="1"/>
      <protection hidden="1"/>
    </xf>
    <xf numFmtId="0" fontId="23" fillId="5" borderId="5" xfId="0" applyFont="1" applyFill="1" applyBorder="1" applyAlignment="1" applyProtection="1">
      <alignment horizontal="center" vertical="top" wrapText="1"/>
      <protection hidden="1"/>
    </xf>
    <xf numFmtId="0" fontId="23" fillId="5" borderId="14" xfId="0" applyFont="1" applyFill="1" applyBorder="1" applyAlignment="1" applyProtection="1">
      <alignment horizontal="center" vertical="top" wrapText="1"/>
      <protection hidden="1"/>
    </xf>
    <xf numFmtId="0" fontId="18" fillId="6" borderId="8" xfId="0" applyFont="1" applyFill="1" applyBorder="1" applyAlignment="1" applyProtection="1">
      <alignment vertical="center"/>
      <protection hidden="1"/>
    </xf>
    <xf numFmtId="0" fontId="24" fillId="5" borderId="6" xfId="0" applyFont="1" applyFill="1" applyBorder="1" applyAlignment="1" applyProtection="1">
      <alignment vertical="center"/>
      <protection hidden="1"/>
    </xf>
    <xf numFmtId="0" fontId="18" fillId="6" borderId="7" xfId="0" applyFont="1" applyFill="1" applyBorder="1" applyAlignment="1" applyProtection="1">
      <alignment horizontal="left" vertical="center"/>
      <protection hidden="1"/>
    </xf>
    <xf numFmtId="0" fontId="18" fillId="6" borderId="6" xfId="0" applyFont="1" applyFill="1" applyBorder="1" applyAlignment="1" applyProtection="1">
      <alignment horizontal="left" vertical="center"/>
      <protection hidden="1"/>
    </xf>
    <xf numFmtId="0" fontId="65" fillId="6" borderId="3" xfId="0" applyFont="1" applyFill="1" applyBorder="1" applyAlignment="1" applyProtection="1">
      <alignment vertical="center"/>
      <protection hidden="1"/>
    </xf>
    <xf numFmtId="0" fontId="18" fillId="6" borderId="6" xfId="0" quotePrefix="1" applyFont="1" applyFill="1" applyBorder="1" applyAlignment="1" applyProtection="1">
      <alignment horizontal="left" vertical="center"/>
      <protection hidden="1"/>
    </xf>
    <xf numFmtId="0" fontId="3" fillId="5" borderId="11" xfId="1" applyFill="1" applyBorder="1" applyAlignment="1" applyProtection="1">
      <alignment vertical="top"/>
    </xf>
    <xf numFmtId="0" fontId="3" fillId="5" borderId="12" xfId="1" applyFill="1" applyBorder="1" applyAlignment="1" applyProtection="1">
      <alignment vertical="center"/>
    </xf>
    <xf numFmtId="0" fontId="3" fillId="5" borderId="12" xfId="1" applyFill="1" applyBorder="1" applyAlignment="1" applyProtection="1">
      <alignment horizontal="left" vertical="top" wrapText="1"/>
    </xf>
    <xf numFmtId="0" fontId="3" fillId="5" borderId="12" xfId="1" applyFill="1" applyBorder="1" applyAlignment="1" applyProtection="1">
      <alignment vertical="top"/>
    </xf>
    <xf numFmtId="0" fontId="3" fillId="5" borderId="13" xfId="1" applyFill="1" applyBorder="1" applyAlignment="1" applyProtection="1">
      <alignment vertical="top"/>
    </xf>
    <xf numFmtId="0" fontId="3" fillId="5" borderId="0" xfId="1" applyFill="1" applyBorder="1" applyAlignment="1" applyProtection="1">
      <alignment vertical="top"/>
    </xf>
    <xf numFmtId="0" fontId="36" fillId="9" borderId="14" xfId="1" applyFont="1" applyFill="1" applyBorder="1" applyAlignment="1" applyProtection="1">
      <alignment horizontal="left" vertical="top" wrapText="1"/>
    </xf>
    <xf numFmtId="0" fontId="33" fillId="4" borderId="10" xfId="1" applyFont="1" applyFill="1" applyBorder="1" applyAlignment="1" applyProtection="1">
      <alignment vertical="top" wrapText="1"/>
    </xf>
    <xf numFmtId="0" fontId="31" fillId="4" borderId="10" xfId="1" applyFont="1" applyFill="1" applyBorder="1" applyAlignment="1" applyProtection="1">
      <alignment vertical="top" wrapText="1"/>
    </xf>
    <xf numFmtId="0" fontId="33" fillId="4" borderId="6" xfId="1" applyFont="1" applyFill="1" applyBorder="1" applyAlignment="1" applyProtection="1">
      <alignment vertical="top" wrapText="1"/>
    </xf>
    <xf numFmtId="0" fontId="33" fillId="4" borderId="14" xfId="1" applyFont="1" applyFill="1" applyBorder="1" applyAlignment="1" applyProtection="1">
      <alignment vertical="top" wrapText="1"/>
    </xf>
    <xf numFmtId="0" fontId="33" fillId="4" borderId="7" xfId="1" applyFont="1" applyFill="1" applyBorder="1" applyAlignment="1" applyProtection="1">
      <alignment vertical="top" wrapText="1"/>
    </xf>
    <xf numFmtId="0" fontId="27" fillId="4" borderId="7" xfId="1" applyFont="1" applyFill="1" applyBorder="1" applyAlignment="1" applyProtection="1">
      <alignment vertical="top" wrapText="1"/>
    </xf>
    <xf numFmtId="0" fontId="27" fillId="4" borderId="1" xfId="1" applyFont="1" applyFill="1" applyBorder="1" applyAlignment="1" applyProtection="1">
      <alignment vertical="top" wrapText="1"/>
    </xf>
    <xf numFmtId="0" fontId="52" fillId="4" borderId="7" xfId="1" quotePrefix="1" applyFont="1" applyFill="1" applyBorder="1" applyAlignment="1" applyProtection="1">
      <alignment vertical="top" wrapText="1"/>
    </xf>
    <xf numFmtId="0" fontId="23" fillId="4" borderId="6" xfId="1" quotePrefix="1" applyFont="1" applyFill="1" applyBorder="1" applyAlignment="1" applyProtection="1">
      <alignment vertical="top" wrapText="1"/>
    </xf>
    <xf numFmtId="0" fontId="23" fillId="4" borderId="7" xfId="1" quotePrefix="1" applyFont="1" applyFill="1" applyBorder="1" applyAlignment="1" applyProtection="1">
      <alignment vertical="top" wrapText="1"/>
    </xf>
    <xf numFmtId="0" fontId="33" fillId="4" borderId="1" xfId="1" applyFont="1" applyFill="1" applyBorder="1" applyAlignment="1" applyProtection="1">
      <alignment vertical="top" wrapText="1"/>
    </xf>
    <xf numFmtId="0" fontId="33" fillId="0" borderId="0" xfId="1" applyFont="1" applyAlignment="1" applyProtection="1">
      <alignment vertical="top" wrapText="1"/>
    </xf>
    <xf numFmtId="0" fontId="27" fillId="0" borderId="7" xfId="1" applyFont="1" applyBorder="1" applyAlignment="1" applyProtection="1">
      <alignment vertical="top" wrapText="1"/>
    </xf>
    <xf numFmtId="0" fontId="23" fillId="4" borderId="15" xfId="1" quotePrefix="1" applyFont="1" applyFill="1" applyBorder="1" applyAlignment="1" applyProtection="1">
      <alignment horizontal="left" vertical="top" wrapText="1"/>
    </xf>
    <xf numFmtId="0" fontId="27" fillId="4" borderId="7" xfId="1" applyFont="1" applyFill="1" applyBorder="1" applyAlignment="1" applyProtection="1">
      <alignment horizontal="left" vertical="top" wrapText="1"/>
    </xf>
    <xf numFmtId="0" fontId="33" fillId="4" borderId="6" xfId="1" applyFont="1" applyFill="1" applyBorder="1" applyAlignment="1" applyProtection="1">
      <alignment horizontal="left" vertical="top" wrapText="1"/>
    </xf>
    <xf numFmtId="0" fontId="52" fillId="4" borderId="7" xfId="1" applyFont="1" applyFill="1" applyBorder="1" applyAlignment="1" applyProtection="1">
      <alignment horizontal="left" vertical="top" wrapText="1"/>
    </xf>
    <xf numFmtId="0" fontId="31" fillId="4" borderId="7" xfId="1" applyFont="1" applyFill="1" applyBorder="1" applyAlignment="1" applyProtection="1">
      <alignment horizontal="left" vertical="top" wrapText="1"/>
    </xf>
    <xf numFmtId="0" fontId="52" fillId="4" borderId="13" xfId="1" applyFont="1" applyFill="1" applyBorder="1" applyAlignment="1" applyProtection="1">
      <alignment vertical="top" wrapText="1"/>
    </xf>
    <xf numFmtId="0" fontId="31" fillId="0" borderId="13" xfId="1" applyFont="1" applyFill="1" applyBorder="1" applyAlignment="1" applyProtection="1">
      <alignment vertical="top" wrapText="1"/>
    </xf>
    <xf numFmtId="0" fontId="3" fillId="0" borderId="6" xfId="1" applyBorder="1" applyAlignment="1" applyProtection="1">
      <alignment vertical="top" wrapText="1"/>
    </xf>
    <xf numFmtId="0" fontId="2" fillId="4" borderId="9" xfId="1" applyFont="1" applyFill="1" applyBorder="1" applyAlignment="1" applyProtection="1">
      <alignment horizontal="left" vertical="top" wrapText="1"/>
    </xf>
    <xf numFmtId="0" fontId="31" fillId="5" borderId="11" xfId="1" applyFont="1" applyFill="1" applyBorder="1" applyAlignment="1" applyProtection="1">
      <alignment vertical="top"/>
    </xf>
    <xf numFmtId="0" fontId="31" fillId="5" borderId="13" xfId="1" applyFont="1" applyFill="1" applyBorder="1" applyAlignment="1" applyProtection="1">
      <alignment vertical="top"/>
    </xf>
    <xf numFmtId="0" fontId="31" fillId="5" borderId="11" xfId="1" applyFont="1" applyFill="1" applyBorder="1" applyAlignment="1" applyProtection="1">
      <alignment horizontal="left" vertical="top" wrapText="1"/>
      <protection hidden="1"/>
    </xf>
    <xf numFmtId="0" fontId="31" fillId="5" borderId="15" xfId="1" applyFont="1" applyFill="1" applyBorder="1" applyProtection="1"/>
    <xf numFmtId="0" fontId="31" fillId="5" borderId="6" xfId="1" applyFont="1" applyFill="1" applyBorder="1" applyProtection="1"/>
    <xf numFmtId="0" fontId="31" fillId="2" borderId="15" xfId="1" applyFont="1" applyFill="1" applyBorder="1" applyAlignment="1" applyProtection="1">
      <alignment vertical="top" wrapText="1"/>
    </xf>
    <xf numFmtId="0" fontId="31" fillId="0" borderId="6" xfId="1" applyFont="1" applyBorder="1" applyAlignment="1" applyProtection="1">
      <alignment vertical="top"/>
    </xf>
    <xf numFmtId="0" fontId="36" fillId="9" borderId="13" xfId="1" applyFont="1" applyFill="1" applyBorder="1" applyAlignment="1" applyProtection="1">
      <alignment vertical="top"/>
    </xf>
    <xf numFmtId="0" fontId="36" fillId="21" borderId="6" xfId="1" applyFont="1" applyFill="1" applyBorder="1" applyAlignment="1" applyProtection="1">
      <alignment vertical="top"/>
    </xf>
    <xf numFmtId="0" fontId="36" fillId="5" borderId="11" xfId="1" applyFont="1" applyFill="1" applyBorder="1" applyProtection="1"/>
    <xf numFmtId="0" fontId="31" fillId="0" borderId="0" xfId="1" applyFont="1" applyAlignment="1" applyProtection="1">
      <alignment vertical="top" wrapText="1"/>
    </xf>
    <xf numFmtId="0" fontId="31" fillId="4" borderId="0" xfId="1" applyFont="1" applyFill="1" applyAlignment="1" applyProtection="1">
      <alignment vertical="top"/>
    </xf>
    <xf numFmtId="0" fontId="31" fillId="4" borderId="12" xfId="1" applyFont="1" applyFill="1" applyBorder="1" applyProtection="1"/>
    <xf numFmtId="0" fontId="31" fillId="0" borderId="0" xfId="1" applyFont="1" applyAlignment="1" applyProtection="1">
      <alignment vertical="top"/>
    </xf>
    <xf numFmtId="0" fontId="31" fillId="0" borderId="13" xfId="1" applyFont="1" applyBorder="1" applyAlignment="1" applyProtection="1">
      <alignment vertical="top" wrapText="1"/>
    </xf>
    <xf numFmtId="0" fontId="31" fillId="4" borderId="11" xfId="1" applyFont="1" applyFill="1" applyBorder="1" applyAlignment="1" applyProtection="1">
      <alignment vertical="top" wrapText="1"/>
    </xf>
    <xf numFmtId="0" fontId="31" fillId="0" borderId="15" xfId="1" applyFont="1" applyBorder="1" applyProtection="1"/>
    <xf numFmtId="0" fontId="31" fillId="0" borderId="11" xfId="1" applyFont="1" applyBorder="1" applyAlignment="1" applyProtection="1">
      <alignment vertical="top" wrapText="1"/>
    </xf>
    <xf numFmtId="0" fontId="31" fillId="0" borderId="15" xfId="1" applyFont="1" applyBorder="1" applyAlignment="1" applyProtection="1">
      <alignment vertical="top"/>
    </xf>
    <xf numFmtId="0" fontId="31" fillId="0" borderId="12" xfId="1" applyFont="1" applyBorder="1" applyAlignment="1" applyProtection="1">
      <alignment vertical="top"/>
    </xf>
    <xf numFmtId="0" fontId="31" fillId="0" borderId="6" xfId="1" applyFont="1" applyBorder="1" applyAlignment="1" applyProtection="1">
      <alignment wrapText="1"/>
    </xf>
    <xf numFmtId="0" fontId="31" fillId="4" borderId="15" xfId="1" quotePrefix="1" applyFont="1" applyFill="1" applyBorder="1" applyAlignment="1" applyProtection="1">
      <alignment horizontal="left" vertical="top" wrapText="1"/>
    </xf>
    <xf numFmtId="0" fontId="31" fillId="0" borderId="6" xfId="1" applyFont="1" applyBorder="1" applyAlignment="1" applyProtection="1">
      <alignment vertical="top" wrapText="1"/>
    </xf>
    <xf numFmtId="0" fontId="31" fillId="4" borderId="15" xfId="1" applyFont="1" applyFill="1" applyBorder="1" applyAlignment="1" applyProtection="1">
      <alignment horizontal="left" vertical="top" wrapText="1"/>
    </xf>
    <xf numFmtId="0" fontId="31" fillId="4" borderId="6" xfId="1" applyFont="1" applyFill="1" applyBorder="1" applyAlignment="1" applyProtection="1">
      <alignment horizontal="left" vertical="top" wrapText="1"/>
    </xf>
    <xf numFmtId="0" fontId="31" fillId="0" borderId="6" xfId="1" applyFont="1" applyBorder="1" applyProtection="1"/>
    <xf numFmtId="0" fontId="31" fillId="0" borderId="11" xfId="1" applyFont="1" applyBorder="1" applyAlignment="1" applyProtection="1">
      <alignment wrapText="1"/>
    </xf>
    <xf numFmtId="0" fontId="31" fillId="5" borderId="11" xfId="1" applyFont="1" applyFill="1" applyBorder="1" applyProtection="1"/>
    <xf numFmtId="0" fontId="33" fillId="4" borderId="0" xfId="1" applyFont="1" applyFill="1" applyBorder="1" applyAlignment="1" applyProtection="1">
      <alignment horizontal="left" vertical="top" wrapText="1"/>
    </xf>
    <xf numFmtId="0" fontId="19" fillId="0" borderId="1" xfId="0" applyFont="1" applyBorder="1" applyAlignment="1" applyProtection="1">
      <alignment horizontal="left" vertical="top" wrapText="1"/>
      <protection hidden="1"/>
    </xf>
    <xf numFmtId="0" fontId="33" fillId="4" borderId="12" xfId="1" applyFont="1" applyFill="1" applyBorder="1" applyAlignment="1" applyProtection="1">
      <alignment horizontal="left" vertical="top" wrapText="1"/>
    </xf>
    <xf numFmtId="0" fontId="36" fillId="0" borderId="14" xfId="1" applyFont="1" applyBorder="1" applyAlignment="1" applyProtection="1">
      <alignment vertical="top"/>
    </xf>
    <xf numFmtId="0" fontId="36" fillId="0" borderId="6" xfId="1" applyFont="1" applyBorder="1" applyAlignment="1" applyProtection="1">
      <alignment vertical="top"/>
    </xf>
    <xf numFmtId="0" fontId="36" fillId="5" borderId="13" xfId="1" applyFont="1" applyFill="1" applyBorder="1" applyAlignment="1" applyProtection="1">
      <alignment vertical="top"/>
    </xf>
    <xf numFmtId="0" fontId="0" fillId="0" borderId="0" xfId="0" applyAlignment="1" applyProtection="1">
      <alignment vertical="top"/>
      <protection locked="0"/>
    </xf>
    <xf numFmtId="0" fontId="0" fillId="5" borderId="10" xfId="0" applyFill="1" applyBorder="1"/>
    <xf numFmtId="0" fontId="20" fillId="5" borderId="0" xfId="0" applyFont="1" applyFill="1" applyAlignment="1">
      <alignment horizontal="left" vertical="top" wrapText="1"/>
    </xf>
    <xf numFmtId="0" fontId="23" fillId="5" borderId="0" xfId="0" applyFont="1" applyFill="1" applyAlignment="1">
      <alignment horizontal="left" vertical="top" wrapText="1"/>
    </xf>
    <xf numFmtId="0" fontId="0" fillId="5" borderId="12" xfId="0" applyFill="1" applyBorder="1"/>
    <xf numFmtId="0" fontId="0" fillId="0" borderId="0" xfId="0" applyAlignment="1">
      <alignment vertical="top"/>
    </xf>
    <xf numFmtId="0" fontId="20" fillId="5" borderId="12" xfId="0" applyFont="1" applyFill="1" applyBorder="1" applyAlignment="1">
      <alignment horizontal="left" vertical="top" wrapText="1"/>
    </xf>
    <xf numFmtId="0" fontId="0" fillId="5" borderId="5" xfId="0" applyFill="1" applyBorder="1"/>
    <xf numFmtId="0" fontId="0" fillId="5" borderId="14" xfId="0" applyFill="1" applyBorder="1"/>
    <xf numFmtId="0" fontId="23" fillId="5" borderId="1" xfId="0" applyFont="1" applyFill="1" applyBorder="1"/>
    <xf numFmtId="0" fontId="23" fillId="5" borderId="7" xfId="0" applyFont="1" applyFill="1" applyBorder="1"/>
    <xf numFmtId="0" fontId="23" fillId="5" borderId="10" xfId="0" applyFont="1" applyFill="1" applyBorder="1" applyAlignment="1">
      <alignment wrapText="1"/>
    </xf>
    <xf numFmtId="0" fontId="23" fillId="5" borderId="5" xfId="0" applyFont="1" applyFill="1" applyBorder="1"/>
    <xf numFmtId="0" fontId="23" fillId="5" borderId="6" xfId="0" applyFont="1" applyFill="1" applyBorder="1"/>
    <xf numFmtId="0" fontId="23" fillId="2" borderId="7" xfId="0" applyFont="1" applyFill="1" applyBorder="1" applyAlignment="1">
      <alignment vertical="top"/>
    </xf>
    <xf numFmtId="0" fontId="23" fillId="2" borderId="15" xfId="0" applyFont="1" applyFill="1" applyBorder="1" applyAlignment="1">
      <alignment vertical="top"/>
    </xf>
    <xf numFmtId="0" fontId="0" fillId="0" borderId="11" xfId="0" applyBorder="1"/>
    <xf numFmtId="0" fontId="0" fillId="0" borderId="9" xfId="0" applyBorder="1"/>
    <xf numFmtId="0" fontId="0" fillId="0" borderId="3" xfId="0" applyBorder="1"/>
    <xf numFmtId="0" fontId="18" fillId="7" borderId="2" xfId="0" applyFont="1" applyFill="1" applyBorder="1" applyAlignment="1">
      <alignment vertical="center" wrapText="1"/>
    </xf>
    <xf numFmtId="0" fontId="18" fillId="7" borderId="1" xfId="0" applyFont="1" applyFill="1" applyBorder="1" applyAlignment="1">
      <alignment vertical="center" wrapText="1"/>
    </xf>
    <xf numFmtId="0" fontId="22" fillId="7" borderId="1" xfId="0" applyFont="1" applyFill="1" applyBorder="1" applyAlignment="1">
      <alignment vertical="center" wrapText="1"/>
    </xf>
    <xf numFmtId="0" fontId="23" fillId="5" borderId="1" xfId="0" applyFont="1" applyFill="1" applyBorder="1" applyAlignment="1">
      <alignment wrapText="1"/>
    </xf>
    <xf numFmtId="0" fontId="0" fillId="5" borderId="1" xfId="0" applyFill="1" applyBorder="1"/>
    <xf numFmtId="0" fontId="18" fillId="11" borderId="2" xfId="0" applyFont="1" applyFill="1" applyBorder="1" applyAlignment="1">
      <alignment vertical="center" wrapText="1"/>
    </xf>
    <xf numFmtId="0" fontId="18" fillId="11" borderId="1" xfId="0" applyFont="1" applyFill="1" applyBorder="1" applyAlignment="1">
      <alignment vertical="center" wrapText="1"/>
    </xf>
    <xf numFmtId="0" fontId="22" fillId="11" borderId="1" xfId="0" applyFont="1" applyFill="1" applyBorder="1" applyAlignment="1">
      <alignment vertical="center" wrapText="1"/>
    </xf>
    <xf numFmtId="0" fontId="18" fillId="12" borderId="1" xfId="0" applyFont="1" applyFill="1" applyBorder="1" applyAlignment="1">
      <alignment vertical="center" wrapText="1"/>
    </xf>
    <xf numFmtId="0" fontId="22" fillId="12" borderId="6" xfId="0" applyFont="1" applyFill="1" applyBorder="1" applyAlignment="1">
      <alignment vertical="center" wrapText="1"/>
    </xf>
    <xf numFmtId="0" fontId="22" fillId="12" borderId="1" xfId="0" applyFont="1" applyFill="1" applyBorder="1" applyAlignment="1">
      <alignment vertical="center" wrapText="1"/>
    </xf>
    <xf numFmtId="0" fontId="67" fillId="0" borderId="0" xfId="0" applyFont="1"/>
    <xf numFmtId="0" fontId="48" fillId="0" borderId="0" xfId="0" applyFont="1"/>
    <xf numFmtId="0" fontId="17" fillId="0" borderId="0" xfId="0" applyFont="1" applyAlignment="1" applyProtection="1">
      <alignment vertical="center" wrapText="1"/>
      <protection locked="0"/>
    </xf>
    <xf numFmtId="0" fontId="0" fillId="0" borderId="0" xfId="0" applyAlignment="1" applyProtection="1">
      <alignment vertical="center"/>
      <protection locked="0"/>
    </xf>
    <xf numFmtId="0" fontId="20" fillId="0" borderId="0" xfId="0" applyFont="1" applyAlignment="1" applyProtection="1">
      <alignment horizontal="left" vertical="center"/>
      <protection locked="0" hidden="1"/>
    </xf>
    <xf numFmtId="0" fontId="17" fillId="0" borderId="0" xfId="0" applyFont="1" applyAlignment="1">
      <alignment vertical="center" wrapText="1"/>
    </xf>
    <xf numFmtId="0" fontId="20" fillId="0" borderId="1" xfId="0" applyFont="1" applyBorder="1" applyAlignment="1">
      <alignment vertical="center" wrapText="1"/>
    </xf>
    <xf numFmtId="2" fontId="20" fillId="0" borderId="1" xfId="0" applyNumberFormat="1" applyFont="1" applyBorder="1" applyAlignment="1">
      <alignment horizontal="left" vertical="center" wrapText="1"/>
    </xf>
    <xf numFmtId="0" fontId="19" fillId="0" borderId="7" xfId="0" applyFont="1" applyBorder="1" applyAlignment="1">
      <alignment wrapText="1"/>
    </xf>
    <xf numFmtId="0" fontId="20" fillId="20" borderId="1" xfId="0" applyFont="1" applyFill="1" applyBorder="1" applyAlignment="1">
      <alignment vertical="center" wrapText="1"/>
    </xf>
    <xf numFmtId="0" fontId="17" fillId="0" borderId="0" xfId="0" applyFont="1" applyAlignment="1">
      <alignment horizontal="left" wrapText="1"/>
    </xf>
    <xf numFmtId="0" fontId="17" fillId="0" borderId="5" xfId="0" applyFont="1" applyBorder="1" applyAlignment="1">
      <alignment horizontal="left" wrapText="1"/>
    </xf>
    <xf numFmtId="49" fontId="20" fillId="0" borderId="1" xfId="0" applyNumberFormat="1" applyFont="1" applyBorder="1" applyAlignment="1">
      <alignment horizontal="left" vertical="center" wrapText="1"/>
    </xf>
    <xf numFmtId="0" fontId="3" fillId="0" borderId="1" xfId="1" applyBorder="1" applyAlignment="1" applyProtection="1">
      <alignment vertical="center" wrapText="1"/>
    </xf>
    <xf numFmtId="0" fontId="20" fillId="0" borderId="4" xfId="0" applyFont="1" applyBorder="1" applyAlignment="1">
      <alignment vertical="center" wrapText="1"/>
    </xf>
    <xf numFmtId="0" fontId="51" fillId="0" borderId="0" xfId="0" applyFont="1"/>
    <xf numFmtId="0" fontId="0" fillId="0" borderId="12" xfId="0" applyBorder="1" applyAlignment="1">
      <alignment vertical="top"/>
    </xf>
    <xf numFmtId="0" fontId="0" fillId="9" borderId="14" xfId="0" applyFill="1" applyBorder="1" applyAlignment="1">
      <alignment vertical="top"/>
    </xf>
    <xf numFmtId="0" fontId="20" fillId="0" borderId="0" xfId="0" applyFont="1"/>
    <xf numFmtId="0" fontId="17" fillId="0" borderId="0" xfId="0" applyFont="1" applyAlignment="1">
      <alignment wrapText="1"/>
    </xf>
    <xf numFmtId="0" fontId="20" fillId="0" borderId="12" xfId="0" applyFont="1" applyBorder="1" applyAlignment="1">
      <alignment vertical="top"/>
    </xf>
    <xf numFmtId="0" fontId="20" fillId="0" borderId="0" xfId="0" applyFont="1" applyAlignment="1">
      <alignment vertical="top"/>
    </xf>
    <xf numFmtId="0" fontId="20" fillId="0" borderId="1" xfId="0" applyFont="1" applyBorder="1" applyAlignment="1">
      <alignment horizontal="left" vertical="top" wrapText="1"/>
    </xf>
    <xf numFmtId="0" fontId="20" fillId="10" borderId="1" xfId="0" applyFont="1" applyFill="1" applyBorder="1" applyAlignment="1">
      <alignment horizontal="left" vertical="top" wrapText="1"/>
    </xf>
    <xf numFmtId="0" fontId="4" fillId="0" borderId="0" xfId="0" applyFont="1" applyAlignment="1">
      <alignment vertical="top" wrapText="1"/>
    </xf>
    <xf numFmtId="0" fontId="20" fillId="5" borderId="10" xfId="0" applyFont="1" applyFill="1" applyBorder="1" applyAlignment="1">
      <alignment horizontal="left" vertical="top" wrapText="1"/>
    </xf>
    <xf numFmtId="0" fontId="20" fillId="5" borderId="5" xfId="0" applyFont="1" applyFill="1" applyBorder="1" applyAlignment="1">
      <alignment horizontal="left" vertical="top" wrapText="1"/>
    </xf>
    <xf numFmtId="0" fontId="20" fillId="5" borderId="14" xfId="0" applyFont="1" applyFill="1" applyBorder="1" applyAlignment="1">
      <alignment horizontal="left" vertical="top" wrapText="1"/>
    </xf>
    <xf numFmtId="0" fontId="0" fillId="0" borderId="5" xfId="0" applyBorder="1"/>
    <xf numFmtId="0" fontId="24" fillId="5" borderId="7"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5" borderId="2" xfId="0" applyFont="1" applyFill="1" applyBorder="1" applyAlignment="1">
      <alignment horizontal="left" vertical="center" wrapText="1"/>
    </xf>
    <xf numFmtId="0" fontId="53" fillId="5" borderId="7" xfId="0" applyFont="1" applyFill="1" applyBorder="1" applyAlignment="1">
      <alignment horizontal="left" vertical="center" wrapText="1"/>
    </xf>
    <xf numFmtId="0" fontId="0" fillId="0" borderId="12" xfId="0" applyBorder="1"/>
    <xf numFmtId="0" fontId="33" fillId="4" borderId="12" xfId="0" applyFont="1" applyFill="1" applyBorder="1" applyAlignment="1">
      <alignment wrapText="1"/>
    </xf>
    <xf numFmtId="0" fontId="60" fillId="4" borderId="12" xfId="0" applyFont="1" applyFill="1" applyBorder="1"/>
    <xf numFmtId="0" fontId="33" fillId="4" borderId="0" xfId="0" applyFont="1" applyFill="1" applyAlignment="1">
      <alignment wrapText="1"/>
    </xf>
    <xf numFmtId="0" fontId="60" fillId="4" borderId="12" xfId="0" applyFont="1" applyFill="1" applyBorder="1" applyAlignment="1">
      <alignment vertical="top"/>
    </xf>
    <xf numFmtId="0" fontId="2" fillId="4" borderId="7" xfId="0" applyFont="1" applyFill="1" applyBorder="1" applyAlignment="1">
      <alignment vertical="top" wrapText="1"/>
    </xf>
    <xf numFmtId="0" fontId="23" fillId="0" borderId="7" xfId="0" applyFont="1" applyBorder="1" applyAlignment="1">
      <alignment horizontal="center" vertical="center" wrapText="1"/>
    </xf>
    <xf numFmtId="0" fontId="2" fillId="4" borderId="6" xfId="0" applyFont="1" applyFill="1" applyBorder="1" applyAlignment="1">
      <alignment vertical="top" wrapText="1"/>
    </xf>
    <xf numFmtId="0" fontId="2" fillId="4" borderId="1" xfId="0" applyFont="1" applyFill="1" applyBorder="1" applyAlignment="1">
      <alignment vertical="top" wrapText="1"/>
    </xf>
    <xf numFmtId="0" fontId="23" fillId="4" borderId="1" xfId="0" applyFont="1" applyFill="1" applyBorder="1" applyAlignment="1">
      <alignment vertical="top" wrapText="1"/>
    </xf>
    <xf numFmtId="0" fontId="23" fillId="0" borderId="1" xfId="0" applyFont="1" applyBorder="1" applyAlignment="1">
      <alignment horizontal="center" vertical="center" wrapText="1"/>
    </xf>
    <xf numFmtId="0" fontId="23" fillId="0" borderId="2" xfId="0" applyFont="1" applyBorder="1" applyAlignment="1">
      <alignment horizontal="left" vertical="top" wrapText="1"/>
    </xf>
    <xf numFmtId="0" fontId="23" fillId="0" borderId="2" xfId="0" applyFont="1" applyBorder="1" applyAlignment="1">
      <alignment vertical="top" wrapText="1"/>
    </xf>
    <xf numFmtId="0" fontId="27" fillId="4" borderId="1" xfId="0" applyFont="1" applyFill="1" applyBorder="1" applyAlignment="1">
      <alignment vertical="top" wrapText="1"/>
    </xf>
    <xf numFmtId="0" fontId="33" fillId="4" borderId="7" xfId="0" applyFont="1" applyFill="1" applyBorder="1" applyAlignment="1">
      <alignment horizontal="left" vertical="top" wrapText="1"/>
    </xf>
    <xf numFmtId="0" fontId="27" fillId="4" borderId="7" xfId="0" applyFont="1" applyFill="1" applyBorder="1" applyAlignment="1">
      <alignment vertical="top" wrapText="1"/>
    </xf>
    <xf numFmtId="0" fontId="27" fillId="4" borderId="6" xfId="0" applyFont="1" applyFill="1" applyBorder="1" applyAlignment="1">
      <alignment vertical="top" wrapText="1"/>
    </xf>
    <xf numFmtId="0" fontId="24" fillId="5" borderId="1" xfId="0" applyFont="1" applyFill="1" applyBorder="1" applyAlignment="1">
      <alignment vertical="center" wrapText="1"/>
    </xf>
    <xf numFmtId="0" fontId="53" fillId="5" borderId="1" xfId="0" applyFont="1" applyFill="1" applyBorder="1" applyAlignment="1">
      <alignment horizontal="left" vertical="center" wrapText="1"/>
    </xf>
    <xf numFmtId="0" fontId="2" fillId="0" borderId="1" xfId="0" applyFont="1" applyBorder="1" applyAlignment="1">
      <alignment vertical="top" wrapText="1"/>
    </xf>
    <xf numFmtId="0" fontId="0" fillId="0" borderId="0" xfId="0" applyAlignment="1">
      <alignment vertical="top" wrapText="1"/>
    </xf>
    <xf numFmtId="0" fontId="23" fillId="4" borderId="1" xfId="0" applyFont="1" applyFill="1" applyBorder="1" applyAlignment="1">
      <alignment horizontal="center" vertical="center" wrapText="1"/>
    </xf>
    <xf numFmtId="0" fontId="23" fillId="4" borderId="2" xfId="0" applyFont="1" applyFill="1" applyBorder="1" applyAlignment="1">
      <alignment horizontal="left" vertical="top" wrapText="1"/>
    </xf>
    <xf numFmtId="0" fontId="23" fillId="0" borderId="7" xfId="0" applyFont="1" applyBorder="1" applyAlignment="1">
      <alignment vertical="top" wrapText="1"/>
    </xf>
    <xf numFmtId="0" fontId="2" fillId="4" borderId="15" xfId="0" applyFont="1" applyFill="1" applyBorder="1" applyAlignment="1">
      <alignment vertical="top" wrapText="1"/>
    </xf>
    <xf numFmtId="0" fontId="23" fillId="0" borderId="15" xfId="0" applyFont="1" applyBorder="1" applyAlignment="1">
      <alignment vertical="top" wrapText="1"/>
    </xf>
    <xf numFmtId="0" fontId="2" fillId="4" borderId="11" xfId="0" applyFont="1" applyFill="1" applyBorder="1" applyAlignment="1">
      <alignment vertical="top" wrapText="1"/>
    </xf>
    <xf numFmtId="0" fontId="8" fillId="0" borderId="0" xfId="0" applyFont="1" applyAlignment="1">
      <alignment vertical="top" wrapText="1"/>
    </xf>
    <xf numFmtId="0" fontId="17" fillId="0" borderId="0" xfId="0" applyFont="1" applyAlignment="1">
      <alignment horizontal="left"/>
    </xf>
    <xf numFmtId="0" fontId="0" fillId="0" borderId="0" xfId="0" applyAlignment="1">
      <alignment horizontal="left" vertical="top" wrapText="1"/>
    </xf>
    <xf numFmtId="0" fontId="36" fillId="5" borderId="11" xfId="1" applyFont="1" applyFill="1" applyBorder="1" applyAlignment="1" applyProtection="1">
      <alignment horizontal="left" vertical="top" wrapText="1"/>
    </xf>
    <xf numFmtId="0" fontId="3" fillId="0" borderId="0" xfId="1" applyProtection="1"/>
    <xf numFmtId="0" fontId="24" fillId="5" borderId="5" xfId="0" applyFont="1" applyFill="1" applyBorder="1" applyAlignment="1">
      <alignment horizontal="left" vertical="top" wrapText="1"/>
    </xf>
    <xf numFmtId="0" fontId="24" fillId="5" borderId="14" xfId="0" applyFont="1" applyFill="1" applyBorder="1" applyAlignment="1">
      <alignment horizontal="left" vertical="top" wrapText="1"/>
    </xf>
    <xf numFmtId="0" fontId="23" fillId="0" borderId="1" xfId="0" applyFont="1" applyBorder="1" applyAlignment="1">
      <alignment horizontal="left" vertical="top" wrapText="1"/>
    </xf>
    <xf numFmtId="0" fontId="27" fillId="0" borderId="1" xfId="0" applyFont="1" applyBorder="1" applyAlignment="1">
      <alignment vertical="top" wrapText="1"/>
    </xf>
    <xf numFmtId="0" fontId="2" fillId="0" borderId="7" xfId="0" applyFont="1" applyBorder="1" applyAlignment="1">
      <alignment vertical="top" wrapText="1"/>
    </xf>
    <xf numFmtId="0" fontId="2" fillId="0" borderId="6" xfId="0" applyFont="1" applyBorder="1" applyAlignment="1">
      <alignment vertical="top" wrapText="1"/>
    </xf>
    <xf numFmtId="0" fontId="0" fillId="5" borderId="0" xfId="0" applyFill="1" applyAlignment="1">
      <alignment vertical="top"/>
    </xf>
    <xf numFmtId="0" fontId="0" fillId="5" borderId="12" xfId="0" applyFill="1" applyBorder="1" applyAlignment="1">
      <alignment vertical="top"/>
    </xf>
    <xf numFmtId="0" fontId="0" fillId="5" borderId="5" xfId="0" applyFill="1" applyBorder="1" applyAlignment="1">
      <alignment vertical="top"/>
    </xf>
    <xf numFmtId="0" fontId="0" fillId="5" borderId="14" xfId="0" applyFill="1" applyBorder="1" applyAlignment="1">
      <alignment vertical="top"/>
    </xf>
    <xf numFmtId="0" fontId="23" fillId="0" borderId="0" xfId="0" applyFont="1" applyAlignment="1">
      <alignment wrapText="1"/>
    </xf>
    <xf numFmtId="0" fontId="2" fillId="0" borderId="11" xfId="0" applyFont="1" applyBorder="1" applyAlignment="1">
      <alignment vertical="top" wrapText="1"/>
    </xf>
    <xf numFmtId="0" fontId="33" fillId="4" borderId="11" xfId="1" applyFont="1" applyFill="1" applyBorder="1" applyAlignment="1" applyProtection="1">
      <alignment vertical="top" wrapText="1"/>
    </xf>
    <xf numFmtId="0" fontId="33" fillId="4" borderId="11" xfId="1" applyFont="1" applyFill="1" applyBorder="1" applyAlignment="1" applyProtection="1">
      <alignment wrapText="1"/>
    </xf>
    <xf numFmtId="0" fontId="2" fillId="0" borderId="13" xfId="0" applyFont="1" applyBorder="1" applyAlignment="1">
      <alignment vertical="top" wrapText="1"/>
    </xf>
    <xf numFmtId="0" fontId="33" fillId="4" borderId="13" xfId="1" applyFont="1" applyFill="1" applyBorder="1" applyAlignment="1" applyProtection="1">
      <alignment vertical="top" wrapText="1"/>
    </xf>
    <xf numFmtId="0" fontId="2" fillId="0" borderId="15" xfId="0" applyFont="1" applyBorder="1" applyAlignment="1">
      <alignment vertical="top" wrapText="1"/>
    </xf>
    <xf numFmtId="0" fontId="33" fillId="4" borderId="15" xfId="1" applyFont="1" applyFill="1" applyBorder="1" applyAlignment="1" applyProtection="1">
      <alignment vertical="top" wrapText="1"/>
    </xf>
    <xf numFmtId="0" fontId="62" fillId="4" borderId="12" xfId="1" applyFont="1" applyFill="1" applyBorder="1" applyAlignment="1" applyProtection="1">
      <alignment vertical="top" wrapText="1"/>
    </xf>
    <xf numFmtId="0" fontId="31" fillId="4" borderId="7" xfId="1" applyFont="1" applyFill="1" applyBorder="1" applyAlignment="1" applyProtection="1">
      <alignment vertical="top" wrapText="1"/>
    </xf>
    <xf numFmtId="0" fontId="2" fillId="4" borderId="7" xfId="1" applyFont="1" applyFill="1" applyBorder="1" applyAlignment="1" applyProtection="1">
      <alignment vertical="top" wrapText="1"/>
    </xf>
    <xf numFmtId="0" fontId="2" fillId="4" borderId="15" xfId="1" applyFont="1" applyFill="1" applyBorder="1" applyAlignment="1" applyProtection="1">
      <alignment wrapText="1"/>
    </xf>
    <xf numFmtId="0" fontId="23" fillId="4" borderId="15" xfId="1" applyFont="1" applyFill="1" applyBorder="1" applyAlignment="1" applyProtection="1">
      <alignment vertical="top" wrapText="1"/>
    </xf>
    <xf numFmtId="0" fontId="23" fillId="4" borderId="6" xfId="1" applyFont="1" applyFill="1" applyBorder="1" applyAlignment="1" applyProtection="1">
      <alignment vertical="top" wrapText="1"/>
    </xf>
    <xf numFmtId="0" fontId="2" fillId="0" borderId="0" xfId="0" applyFont="1" applyAlignment="1">
      <alignment wrapText="1"/>
    </xf>
    <xf numFmtId="0" fontId="2" fillId="0" borderId="8" xfId="0" applyFont="1" applyBorder="1" applyAlignment="1">
      <alignment vertical="top" wrapText="1"/>
    </xf>
    <xf numFmtId="0" fontId="9" fillId="5" borderId="0" xfId="0" applyFont="1" applyFill="1" applyAlignment="1">
      <alignment horizontal="left" vertical="top" wrapText="1"/>
    </xf>
    <xf numFmtId="0" fontId="9" fillId="5" borderId="12" xfId="0" applyFont="1" applyFill="1" applyBorder="1" applyAlignment="1">
      <alignment horizontal="left" vertical="top" wrapText="1"/>
    </xf>
    <xf numFmtId="0" fontId="9" fillId="5" borderId="5" xfId="0" applyFont="1" applyFill="1" applyBorder="1" applyAlignment="1">
      <alignment horizontal="left" vertical="top" wrapText="1"/>
    </xf>
    <xf numFmtId="0" fontId="9" fillId="5" borderId="14" xfId="0" applyFont="1" applyFill="1" applyBorder="1" applyAlignment="1">
      <alignment horizontal="left" vertical="top" wrapText="1"/>
    </xf>
    <xf numFmtId="0" fontId="0" fillId="0" borderId="0" xfId="0" applyAlignment="1">
      <alignment horizontal="left"/>
    </xf>
    <xf numFmtId="0" fontId="24" fillId="4" borderId="7" xfId="0" applyFont="1" applyFill="1" applyBorder="1" applyAlignment="1">
      <alignment horizontal="left" vertical="center" wrapText="1"/>
    </xf>
    <xf numFmtId="0" fontId="33" fillId="4" borderId="7" xfId="0" applyFont="1" applyFill="1" applyBorder="1" applyAlignment="1">
      <alignment horizontal="left" vertical="center" wrapText="1"/>
    </xf>
    <xf numFmtId="0" fontId="0" fillId="0" borderId="0" xfId="0" applyAlignment="1">
      <alignment horizontal="center" vertical="top" wrapText="1"/>
    </xf>
    <xf numFmtId="0" fontId="1" fillId="0" borderId="0" xfId="0" applyFont="1" applyAlignment="1">
      <alignment horizontal="left" vertical="top"/>
    </xf>
    <xf numFmtId="0" fontId="1" fillId="0" borderId="0" xfId="0" applyFont="1"/>
    <xf numFmtId="0" fontId="2" fillId="0" borderId="1" xfId="0" applyFont="1" applyBorder="1" applyAlignment="1">
      <alignment horizontal="left" vertical="top" wrapText="1"/>
    </xf>
    <xf numFmtId="0" fontId="23" fillId="0" borderId="4" xfId="0" applyFont="1" applyBorder="1" applyAlignment="1">
      <alignment horizontal="center" vertical="center" wrapText="1"/>
    </xf>
    <xf numFmtId="0" fontId="23" fillId="0" borderId="2" xfId="0" applyFont="1" applyBorder="1" applyAlignment="1">
      <alignment vertical="center" wrapText="1"/>
    </xf>
    <xf numFmtId="0" fontId="2" fillId="5" borderId="1" xfId="0" applyFont="1" applyFill="1" applyBorder="1" applyAlignment="1">
      <alignment horizontal="right" vertical="top" wrapText="1"/>
    </xf>
    <xf numFmtId="0" fontId="23" fillId="0" borderId="2" xfId="0" applyFont="1" applyBorder="1" applyAlignment="1">
      <alignment horizontal="left" vertical="center" wrapText="1"/>
    </xf>
    <xf numFmtId="0" fontId="2" fillId="0" borderId="7" xfId="0" applyFont="1" applyBorder="1" applyAlignment="1">
      <alignment horizontal="left" vertical="top" wrapText="1"/>
    </xf>
    <xf numFmtId="0" fontId="2" fillId="4" borderId="7" xfId="0" applyFont="1" applyFill="1" applyBorder="1" applyAlignment="1">
      <alignment horizontal="left" vertical="top" wrapText="1"/>
    </xf>
    <xf numFmtId="0" fontId="2" fillId="0" borderId="11" xfId="0" applyFont="1" applyBorder="1" applyAlignment="1">
      <alignment horizontal="left" vertical="top" wrapText="1"/>
    </xf>
    <xf numFmtId="0" fontId="23" fillId="0" borderId="8" xfId="0" applyFont="1" applyBorder="1" applyAlignment="1">
      <alignment horizontal="center" vertical="center" wrapText="1"/>
    </xf>
    <xf numFmtId="0" fontId="2" fillId="0" borderId="13" xfId="0" applyFont="1" applyBorder="1" applyAlignment="1">
      <alignment horizontal="left" vertical="top" wrapText="1"/>
    </xf>
    <xf numFmtId="0" fontId="23" fillId="0" borderId="7" xfId="0" applyFont="1" applyBorder="1" applyAlignment="1">
      <alignment horizontal="left" vertical="center" wrapText="1"/>
    </xf>
    <xf numFmtId="0" fontId="12" fillId="0" borderId="0" xfId="0" applyFont="1" applyAlignment="1">
      <alignment vertical="top" wrapText="1"/>
    </xf>
    <xf numFmtId="0" fontId="2" fillId="0" borderId="6" xfId="0" applyFont="1" applyBorder="1" applyAlignment="1">
      <alignment horizontal="left" vertical="top" wrapText="1"/>
    </xf>
    <xf numFmtId="0" fontId="12" fillId="0" borderId="0" xfId="0" applyFont="1" applyAlignment="1">
      <alignment wrapText="1"/>
    </xf>
    <xf numFmtId="0" fontId="31" fillId="4" borderId="0" xfId="1" applyFont="1" applyFill="1" applyBorder="1" applyAlignment="1" applyProtection="1">
      <alignment horizontal="left" vertical="top" wrapText="1"/>
    </xf>
    <xf numFmtId="0" fontId="12" fillId="0" borderId="0" xfId="0" applyFont="1" applyAlignment="1">
      <alignment horizontal="left" wrapText="1"/>
    </xf>
    <xf numFmtId="0" fontId="16" fillId="0" borderId="0" xfId="0" applyFont="1" applyAlignment="1">
      <alignment wrapText="1"/>
    </xf>
    <xf numFmtId="0" fontId="5" fillId="0" borderId="0" xfId="0" applyFont="1" applyAlignment="1">
      <alignment vertical="center"/>
    </xf>
    <xf numFmtId="0" fontId="15" fillId="0" borderId="0" xfId="0" applyFont="1"/>
    <xf numFmtId="0" fontId="27" fillId="4" borderId="7" xfId="0" applyFont="1" applyFill="1" applyBorder="1" applyAlignment="1">
      <alignment horizontal="left" vertical="top" wrapText="1"/>
    </xf>
    <xf numFmtId="0" fontId="27" fillId="4" borderId="15" xfId="0" applyFont="1" applyFill="1" applyBorder="1" applyAlignment="1">
      <alignment horizontal="left" vertical="top" wrapText="1"/>
    </xf>
    <xf numFmtId="0" fontId="11" fillId="0" borderId="1" xfId="0" applyFont="1" applyBorder="1" applyAlignment="1">
      <alignment vertical="top" wrapText="1"/>
    </xf>
    <xf numFmtId="0" fontId="11" fillId="4" borderId="1" xfId="0" applyFont="1" applyFill="1" applyBorder="1" applyAlignment="1">
      <alignment vertical="top" wrapText="1"/>
    </xf>
    <xf numFmtId="0" fontId="23" fillId="4" borderId="8" xfId="0" applyFont="1" applyFill="1" applyBorder="1" applyAlignment="1">
      <alignment vertical="top" wrapText="1"/>
    </xf>
    <xf numFmtId="14" fontId="23" fillId="0" borderId="1" xfId="0" applyNumberFormat="1" applyFont="1" applyBorder="1" applyAlignment="1">
      <alignment horizontal="left" vertical="top" wrapText="1"/>
    </xf>
    <xf numFmtId="0" fontId="17" fillId="0" borderId="0" xfId="0" applyFont="1"/>
    <xf numFmtId="0" fontId="33" fillId="5" borderId="0" xfId="0" applyFont="1" applyFill="1" applyAlignment="1">
      <alignment vertical="top" wrapText="1"/>
    </xf>
    <xf numFmtId="0" fontId="33" fillId="5" borderId="12" xfId="0" applyFont="1" applyFill="1" applyBorder="1" applyAlignment="1">
      <alignment vertical="top" wrapText="1"/>
    </xf>
    <xf numFmtId="0" fontId="23" fillId="0" borderId="1" xfId="0" applyFont="1" applyBorder="1" applyAlignment="1">
      <alignment vertical="center" wrapText="1"/>
    </xf>
    <xf numFmtId="0" fontId="50" fillId="0" borderId="1" xfId="0" applyFont="1" applyBorder="1" applyAlignment="1">
      <alignment horizontal="left" vertical="center" wrapText="1"/>
    </xf>
    <xf numFmtId="14" fontId="23" fillId="0" borderId="2" xfId="0" applyNumberFormat="1" applyFont="1" applyBorder="1" applyAlignment="1">
      <alignment horizontal="left" vertical="top" wrapText="1"/>
    </xf>
    <xf numFmtId="14" fontId="23" fillId="0" borderId="11" xfId="0" applyNumberFormat="1" applyFont="1" applyBorder="1" applyAlignment="1">
      <alignment horizontal="center" vertical="top" wrapText="1"/>
    </xf>
    <xf numFmtId="14" fontId="23" fillId="0" borderId="11" xfId="0" applyNumberFormat="1" applyFont="1" applyBorder="1" applyAlignment="1">
      <alignment horizontal="left" vertical="top" wrapText="1"/>
    </xf>
    <xf numFmtId="0" fontId="50" fillId="0" borderId="0" xfId="0" applyFont="1" applyAlignment="1">
      <alignment horizontal="left" vertical="center" wrapText="1"/>
    </xf>
    <xf numFmtId="0" fontId="24" fillId="5" borderId="2" xfId="0" applyFont="1" applyFill="1" applyBorder="1" applyAlignment="1">
      <alignment vertical="center" wrapText="1"/>
    </xf>
    <xf numFmtId="0" fontId="20" fillId="0" borderId="2" xfId="0" applyFont="1" applyBorder="1" applyAlignment="1">
      <alignment horizontal="center" vertical="center" wrapText="1"/>
    </xf>
    <xf numFmtId="14" fontId="20" fillId="0" borderId="2" xfId="0" applyNumberFormat="1" applyFont="1" applyBorder="1" applyAlignment="1">
      <alignment horizontal="left" vertical="top"/>
    </xf>
    <xf numFmtId="0" fontId="23" fillId="5" borderId="1" xfId="0" applyFont="1" applyFill="1" applyBorder="1" applyAlignment="1">
      <alignment horizontal="left" vertical="top" wrapText="1"/>
    </xf>
    <xf numFmtId="0" fontId="23" fillId="0" borderId="0" xfId="0" applyFont="1"/>
    <xf numFmtId="0" fontId="23" fillId="0" borderId="0" xfId="0" applyFont="1" applyAlignment="1">
      <alignment vertical="top"/>
    </xf>
    <xf numFmtId="0" fontId="42" fillId="5" borderId="11" xfId="0" applyFont="1" applyFill="1" applyBorder="1"/>
    <xf numFmtId="0" fontId="2" fillId="0" borderId="6"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0" xfId="0" applyFont="1" applyAlignment="1">
      <alignment vertical="top" wrapText="1"/>
    </xf>
    <xf numFmtId="0" fontId="23" fillId="0" borderId="0" xfId="0" applyFont="1" applyAlignment="1">
      <alignment vertical="top" wrapText="1"/>
    </xf>
    <xf numFmtId="0" fontId="2" fillId="4" borderId="1" xfId="0" applyFont="1" applyFill="1" applyBorder="1" applyAlignment="1">
      <alignment horizontal="center" vertical="center" wrapText="1"/>
    </xf>
    <xf numFmtId="0" fontId="23" fillId="0" borderId="1" xfId="0" applyFont="1" applyBorder="1" applyAlignment="1">
      <alignment vertical="top" wrapText="1"/>
    </xf>
    <xf numFmtId="0" fontId="24" fillId="5" borderId="6" xfId="0" applyFont="1" applyFill="1" applyBorder="1" applyAlignment="1">
      <alignment horizontal="left" vertical="top" wrapText="1"/>
    </xf>
    <xf numFmtId="14" fontId="23" fillId="0" borderId="1" xfId="0" applyNumberFormat="1" applyFont="1" applyBorder="1" applyAlignment="1">
      <alignment vertical="top" wrapText="1"/>
    </xf>
    <xf numFmtId="0" fontId="23" fillId="0" borderId="1" xfId="0" quotePrefix="1" applyFont="1" applyBorder="1" applyAlignment="1">
      <alignment vertical="top" wrapText="1"/>
    </xf>
    <xf numFmtId="0" fontId="35" fillId="5" borderId="6" xfId="0" applyFont="1" applyFill="1" applyBorder="1" applyAlignment="1">
      <alignment horizontal="left" vertical="top" wrapText="1"/>
    </xf>
    <xf numFmtId="0" fontId="19" fillId="0" borderId="1" xfId="0" applyFont="1" applyBorder="1" applyAlignment="1">
      <alignment vertical="center" wrapText="1"/>
    </xf>
    <xf numFmtId="0" fontId="0" fillId="0" borderId="1" xfId="0" applyBorder="1"/>
    <xf numFmtId="0" fontId="19" fillId="0" borderId="8" xfId="0" applyFont="1" applyBorder="1" applyAlignment="1">
      <alignment vertical="center" wrapText="1"/>
    </xf>
    <xf numFmtId="0" fontId="35" fillId="5" borderId="1" xfId="0" applyFont="1" applyFill="1" applyBorder="1" applyAlignment="1">
      <alignment horizontal="left" vertical="top" wrapText="1"/>
    </xf>
    <xf numFmtId="0" fontId="19" fillId="0" borderId="0" xfId="0" applyFont="1" applyAlignment="1">
      <alignment vertical="center" wrapText="1"/>
    </xf>
    <xf numFmtId="0" fontId="50" fillId="0" borderId="1" xfId="0" applyFont="1" applyBorder="1" applyAlignment="1">
      <alignment vertical="top" wrapText="1"/>
    </xf>
    <xf numFmtId="0" fontId="19" fillId="0" borderId="1" xfId="0" applyFont="1" applyBorder="1" applyAlignment="1">
      <alignment vertical="top" wrapText="1"/>
    </xf>
    <xf numFmtId="0" fontId="19" fillId="0" borderId="1" xfId="0" applyFont="1" applyBorder="1" applyAlignment="1">
      <alignment horizontal="left" vertical="top" wrapText="1"/>
    </xf>
    <xf numFmtId="0" fontId="23" fillId="0" borderId="1" xfId="0" applyFont="1" applyBorder="1" applyAlignment="1" applyProtection="1">
      <alignment vertical="center" wrapText="1"/>
      <protection hidden="1"/>
    </xf>
    <xf numFmtId="14" fontId="23" fillId="0" borderId="1" xfId="0" applyNumberFormat="1" applyFont="1" applyBorder="1" applyAlignment="1" applyProtection="1">
      <alignment vertical="center" wrapText="1"/>
      <protection hidden="1"/>
    </xf>
    <xf numFmtId="0" fontId="23" fillId="0" borderId="1" xfId="0" applyFont="1" applyBorder="1" applyAlignment="1">
      <alignment horizontal="center" vertical="top" wrapText="1"/>
    </xf>
    <xf numFmtId="14" fontId="23" fillId="0" borderId="1" xfId="0" applyNumberFormat="1" applyFont="1" applyBorder="1" applyAlignment="1">
      <alignment vertical="center" wrapText="1"/>
    </xf>
    <xf numFmtId="14" fontId="23" fillId="0" borderId="0" xfId="0" applyNumberFormat="1" applyFont="1" applyAlignment="1">
      <alignment vertical="top" wrapText="1"/>
    </xf>
    <xf numFmtId="0" fontId="5" fillId="0" borderId="0" xfId="0" applyFont="1" applyAlignment="1">
      <alignment horizontal="left" vertical="center"/>
    </xf>
    <xf numFmtId="0" fontId="6" fillId="0" borderId="0" xfId="0" applyFont="1" applyAlignment="1">
      <alignment horizontal="left"/>
    </xf>
    <xf numFmtId="0" fontId="19" fillId="0" borderId="1" xfId="0" applyFont="1" applyBorder="1" applyAlignment="1">
      <alignment horizontal="left" vertical="center" wrapText="1"/>
    </xf>
    <xf numFmtId="2" fontId="2" fillId="3" borderId="36" xfId="0" applyNumberFormat="1" applyFont="1" applyFill="1" applyBorder="1" applyAlignment="1">
      <alignment horizontal="center" vertical="center" wrapText="1"/>
    </xf>
    <xf numFmtId="0" fontId="32" fillId="3" borderId="6" xfId="0" applyFont="1" applyFill="1" applyBorder="1" applyAlignment="1">
      <alignment horizontal="center" vertical="center" wrapText="1"/>
    </xf>
    <xf numFmtId="0" fontId="1" fillId="0" borderId="33" xfId="0" applyFont="1" applyBorder="1" applyAlignment="1">
      <alignment horizontal="center" vertical="center"/>
    </xf>
    <xf numFmtId="2" fontId="0" fillId="4" borderId="1" xfId="0" applyNumberFormat="1" applyFill="1" applyBorder="1" applyAlignment="1">
      <alignment horizontal="center" vertical="center" wrapText="1"/>
    </xf>
    <xf numFmtId="0" fontId="0" fillId="4" borderId="1" xfId="0" applyFill="1" applyBorder="1" applyAlignment="1">
      <alignment horizontal="center" vertical="center" wrapText="1"/>
    </xf>
    <xf numFmtId="0" fontId="0" fillId="4" borderId="1" xfId="0" applyFill="1" applyBorder="1" applyAlignment="1">
      <alignment horizontal="center" vertical="center"/>
    </xf>
    <xf numFmtId="2" fontId="23" fillId="4" borderId="1" xfId="0" applyNumberFormat="1" applyFont="1" applyFill="1" applyBorder="1" applyAlignment="1">
      <alignment horizontal="center" vertical="center"/>
    </xf>
    <xf numFmtId="3" fontId="23" fillId="4" borderId="1" xfId="0" applyNumberFormat="1" applyFont="1" applyFill="1" applyBorder="1" applyAlignment="1">
      <alignment horizontal="center" vertical="center"/>
    </xf>
    <xf numFmtId="0" fontId="0" fillId="0" borderId="33" xfId="0" applyBorder="1"/>
    <xf numFmtId="2"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2" fillId="0" borderId="33" xfId="0" applyFont="1" applyBorder="1" applyAlignment="1">
      <alignment horizontal="center" vertical="center"/>
    </xf>
    <xf numFmtId="2" fontId="23" fillId="0" borderId="1" xfId="0" applyNumberFormat="1" applyFont="1" applyBorder="1" applyAlignment="1">
      <alignment horizontal="center" vertical="center" wrapText="1"/>
    </xf>
    <xf numFmtId="0" fontId="0" fillId="0" borderId="20" xfId="0" applyBorder="1"/>
    <xf numFmtId="0" fontId="2" fillId="0" borderId="35" xfId="0" applyFont="1" applyBorder="1" applyAlignment="1">
      <alignment horizontal="center" vertical="center"/>
    </xf>
    <xf numFmtId="2" fontId="23" fillId="0" borderId="36" xfId="0" applyNumberFormat="1" applyFont="1" applyBorder="1" applyAlignment="1">
      <alignment horizontal="center" vertical="center" wrapText="1"/>
    </xf>
    <xf numFmtId="0" fontId="23" fillId="0" borderId="36" xfId="0" applyFont="1" applyBorder="1" applyAlignment="1">
      <alignment horizontal="center" vertical="center" wrapText="1"/>
    </xf>
    <xf numFmtId="2" fontId="23" fillId="4" borderId="36" xfId="0" applyNumberFormat="1" applyFont="1" applyFill="1" applyBorder="1" applyAlignment="1">
      <alignment horizontal="center" vertical="center"/>
    </xf>
    <xf numFmtId="3" fontId="23" fillId="4" borderId="36" xfId="0" applyNumberFormat="1" applyFont="1" applyFill="1" applyBorder="1" applyAlignment="1">
      <alignment horizontal="center" vertical="center"/>
    </xf>
    <xf numFmtId="0" fontId="23" fillId="0" borderId="0" xfId="0" applyFont="1" applyAlignment="1">
      <alignment horizontal="right" vertical="center"/>
    </xf>
    <xf numFmtId="2" fontId="0" fillId="0" borderId="0" xfId="0" applyNumberFormat="1"/>
    <xf numFmtId="0" fontId="23" fillId="0" borderId="0" xfId="0" applyFont="1" applyAlignment="1">
      <alignment horizontal="right" vertical="center" wrapText="1"/>
    </xf>
    <xf numFmtId="0" fontId="23" fillId="0" borderId="0" xfId="0" applyFont="1" applyAlignment="1">
      <alignment horizontal="center" vertical="center" wrapText="1"/>
    </xf>
    <xf numFmtId="2" fontId="23" fillId="4" borderId="0" xfId="0" applyNumberFormat="1" applyFont="1" applyFill="1" applyAlignment="1">
      <alignment horizontal="center" vertical="center" wrapText="1"/>
    </xf>
    <xf numFmtId="164" fontId="23" fillId="0" borderId="0" xfId="0" applyNumberFormat="1" applyFont="1" applyAlignment="1">
      <alignment horizontal="right" vertical="center"/>
    </xf>
    <xf numFmtId="3" fontId="23" fillId="0" borderId="0" xfId="0" applyNumberFormat="1" applyFont="1" applyAlignment="1">
      <alignment horizontal="right" vertical="center"/>
    </xf>
    <xf numFmtId="0" fontId="51" fillId="5" borderId="13" xfId="0" applyFont="1" applyFill="1" applyBorder="1" applyAlignment="1">
      <alignment vertical="top"/>
    </xf>
    <xf numFmtId="0" fontId="0" fillId="5" borderId="2" xfId="0" applyFill="1" applyBorder="1" applyAlignment="1">
      <alignment horizontal="left" vertical="top" wrapText="1"/>
    </xf>
    <xf numFmtId="0" fontId="0" fillId="5" borderId="3" xfId="0" applyFill="1" applyBorder="1" applyAlignment="1">
      <alignment horizontal="left" vertical="top"/>
    </xf>
    <xf numFmtId="0" fontId="0" fillId="5" borderId="4" xfId="0" applyFill="1" applyBorder="1" applyAlignment="1">
      <alignment horizontal="left" vertical="top"/>
    </xf>
    <xf numFmtId="0" fontId="18" fillId="8" borderId="2" xfId="0" applyFont="1" applyFill="1" applyBorder="1" applyAlignment="1" applyProtection="1">
      <alignment horizontal="left" vertical="center"/>
      <protection hidden="1"/>
    </xf>
    <xf numFmtId="0" fontId="18" fillId="8" borderId="4" xfId="0" applyFont="1" applyFill="1" applyBorder="1" applyAlignment="1" applyProtection="1">
      <alignment horizontal="left" vertical="center"/>
      <protection hidden="1"/>
    </xf>
    <xf numFmtId="0" fontId="23" fillId="5" borderId="2" xfId="0" applyFont="1" applyFill="1" applyBorder="1" applyAlignment="1">
      <alignment horizontal="left"/>
    </xf>
    <xf numFmtId="0" fontId="23" fillId="5" borderId="4" xfId="0" applyFont="1" applyFill="1" applyBorder="1" applyAlignment="1">
      <alignment horizontal="left"/>
    </xf>
    <xf numFmtId="0" fontId="18" fillId="12" borderId="2" xfId="0" applyFont="1" applyFill="1" applyBorder="1" applyAlignment="1">
      <alignment horizontal="left" vertical="center" wrapText="1"/>
    </xf>
    <xf numFmtId="0" fontId="18" fillId="12" borderId="4" xfId="0" applyFont="1" applyFill="1" applyBorder="1" applyAlignment="1">
      <alignment horizontal="left" vertical="center" wrapText="1"/>
    </xf>
    <xf numFmtId="0" fontId="33" fillId="5" borderId="8" xfId="0" applyFont="1" applyFill="1" applyBorder="1" applyAlignment="1" applyProtection="1">
      <alignment horizontal="left" vertical="top" wrapText="1"/>
      <protection hidden="1"/>
    </xf>
    <xf numFmtId="0" fontId="34" fillId="5" borderId="9" xfId="0" applyFont="1" applyFill="1" applyBorder="1" applyAlignment="1" applyProtection="1">
      <alignment horizontal="left" vertical="top" wrapText="1"/>
      <protection hidden="1"/>
    </xf>
    <xf numFmtId="0" fontId="34" fillId="5" borderId="10" xfId="0" applyFont="1" applyFill="1" applyBorder="1" applyAlignment="1" applyProtection="1">
      <alignment horizontal="left" vertical="top" wrapText="1"/>
      <protection hidden="1"/>
    </xf>
    <xf numFmtId="0" fontId="33" fillId="5" borderId="2" xfId="0" applyFont="1" applyFill="1" applyBorder="1" applyAlignment="1" applyProtection="1">
      <alignment horizontal="left" vertical="top" wrapText="1"/>
      <protection hidden="1"/>
    </xf>
    <xf numFmtId="0" fontId="34" fillId="5" borderId="3" xfId="0" applyFont="1" applyFill="1" applyBorder="1" applyAlignment="1" applyProtection="1">
      <alignment horizontal="left" vertical="top" wrapText="1"/>
      <protection hidden="1"/>
    </xf>
    <xf numFmtId="0" fontId="34" fillId="5" borderId="4" xfId="0" applyFont="1" applyFill="1" applyBorder="1" applyAlignment="1" applyProtection="1">
      <alignment horizontal="left" vertical="top" wrapText="1"/>
      <protection hidden="1"/>
    </xf>
    <xf numFmtId="0" fontId="18" fillId="7" borderId="2" xfId="0" applyFont="1" applyFill="1" applyBorder="1" applyAlignment="1">
      <alignment horizontal="left" vertical="center" wrapText="1"/>
    </xf>
    <xf numFmtId="0" fontId="18" fillId="7" borderId="5" xfId="0" applyFont="1" applyFill="1" applyBorder="1" applyAlignment="1">
      <alignment horizontal="left" vertical="center" wrapText="1"/>
    </xf>
    <xf numFmtId="0" fontId="18" fillId="7" borderId="3" xfId="0" applyFont="1" applyFill="1" applyBorder="1" applyAlignment="1">
      <alignment horizontal="left" vertical="center" wrapText="1"/>
    </xf>
    <xf numFmtId="0" fontId="18" fillId="11" borderId="2" xfId="0" applyFont="1" applyFill="1" applyBorder="1" applyAlignment="1">
      <alignment horizontal="left" vertical="center" wrapText="1"/>
    </xf>
    <xf numFmtId="0" fontId="18" fillId="11" borderId="3" xfId="0" applyFont="1" applyFill="1" applyBorder="1" applyAlignment="1">
      <alignment horizontal="left" vertical="center" wrapText="1"/>
    </xf>
    <xf numFmtId="0" fontId="18" fillId="11" borderId="4" xfId="0" applyFont="1" applyFill="1" applyBorder="1" applyAlignment="1">
      <alignment horizontal="left" vertical="center" wrapText="1"/>
    </xf>
    <xf numFmtId="0" fontId="23" fillId="5" borderId="7" xfId="0" applyFont="1" applyFill="1" applyBorder="1" applyAlignment="1">
      <alignment horizontal="left" vertical="top" wrapText="1"/>
    </xf>
    <xf numFmtId="0" fontId="23" fillId="5" borderId="15" xfId="0" applyFont="1" applyFill="1" applyBorder="1" applyAlignment="1">
      <alignment horizontal="left" vertical="top" wrapText="1"/>
    </xf>
    <xf numFmtId="0" fontId="23" fillId="5" borderId="13" xfId="0" applyFont="1" applyFill="1" applyBorder="1" applyAlignment="1">
      <alignment horizontal="left" vertical="top" wrapText="1"/>
    </xf>
    <xf numFmtId="0" fontId="22" fillId="6" borderId="7" xfId="0" applyFont="1" applyFill="1" applyBorder="1" applyAlignment="1" applyProtection="1">
      <alignment horizontal="left" vertical="top"/>
      <protection hidden="1"/>
    </xf>
    <xf numFmtId="0" fontId="22" fillId="6" borderId="15" xfId="0" applyFont="1" applyFill="1" applyBorder="1" applyAlignment="1" applyProtection="1">
      <alignment horizontal="left" vertical="top"/>
      <protection hidden="1"/>
    </xf>
    <xf numFmtId="0" fontId="22" fillId="6" borderId="6" xfId="0" applyFont="1" applyFill="1" applyBorder="1" applyAlignment="1" applyProtection="1">
      <alignment horizontal="left" vertical="top"/>
      <protection hidden="1"/>
    </xf>
    <xf numFmtId="0" fontId="31" fillId="5" borderId="11" xfId="1" applyFont="1" applyFill="1" applyBorder="1" applyAlignment="1" applyProtection="1">
      <alignment horizontal="left" vertical="top" wrapText="1"/>
    </xf>
    <xf numFmtId="0" fontId="31" fillId="5" borderId="0" xfId="1" applyFont="1" applyFill="1" applyBorder="1" applyAlignment="1" applyProtection="1">
      <alignment horizontal="left" vertical="top" wrapText="1"/>
    </xf>
    <xf numFmtId="0" fontId="33" fillId="5" borderId="11" xfId="1" applyFont="1" applyFill="1" applyBorder="1" applyAlignment="1" applyProtection="1">
      <alignment horizontal="left" vertical="top" wrapText="1"/>
      <protection hidden="1"/>
    </xf>
    <xf numFmtId="0" fontId="33" fillId="5" borderId="0" xfId="1" applyFont="1" applyFill="1" applyBorder="1" applyAlignment="1" applyProtection="1">
      <alignment horizontal="left" vertical="top" wrapText="1"/>
      <protection hidden="1"/>
    </xf>
    <xf numFmtId="0" fontId="33" fillId="5" borderId="12" xfId="1" applyFont="1" applyFill="1" applyBorder="1" applyAlignment="1" applyProtection="1">
      <alignment horizontal="left" vertical="top" wrapText="1"/>
      <protection hidden="1"/>
    </xf>
    <xf numFmtId="0" fontId="33" fillId="5" borderId="13" xfId="0" applyFont="1" applyFill="1" applyBorder="1" applyAlignment="1" applyProtection="1">
      <alignment horizontal="left" vertical="top" wrapText="1"/>
      <protection hidden="1"/>
    </xf>
    <xf numFmtId="0" fontId="33" fillId="5" borderId="5" xfId="0" applyFont="1" applyFill="1" applyBorder="1" applyAlignment="1" applyProtection="1">
      <alignment horizontal="left" vertical="top" wrapText="1"/>
      <protection hidden="1"/>
    </xf>
    <xf numFmtId="0" fontId="33" fillId="5" borderId="14" xfId="0" applyFont="1" applyFill="1" applyBorder="1" applyAlignment="1" applyProtection="1">
      <alignment horizontal="left" vertical="top" wrapText="1"/>
      <protection hidden="1"/>
    </xf>
    <xf numFmtId="0" fontId="54" fillId="0" borderId="0" xfId="0" applyFont="1" applyAlignment="1" applyProtection="1">
      <alignment horizontal="left" wrapText="1"/>
      <protection hidden="1"/>
    </xf>
    <xf numFmtId="0" fontId="18" fillId="8" borderId="3" xfId="0" applyFont="1" applyFill="1" applyBorder="1" applyAlignment="1" applyProtection="1">
      <alignment horizontal="left" vertical="center"/>
      <protection hidden="1"/>
    </xf>
    <xf numFmtId="0" fontId="18" fillId="6" borderId="8" xfId="0" applyFont="1" applyFill="1" applyBorder="1" applyAlignment="1" applyProtection="1">
      <alignment horizontal="left" vertical="center"/>
      <protection hidden="1"/>
    </xf>
    <xf numFmtId="0" fontId="18" fillId="6" borderId="9" xfId="0" applyFont="1" applyFill="1" applyBorder="1" applyAlignment="1" applyProtection="1">
      <alignment horizontal="left" vertical="center"/>
      <protection hidden="1"/>
    </xf>
    <xf numFmtId="0" fontId="18" fillId="6" borderId="10" xfId="0" applyFont="1" applyFill="1" applyBorder="1" applyAlignment="1" applyProtection="1">
      <alignment horizontal="left" vertical="center"/>
      <protection hidden="1"/>
    </xf>
    <xf numFmtId="0" fontId="20" fillId="5" borderId="8" xfId="0" applyFont="1" applyFill="1" applyBorder="1" applyAlignment="1">
      <alignment horizontal="left" vertical="top" wrapText="1"/>
    </xf>
    <xf numFmtId="0" fontId="20" fillId="5" borderId="9" xfId="0" applyFont="1" applyFill="1" applyBorder="1" applyAlignment="1">
      <alignment horizontal="left" vertical="top" wrapText="1"/>
    </xf>
    <xf numFmtId="0" fontId="23" fillId="5" borderId="11" xfId="0" applyFont="1" applyFill="1" applyBorder="1" applyAlignment="1">
      <alignment horizontal="left" vertical="top" wrapText="1"/>
    </xf>
    <xf numFmtId="0" fontId="23" fillId="5" borderId="0" xfId="0" applyFont="1" applyFill="1" applyAlignment="1">
      <alignment horizontal="left" vertical="top" wrapText="1"/>
    </xf>
    <xf numFmtId="0" fontId="2" fillId="5" borderId="11" xfId="0" applyFont="1" applyFill="1" applyBorder="1" applyAlignment="1">
      <alignment horizontal="left" vertical="top" wrapText="1"/>
    </xf>
    <xf numFmtId="0" fontId="2" fillId="5" borderId="0" xfId="0" applyFont="1" applyFill="1" applyAlignment="1">
      <alignment horizontal="left" vertical="top" wrapText="1"/>
    </xf>
    <xf numFmtId="0" fontId="23" fillId="5" borderId="12" xfId="0" applyFont="1" applyFill="1" applyBorder="1" applyAlignment="1">
      <alignment horizontal="left" vertical="top" wrapText="1"/>
    </xf>
    <xf numFmtId="0" fontId="9" fillId="9" borderId="7" xfId="1" applyFont="1" applyFill="1" applyBorder="1" applyAlignment="1" applyProtection="1">
      <alignment horizontal="left" vertical="top" wrapText="1"/>
    </xf>
    <xf numFmtId="0" fontId="36" fillId="9" borderId="7" xfId="1" applyFont="1" applyFill="1" applyBorder="1" applyAlignment="1" applyProtection="1">
      <alignment horizontal="left" vertical="top" wrapText="1"/>
    </xf>
    <xf numFmtId="0" fontId="9" fillId="5" borderId="1" xfId="0" applyFont="1" applyFill="1" applyBorder="1" applyAlignment="1" applyProtection="1">
      <alignment horizontal="left" vertical="center" wrapText="1"/>
      <protection hidden="1"/>
    </xf>
    <xf numFmtId="0" fontId="24" fillId="5" borderId="1" xfId="0" applyFont="1" applyFill="1" applyBorder="1" applyAlignment="1" applyProtection="1">
      <alignment horizontal="left" vertical="center" wrapText="1"/>
      <protection hidden="1"/>
    </xf>
    <xf numFmtId="0" fontId="29" fillId="5" borderId="2" xfId="0" applyFont="1" applyFill="1" applyBorder="1" applyAlignment="1" applyProtection="1">
      <alignment horizontal="left" vertical="center" wrapText="1"/>
      <protection hidden="1"/>
    </xf>
    <xf numFmtId="0" fontId="29" fillId="5" borderId="4" xfId="0" applyFont="1" applyFill="1" applyBorder="1" applyAlignment="1" applyProtection="1">
      <alignment horizontal="left" vertical="center" wrapText="1"/>
      <protection hidden="1"/>
    </xf>
    <xf numFmtId="0" fontId="20" fillId="20" borderId="7" xfId="0" applyFont="1" applyFill="1" applyBorder="1" applyAlignment="1">
      <alignment horizontal="left" vertical="top" wrapText="1"/>
    </xf>
    <xf numFmtId="0" fontId="20" fillId="20" borderId="6" xfId="0" applyFont="1" applyFill="1" applyBorder="1" applyAlignment="1">
      <alignment horizontal="left" vertical="top" wrapText="1"/>
    </xf>
    <xf numFmtId="0" fontId="20" fillId="0" borderId="7" xfId="0" applyFont="1" applyBorder="1" applyAlignment="1">
      <alignment vertical="center" wrapText="1"/>
    </xf>
    <xf numFmtId="0" fontId="20" fillId="0" borderId="6" xfId="0" applyFont="1" applyBorder="1" applyAlignment="1">
      <alignment vertical="center" wrapText="1"/>
    </xf>
    <xf numFmtId="0" fontId="20" fillId="9" borderId="7" xfId="0" applyFont="1" applyFill="1" applyBorder="1" applyAlignment="1">
      <alignment horizontal="left" vertical="top" wrapText="1"/>
    </xf>
    <xf numFmtId="0" fontId="20" fillId="9" borderId="7" xfId="0" applyFont="1" applyFill="1" applyBorder="1" applyAlignment="1">
      <alignment horizontal="left" vertical="top"/>
    </xf>
    <xf numFmtId="0" fontId="20" fillId="9" borderId="8" xfId="0" applyFont="1" applyFill="1" applyBorder="1" applyAlignment="1" applyProtection="1">
      <alignment horizontal="left" vertical="top" wrapText="1"/>
      <protection hidden="1"/>
    </xf>
    <xf numFmtId="0" fontId="20" fillId="9" borderId="10" xfId="0" applyFont="1" applyFill="1" applyBorder="1" applyAlignment="1" applyProtection="1">
      <alignment horizontal="left" vertical="top" wrapText="1"/>
      <protection hidden="1"/>
    </xf>
    <xf numFmtId="0" fontId="17" fillId="0" borderId="0" xfId="0" applyFont="1" applyAlignment="1">
      <alignment horizontal="left" wrapText="1"/>
    </xf>
    <xf numFmtId="0" fontId="63" fillId="5" borderId="1" xfId="0" applyFont="1" applyFill="1" applyBorder="1" applyAlignment="1">
      <alignment horizontal="left" vertical="center" wrapText="1"/>
    </xf>
    <xf numFmtId="0" fontId="9" fillId="9" borderId="8" xfId="1" applyFont="1" applyFill="1" applyBorder="1" applyAlignment="1" applyProtection="1">
      <alignment horizontal="left" vertical="top" wrapText="1"/>
      <protection hidden="1"/>
    </xf>
    <xf numFmtId="0" fontId="47" fillId="9" borderId="10" xfId="1" applyFont="1" applyFill="1" applyBorder="1" applyAlignment="1" applyProtection="1">
      <alignment horizontal="left" vertical="top" wrapText="1"/>
      <protection hidden="1"/>
    </xf>
    <xf numFmtId="0" fontId="36" fillId="9" borderId="13" xfId="1" applyFont="1" applyFill="1" applyBorder="1" applyAlignment="1" applyProtection="1">
      <alignment horizontal="left" vertical="top"/>
    </xf>
    <xf numFmtId="0" fontId="36" fillId="9" borderId="14" xfId="1" applyFont="1" applyFill="1" applyBorder="1" applyAlignment="1" applyProtection="1">
      <alignment horizontal="left" vertical="top"/>
    </xf>
    <xf numFmtId="0" fontId="18" fillId="6" borderId="1" xfId="0" applyFont="1" applyFill="1" applyBorder="1" applyAlignment="1" applyProtection="1">
      <alignment horizontal="left" vertical="center"/>
      <protection hidden="1"/>
    </xf>
    <xf numFmtId="0" fontId="20" fillId="5" borderId="13" xfId="0" applyFont="1" applyFill="1" applyBorder="1" applyAlignment="1">
      <alignment horizontal="left" vertical="top" wrapText="1"/>
    </xf>
    <xf numFmtId="0" fontId="20" fillId="5" borderId="5" xfId="0" applyFont="1" applyFill="1" applyBorder="1" applyAlignment="1">
      <alignment horizontal="left" vertical="top" wrapText="1"/>
    </xf>
    <xf numFmtId="0" fontId="20" fillId="5" borderId="14" xfId="0" applyFont="1" applyFill="1" applyBorder="1" applyAlignment="1">
      <alignment horizontal="left" vertical="top" wrapText="1"/>
    </xf>
    <xf numFmtId="0" fontId="23" fillId="0" borderId="7"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left" vertical="top" wrapText="1"/>
    </xf>
    <xf numFmtId="0" fontId="23" fillId="0" borderId="6" xfId="0" applyFont="1" applyBorder="1" applyAlignment="1">
      <alignment horizontal="left" vertical="top" wrapText="1"/>
    </xf>
    <xf numFmtId="0" fontId="23" fillId="0" borderId="15" xfId="0" applyFont="1" applyBorder="1" applyAlignment="1">
      <alignment horizontal="center" vertical="center" wrapText="1"/>
    </xf>
    <xf numFmtId="0" fontId="23" fillId="0" borderId="7" xfId="0" applyFont="1" applyBorder="1" applyAlignment="1">
      <alignment vertical="top" wrapText="1"/>
    </xf>
    <xf numFmtId="0" fontId="23" fillId="0" borderId="15" xfId="0" applyFont="1" applyBorder="1" applyAlignment="1">
      <alignment vertical="top" wrapText="1"/>
    </xf>
    <xf numFmtId="0" fontId="23" fillId="0" borderId="6" xfId="0" applyFont="1" applyBorder="1" applyAlignment="1">
      <alignment vertical="top" wrapText="1"/>
    </xf>
    <xf numFmtId="0" fontId="61" fillId="0" borderId="7" xfId="0" applyFont="1" applyBorder="1" applyAlignment="1">
      <alignment horizontal="center" vertical="center" wrapText="1"/>
    </xf>
    <xf numFmtId="0" fontId="61" fillId="0" borderId="15" xfId="0" applyFont="1" applyBorder="1" applyAlignment="1">
      <alignment horizontal="center" vertical="center" wrapText="1"/>
    </xf>
    <xf numFmtId="0" fontId="61" fillId="0" borderId="6" xfId="0" applyFont="1" applyBorder="1" applyAlignment="1">
      <alignment horizontal="center" vertical="center" wrapText="1"/>
    </xf>
    <xf numFmtId="0" fontId="61" fillId="0" borderId="8" xfId="0" applyFont="1" applyBorder="1" applyAlignment="1">
      <alignment horizontal="left" vertical="top" wrapText="1"/>
    </xf>
    <xf numFmtId="0" fontId="61" fillId="0" borderId="11" xfId="0" applyFont="1" applyBorder="1" applyAlignment="1">
      <alignment horizontal="left" vertical="top" wrapText="1"/>
    </xf>
    <xf numFmtId="0" fontId="61" fillId="0" borderId="13" xfId="0" applyFont="1" applyBorder="1" applyAlignment="1">
      <alignment horizontal="left" vertical="top" wrapText="1"/>
    </xf>
    <xf numFmtId="0" fontId="33" fillId="4" borderId="7" xfId="0" applyFont="1" applyFill="1" applyBorder="1" applyAlignment="1">
      <alignment horizontal="left" vertical="top" wrapText="1"/>
    </xf>
    <xf numFmtId="0" fontId="33" fillId="4" borderId="15" xfId="0" applyFont="1" applyFill="1" applyBorder="1" applyAlignment="1">
      <alignment horizontal="left" vertical="top" wrapText="1"/>
    </xf>
    <xf numFmtId="0" fontId="23" fillId="0" borderId="7" xfId="0" applyFont="1" applyBorder="1" applyAlignment="1">
      <alignment horizontal="center" vertical="top" wrapText="1"/>
    </xf>
    <xf numFmtId="0" fontId="23" fillId="0" borderId="6" xfId="0" applyFont="1" applyBorder="1" applyAlignment="1">
      <alignment horizontal="center" vertical="top" wrapText="1"/>
    </xf>
    <xf numFmtId="0" fontId="23" fillId="4" borderId="7" xfId="0" applyFont="1" applyFill="1" applyBorder="1" applyAlignment="1">
      <alignment horizontal="center" vertical="center" wrapText="1"/>
    </xf>
    <xf numFmtId="0" fontId="23" fillId="4" borderId="6" xfId="0" applyFont="1" applyFill="1" applyBorder="1" applyAlignment="1">
      <alignment horizontal="center" vertical="center" wrapText="1"/>
    </xf>
    <xf numFmtId="0" fontId="31" fillId="5" borderId="11" xfId="1" applyFont="1" applyFill="1" applyBorder="1" applyAlignment="1" applyProtection="1">
      <alignment horizontal="left" vertical="top"/>
    </xf>
    <xf numFmtId="0" fontId="31" fillId="5" borderId="0" xfId="1" applyFont="1" applyFill="1" applyAlignment="1" applyProtection="1">
      <alignment horizontal="left" vertical="top"/>
    </xf>
    <xf numFmtId="0" fontId="33" fillId="5" borderId="7" xfId="1" applyFont="1" applyFill="1" applyBorder="1" applyAlignment="1" applyProtection="1">
      <alignment horizontal="left" vertical="top" wrapText="1"/>
      <protection hidden="1"/>
    </xf>
    <xf numFmtId="0" fontId="31" fillId="5" borderId="7" xfId="1" applyFont="1" applyFill="1" applyBorder="1" applyAlignment="1" applyProtection="1">
      <alignment horizontal="left" vertical="top" wrapText="1"/>
      <protection hidden="1"/>
    </xf>
    <xf numFmtId="0" fontId="17" fillId="0" borderId="0" xfId="0" applyFont="1" applyAlignment="1">
      <alignment horizontal="left"/>
    </xf>
    <xf numFmtId="0" fontId="18" fillId="6" borderId="2" xfId="0" applyFont="1" applyFill="1" applyBorder="1" applyAlignment="1" applyProtection="1">
      <alignment horizontal="left" vertical="center"/>
      <protection hidden="1"/>
    </xf>
    <xf numFmtId="0" fontId="18" fillId="6" borderId="3" xfId="0" applyFont="1" applyFill="1" applyBorder="1" applyAlignment="1" applyProtection="1">
      <alignment horizontal="left" vertical="center"/>
      <protection hidden="1"/>
    </xf>
    <xf numFmtId="0" fontId="18" fillId="6" borderId="4" xfId="0" applyFont="1" applyFill="1" applyBorder="1" applyAlignment="1" applyProtection="1">
      <alignment horizontal="left" vertical="center"/>
      <protection hidden="1"/>
    </xf>
    <xf numFmtId="0" fontId="9" fillId="5" borderId="8" xfId="0" applyFont="1" applyFill="1" applyBorder="1" applyAlignment="1">
      <alignment horizontal="left" vertical="top" wrapText="1"/>
    </xf>
    <xf numFmtId="0" fontId="24" fillId="5" borderId="9" xfId="0" applyFont="1" applyFill="1" applyBorder="1" applyAlignment="1">
      <alignment horizontal="left" vertical="top" wrapText="1"/>
    </xf>
    <xf numFmtId="0" fontId="24" fillId="5" borderId="10" xfId="0" applyFont="1" applyFill="1" applyBorder="1" applyAlignment="1">
      <alignment horizontal="left" vertical="top" wrapText="1"/>
    </xf>
    <xf numFmtId="0" fontId="24" fillId="5" borderId="2" xfId="0" applyFont="1" applyFill="1" applyBorder="1" applyAlignment="1">
      <alignment horizontal="center" vertical="center" wrapText="1"/>
    </xf>
    <xf numFmtId="0" fontId="24" fillId="5" borderId="3" xfId="0" applyFont="1" applyFill="1" applyBorder="1" applyAlignment="1">
      <alignment horizontal="center" vertical="center" wrapText="1"/>
    </xf>
    <xf numFmtId="0" fontId="24" fillId="5" borderId="4" xfId="0" applyFont="1" applyFill="1" applyBorder="1" applyAlignment="1">
      <alignment horizontal="center" vertical="center" wrapText="1"/>
    </xf>
    <xf numFmtId="0" fontId="20" fillId="5" borderId="10" xfId="0" applyFont="1" applyFill="1" applyBorder="1" applyAlignment="1">
      <alignment horizontal="left" vertical="top" wrapText="1"/>
    </xf>
    <xf numFmtId="0" fontId="61" fillId="0" borderId="7" xfId="0" applyFont="1" applyBorder="1" applyAlignment="1">
      <alignment horizontal="center" vertical="top" wrapText="1"/>
    </xf>
    <xf numFmtId="0" fontId="61" fillId="0" borderId="15" xfId="0" applyFont="1" applyBorder="1" applyAlignment="1">
      <alignment horizontal="center" vertical="top" wrapText="1"/>
    </xf>
    <xf numFmtId="0" fontId="61" fillId="0" borderId="6" xfId="0" applyFont="1" applyBorder="1" applyAlignment="1">
      <alignment horizontal="center" vertical="top" wrapText="1"/>
    </xf>
    <xf numFmtId="0" fontId="61" fillId="0" borderId="7" xfId="0" applyFont="1" applyBorder="1" applyAlignment="1">
      <alignment horizontal="left" vertical="top" wrapText="1"/>
    </xf>
    <xf numFmtId="0" fontId="61" fillId="0" borderId="15" xfId="0" applyFont="1" applyBorder="1" applyAlignment="1">
      <alignment horizontal="left" vertical="top" wrapText="1"/>
    </xf>
    <xf numFmtId="0" fontId="61" fillId="0" borderId="6" xfId="0" applyFont="1" applyBorder="1" applyAlignment="1">
      <alignment horizontal="left" vertical="top" wrapText="1"/>
    </xf>
    <xf numFmtId="0" fontId="0" fillId="0" borderId="0" xfId="0" applyAlignment="1">
      <alignment horizontal="left" wrapText="1"/>
    </xf>
    <xf numFmtId="0" fontId="0" fillId="0" borderId="0" xfId="0" applyAlignment="1">
      <alignment horizontal="left"/>
    </xf>
    <xf numFmtId="0" fontId="7" fillId="0" borderId="0" xfId="0" applyFont="1" applyAlignment="1">
      <alignment horizontal="left"/>
    </xf>
    <xf numFmtId="0" fontId="0" fillId="0" borderId="0" xfId="0" applyAlignment="1">
      <alignment horizontal="left" vertical="top" wrapText="1"/>
    </xf>
    <xf numFmtId="0" fontId="12" fillId="0" borderId="0" xfId="0" applyFont="1" applyAlignment="1">
      <alignment horizontal="left" vertical="top" wrapText="1"/>
    </xf>
    <xf numFmtId="0" fontId="0" fillId="0" borderId="0" xfId="0" applyAlignment="1">
      <alignment horizontal="center" wrapText="1"/>
    </xf>
    <xf numFmtId="0" fontId="51" fillId="5" borderId="11" xfId="0" applyFont="1" applyFill="1" applyBorder="1" applyAlignment="1">
      <alignment horizontal="left" vertical="top" wrapText="1"/>
    </xf>
    <xf numFmtId="0" fontId="9" fillId="5" borderId="0" xfId="0" applyFont="1" applyFill="1" applyAlignment="1">
      <alignment horizontal="left" vertical="top" wrapText="1"/>
    </xf>
    <xf numFmtId="0" fontId="9" fillId="5" borderId="12" xfId="0" applyFont="1" applyFill="1" applyBorder="1" applyAlignment="1">
      <alignment horizontal="left" vertical="top" wrapText="1"/>
    </xf>
    <xf numFmtId="0" fontId="51" fillId="5" borderId="8" xfId="0" applyFont="1" applyFill="1" applyBorder="1" applyAlignment="1">
      <alignment horizontal="left" vertical="top" wrapText="1"/>
    </xf>
    <xf numFmtId="0" fontId="9" fillId="5" borderId="9" xfId="0" applyFont="1" applyFill="1" applyBorder="1" applyAlignment="1">
      <alignment horizontal="left" vertical="top" wrapText="1"/>
    </xf>
    <xf numFmtId="0" fontId="9" fillId="5" borderId="10" xfId="0" applyFont="1" applyFill="1" applyBorder="1" applyAlignment="1">
      <alignment horizontal="left" vertical="top" wrapText="1"/>
    </xf>
    <xf numFmtId="0" fontId="36" fillId="5" borderId="13" xfId="1" applyFont="1" applyFill="1" applyBorder="1" applyAlignment="1" applyProtection="1">
      <alignment horizontal="left"/>
    </xf>
    <xf numFmtId="0" fontId="36" fillId="5" borderId="5" xfId="1" applyFont="1" applyFill="1" applyBorder="1" applyAlignment="1" applyProtection="1">
      <alignment horizontal="left"/>
    </xf>
    <xf numFmtId="0" fontId="2" fillId="0" borderId="8" xfId="0" applyFont="1" applyBorder="1" applyAlignment="1">
      <alignment horizontal="left" vertical="top" wrapText="1"/>
    </xf>
    <xf numFmtId="0" fontId="2" fillId="0" borderId="15" xfId="0" applyFont="1" applyBorder="1" applyAlignment="1">
      <alignment horizontal="left" vertical="top" wrapText="1"/>
    </xf>
    <xf numFmtId="0" fontId="2" fillId="0" borderId="13" xfId="0" applyFont="1" applyBorder="1" applyAlignment="1">
      <alignment horizontal="left" vertical="top" wrapText="1"/>
    </xf>
    <xf numFmtId="0" fontId="23" fillId="0" borderId="10"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15" xfId="0" applyFont="1" applyBorder="1" applyAlignment="1">
      <alignment horizontal="left" vertical="top" wrapText="1"/>
    </xf>
    <xf numFmtId="0" fontId="2" fillId="0" borderId="6" xfId="0" applyFont="1" applyBorder="1" applyAlignment="1">
      <alignment horizontal="left" vertical="top" wrapText="1"/>
    </xf>
    <xf numFmtId="0" fontId="24" fillId="5" borderId="2" xfId="0" applyFont="1" applyFill="1" applyBorder="1" applyAlignment="1">
      <alignment horizontal="left" vertical="center" wrapText="1"/>
    </xf>
    <xf numFmtId="0" fontId="24" fillId="5" borderId="4" xfId="0" applyFont="1" applyFill="1" applyBorder="1" applyAlignment="1">
      <alignment horizontal="left" vertical="center" wrapText="1"/>
    </xf>
    <xf numFmtId="0" fontId="23" fillId="0" borderId="2" xfId="0" applyFont="1" applyBorder="1" applyAlignment="1">
      <alignment horizontal="left" vertical="top" wrapText="1"/>
    </xf>
    <xf numFmtId="0" fontId="23" fillId="0" borderId="4" xfId="0" applyFont="1" applyBorder="1" applyAlignment="1">
      <alignment horizontal="left" vertical="top" wrapText="1"/>
    </xf>
    <xf numFmtId="0" fontId="2" fillId="0" borderId="1" xfId="0" applyFont="1" applyBorder="1" applyAlignment="1">
      <alignment horizontal="left" vertical="top" wrapText="1"/>
    </xf>
    <xf numFmtId="0" fontId="2" fillId="0" borderId="7" xfId="0" applyFont="1" applyBorder="1" applyAlignment="1">
      <alignment horizontal="left" vertical="top" wrapText="1"/>
    </xf>
    <xf numFmtId="0" fontId="2" fillId="4" borderId="1" xfId="0" applyFont="1" applyFill="1" applyBorder="1" applyAlignment="1">
      <alignment horizontal="left" vertical="top" wrapText="1"/>
    </xf>
    <xf numFmtId="0" fontId="2" fillId="4" borderId="7" xfId="0" applyFont="1" applyFill="1" applyBorder="1" applyAlignment="1">
      <alignment horizontal="left" vertical="top" wrapText="1"/>
    </xf>
    <xf numFmtId="0" fontId="19" fillId="5" borderId="5" xfId="0" applyFont="1" applyFill="1" applyBorder="1" applyAlignment="1">
      <alignment horizontal="left" vertical="top" wrapText="1"/>
    </xf>
    <xf numFmtId="0" fontId="19" fillId="5" borderId="14" xfId="0" applyFont="1" applyFill="1" applyBorder="1" applyAlignment="1">
      <alignment horizontal="left" vertical="top" wrapText="1"/>
    </xf>
    <xf numFmtId="0" fontId="18" fillId="6" borderId="7" xfId="0" applyFont="1" applyFill="1" applyBorder="1" applyAlignment="1" applyProtection="1">
      <alignment horizontal="left" vertical="center"/>
      <protection hidden="1"/>
    </xf>
    <xf numFmtId="0" fontId="18" fillId="6" borderId="15" xfId="0" applyFont="1" applyFill="1" applyBorder="1" applyAlignment="1" applyProtection="1">
      <alignment horizontal="left" vertical="center"/>
      <protection hidden="1"/>
    </xf>
    <xf numFmtId="0" fontId="2" fillId="0" borderId="11" xfId="0" applyFont="1" applyBorder="1" applyAlignment="1">
      <alignment horizontal="left" vertical="top" wrapText="1"/>
    </xf>
    <xf numFmtId="0" fontId="19" fillId="5" borderId="8" xfId="0" applyFont="1" applyFill="1" applyBorder="1" applyAlignment="1">
      <alignment horizontal="left" vertical="top" wrapText="1"/>
    </xf>
    <xf numFmtId="0" fontId="19" fillId="5" borderId="9" xfId="0" applyFont="1" applyFill="1" applyBorder="1" applyAlignment="1">
      <alignment horizontal="left" vertical="top" wrapText="1"/>
    </xf>
    <xf numFmtId="0" fontId="19" fillId="5" borderId="10" xfId="0" applyFont="1" applyFill="1" applyBorder="1" applyAlignment="1">
      <alignment horizontal="left" vertical="top" wrapText="1"/>
    </xf>
    <xf numFmtId="0" fontId="36" fillId="5" borderId="11" xfId="1" applyFont="1" applyFill="1" applyBorder="1" applyAlignment="1" applyProtection="1">
      <alignment horizontal="left" vertical="top" wrapText="1"/>
    </xf>
    <xf numFmtId="0" fontId="19" fillId="5" borderId="0" xfId="0" applyFont="1" applyFill="1" applyAlignment="1">
      <alignment horizontal="left" vertical="top" wrapText="1"/>
    </xf>
    <xf numFmtId="0" fontId="19" fillId="5" borderId="12" xfId="0" applyFont="1" applyFill="1" applyBorder="1" applyAlignment="1">
      <alignment horizontal="left" vertical="top" wrapText="1"/>
    </xf>
    <xf numFmtId="0" fontId="23" fillId="0" borderId="7" xfId="0" applyFont="1" applyBorder="1" applyAlignment="1">
      <alignment horizontal="left" vertical="center" wrapText="1"/>
    </xf>
    <xf numFmtId="0" fontId="23" fillId="0" borderId="15" xfId="0" applyFont="1" applyBorder="1" applyAlignment="1">
      <alignment horizontal="left" vertical="center" wrapText="1"/>
    </xf>
    <xf numFmtId="0" fontId="23" fillId="0" borderId="6" xfId="0" applyFont="1" applyBorder="1" applyAlignment="1">
      <alignment horizontal="left" vertical="center" wrapText="1"/>
    </xf>
    <xf numFmtId="0" fontId="22" fillId="6" borderId="2" xfId="0" applyFont="1" applyFill="1" applyBorder="1" applyAlignment="1" applyProtection="1">
      <alignment horizontal="left" vertical="center" wrapText="1"/>
      <protection hidden="1"/>
    </xf>
    <xf numFmtId="0" fontId="22" fillId="6" borderId="3" xfId="0" applyFont="1" applyFill="1" applyBorder="1" applyAlignment="1" applyProtection="1">
      <alignment horizontal="left" vertical="center" wrapText="1"/>
      <protection hidden="1"/>
    </xf>
    <xf numFmtId="0" fontId="22" fillId="6" borderId="4" xfId="0" applyFont="1" applyFill="1" applyBorder="1" applyAlignment="1" applyProtection="1">
      <alignment horizontal="left" vertical="center" wrapText="1"/>
      <protection hidden="1"/>
    </xf>
    <xf numFmtId="0" fontId="20" fillId="5" borderId="5" xfId="0" applyFont="1" applyFill="1" applyBorder="1" applyAlignment="1">
      <alignment horizontal="left" vertical="top"/>
    </xf>
    <xf numFmtId="0" fontId="20" fillId="5" borderId="14" xfId="0" applyFont="1" applyFill="1" applyBorder="1" applyAlignment="1">
      <alignment horizontal="left" vertical="top"/>
    </xf>
    <xf numFmtId="0" fontId="23" fillId="0" borderId="15" xfId="0" applyFont="1" applyBorder="1" applyAlignment="1">
      <alignment horizontal="center" vertical="top" wrapText="1"/>
    </xf>
    <xf numFmtId="0" fontId="20" fillId="5" borderId="9" xfId="0" applyFont="1" applyFill="1" applyBorder="1" applyAlignment="1">
      <alignment horizontal="left" vertical="top"/>
    </xf>
    <xf numFmtId="0" fontId="20" fillId="5" borderId="10" xfId="0" applyFont="1" applyFill="1" applyBorder="1" applyAlignment="1">
      <alignment horizontal="left" vertical="top"/>
    </xf>
    <xf numFmtId="0" fontId="20" fillId="5" borderId="0" xfId="0" applyFont="1" applyFill="1" applyAlignment="1">
      <alignment horizontal="left" vertical="top"/>
    </xf>
    <xf numFmtId="0" fontId="20" fillId="5" borderId="12" xfId="0" applyFont="1" applyFill="1" applyBorder="1" applyAlignment="1">
      <alignment horizontal="left" vertical="top"/>
    </xf>
    <xf numFmtId="0" fontId="33" fillId="5" borderId="8" xfId="0" applyFont="1" applyFill="1" applyBorder="1" applyAlignment="1">
      <alignment vertical="top" wrapText="1"/>
    </xf>
    <xf numFmtId="0" fontId="33" fillId="5" borderId="9" xfId="0" applyFont="1" applyFill="1" applyBorder="1" applyAlignment="1">
      <alignment vertical="top" wrapText="1"/>
    </xf>
    <xf numFmtId="0" fontId="33" fillId="5" borderId="10" xfId="0" applyFont="1" applyFill="1" applyBorder="1" applyAlignment="1">
      <alignment vertical="top" wrapText="1"/>
    </xf>
    <xf numFmtId="0" fontId="23" fillId="5" borderId="11" xfId="1" applyFont="1" applyFill="1" applyBorder="1" applyAlignment="1" applyProtection="1">
      <alignment vertical="top" wrapText="1"/>
    </xf>
    <xf numFmtId="0" fontId="23" fillId="5" borderId="0" xfId="1" applyFont="1" applyFill="1" applyBorder="1" applyAlignment="1" applyProtection="1">
      <alignment vertical="top" wrapText="1"/>
    </xf>
    <xf numFmtId="0" fontId="23" fillId="5" borderId="12" xfId="1" applyFont="1" applyFill="1" applyBorder="1" applyAlignment="1" applyProtection="1">
      <alignment vertical="top" wrapText="1"/>
    </xf>
    <xf numFmtId="0" fontId="33" fillId="5" borderId="13" xfId="0" applyFont="1" applyFill="1" applyBorder="1" applyAlignment="1">
      <alignment horizontal="left" vertical="top" wrapText="1"/>
    </xf>
    <xf numFmtId="0" fontId="9" fillId="5" borderId="5" xfId="0" applyFont="1" applyFill="1" applyBorder="1" applyAlignment="1">
      <alignment horizontal="left" vertical="top" wrapText="1"/>
    </xf>
    <xf numFmtId="0" fontId="9" fillId="5" borderId="14" xfId="0" applyFont="1" applyFill="1" applyBorder="1" applyAlignment="1">
      <alignment horizontal="left" vertical="top" wrapText="1"/>
    </xf>
    <xf numFmtId="0" fontId="19" fillId="0" borderId="2" xfId="0" applyFont="1" applyBorder="1" applyAlignment="1" applyProtection="1">
      <alignment horizontal="left" vertical="center" wrapText="1"/>
      <protection hidden="1"/>
    </xf>
    <xf numFmtId="0" fontId="19" fillId="0" borderId="4" xfId="0" applyFont="1" applyBorder="1" applyAlignment="1" applyProtection="1">
      <alignment horizontal="left" vertical="center" wrapText="1"/>
      <protection hidden="1"/>
    </xf>
    <xf numFmtId="0" fontId="18" fillId="6" borderId="2" xfId="0" applyFont="1" applyFill="1" applyBorder="1" applyAlignment="1" applyProtection="1">
      <alignment horizontal="left" vertical="center" wrapText="1"/>
      <protection hidden="1"/>
    </xf>
    <xf numFmtId="0" fontId="20" fillId="0" borderId="1" xfId="0" applyFont="1" applyBorder="1" applyAlignment="1">
      <alignment horizontal="left" vertical="top"/>
    </xf>
    <xf numFmtId="0" fontId="24" fillId="5" borderId="1" xfId="0" applyFont="1" applyFill="1" applyBorder="1" applyAlignment="1">
      <alignment horizontal="left" vertical="center" wrapText="1"/>
    </xf>
    <xf numFmtId="0" fontId="19" fillId="5" borderId="1" xfId="0" applyFont="1" applyFill="1" applyBorder="1" applyAlignment="1" applyProtection="1">
      <alignment horizontal="left" vertical="center" wrapText="1"/>
      <protection hidden="1"/>
    </xf>
    <xf numFmtId="0" fontId="23" fillId="0" borderId="2" xfId="0" applyFont="1" applyBorder="1" applyAlignment="1">
      <alignment horizontal="center" vertical="center" wrapText="1"/>
    </xf>
    <xf numFmtId="0" fontId="23" fillId="0" borderId="4" xfId="0" applyFont="1" applyBorder="1" applyAlignment="1">
      <alignment horizontal="center" vertical="center" wrapText="1"/>
    </xf>
    <xf numFmtId="0" fontId="17" fillId="5" borderId="8" xfId="0" applyFont="1" applyFill="1" applyBorder="1" applyAlignment="1">
      <alignment vertical="top" wrapText="1"/>
    </xf>
    <xf numFmtId="0" fontId="17" fillId="5" borderId="9" xfId="0" applyFont="1" applyFill="1" applyBorder="1" applyAlignment="1">
      <alignment vertical="top" wrapText="1"/>
    </xf>
    <xf numFmtId="0" fontId="17" fillId="5" borderId="10" xfId="0" applyFont="1" applyFill="1" applyBorder="1" applyAlignment="1">
      <alignment vertical="top" wrapText="1"/>
    </xf>
    <xf numFmtId="0" fontId="2" fillId="5" borderId="8" xfId="0" applyFont="1" applyFill="1" applyBorder="1" applyAlignment="1" applyProtection="1">
      <alignment horizontal="left" vertical="top" wrapText="1"/>
      <protection hidden="1"/>
    </xf>
    <xf numFmtId="0" fontId="2" fillId="5" borderId="9" xfId="0" applyFont="1" applyFill="1" applyBorder="1" applyAlignment="1" applyProtection="1">
      <alignment horizontal="left" vertical="top" wrapText="1"/>
      <protection hidden="1"/>
    </xf>
    <xf numFmtId="0" fontId="2" fillId="5" borderId="10" xfId="0" applyFont="1" applyFill="1" applyBorder="1" applyAlignment="1" applyProtection="1">
      <alignment horizontal="left" vertical="top" wrapText="1"/>
      <protection hidden="1"/>
    </xf>
    <xf numFmtId="0" fontId="18" fillId="7" borderId="6" xfId="0" applyFont="1" applyFill="1" applyBorder="1" applyAlignment="1" applyProtection="1">
      <alignment horizontal="left" vertical="center"/>
      <protection hidden="1"/>
    </xf>
    <xf numFmtId="0" fontId="23" fillId="0" borderId="1" xfId="0" applyFont="1" applyBorder="1" applyAlignment="1">
      <alignment horizontal="left" vertical="top" wrapText="1"/>
    </xf>
    <xf numFmtId="0" fontId="23" fillId="5" borderId="1" xfId="0" applyFont="1" applyFill="1" applyBorder="1" applyAlignment="1">
      <alignment horizontal="left" vertical="top" wrapText="1"/>
    </xf>
    <xf numFmtId="0" fontId="2" fillId="0" borderId="0" xfId="0" applyFont="1" applyAlignment="1">
      <alignment horizontal="left" vertical="top" wrapText="1"/>
    </xf>
    <xf numFmtId="0" fontId="18" fillId="7" borderId="7" xfId="0" applyFont="1" applyFill="1" applyBorder="1" applyAlignment="1" applyProtection="1">
      <alignment horizontal="left" vertical="center"/>
      <protection hidden="1"/>
    </xf>
    <xf numFmtId="0" fontId="23" fillId="5" borderId="8" xfId="0" applyFont="1" applyFill="1" applyBorder="1" applyAlignment="1" applyProtection="1">
      <alignment horizontal="left" vertical="center" wrapText="1"/>
      <protection hidden="1"/>
    </xf>
    <xf numFmtId="0" fontId="23" fillId="5" borderId="9" xfId="0" applyFont="1" applyFill="1" applyBorder="1" applyAlignment="1" applyProtection="1">
      <alignment horizontal="left" vertical="center" wrapText="1"/>
      <protection hidden="1"/>
    </xf>
    <xf numFmtId="0" fontId="23" fillId="5" borderId="10" xfId="0" applyFont="1" applyFill="1" applyBorder="1" applyAlignment="1" applyProtection="1">
      <alignment horizontal="left" vertical="center" wrapText="1"/>
      <protection hidden="1"/>
    </xf>
    <xf numFmtId="0" fontId="20" fillId="5" borderId="1" xfId="0" applyFont="1" applyFill="1" applyBorder="1" applyAlignment="1">
      <alignment horizontal="left" vertical="center" wrapText="1"/>
    </xf>
    <xf numFmtId="0" fontId="18" fillId="7" borderId="1" xfId="0" applyFont="1" applyFill="1" applyBorder="1" applyAlignment="1" applyProtection="1">
      <alignment horizontal="left" vertical="center"/>
      <protection hidden="1"/>
    </xf>
    <xf numFmtId="0" fontId="23" fillId="5" borderId="1" xfId="0" applyFont="1" applyFill="1" applyBorder="1" applyAlignment="1">
      <alignment vertical="top" wrapText="1"/>
    </xf>
    <xf numFmtId="0" fontId="23" fillId="5" borderId="1" xfId="0" applyFont="1" applyFill="1" applyBorder="1" applyAlignment="1">
      <alignment vertical="top"/>
    </xf>
    <xf numFmtId="0" fontId="23" fillId="5" borderId="1" xfId="0" applyFont="1" applyFill="1" applyBorder="1" applyAlignment="1" applyProtection="1">
      <alignment vertical="top" wrapText="1"/>
      <protection hidden="1"/>
    </xf>
    <xf numFmtId="0" fontId="23" fillId="5" borderId="1" xfId="0" applyFont="1" applyFill="1" applyBorder="1" applyAlignment="1" applyProtection="1">
      <alignment vertical="top"/>
      <protection hidden="1"/>
    </xf>
    <xf numFmtId="0" fontId="23" fillId="0" borderId="2" xfId="0" applyFont="1" applyBorder="1" applyAlignment="1">
      <alignment horizontal="left" vertical="top"/>
    </xf>
    <xf numFmtId="0" fontId="23" fillId="0" borderId="3" xfId="0" applyFont="1" applyBorder="1" applyAlignment="1">
      <alignment horizontal="left" vertical="top"/>
    </xf>
    <xf numFmtId="0" fontId="23" fillId="0" borderId="4" xfId="0" applyFont="1" applyBorder="1" applyAlignment="1">
      <alignment horizontal="left" vertical="top"/>
    </xf>
    <xf numFmtId="0" fontId="33" fillId="5" borderId="2" xfId="0" applyFont="1" applyFill="1" applyBorder="1" applyAlignment="1" applyProtection="1">
      <alignment horizontal="left" vertical="center"/>
      <protection hidden="1"/>
    </xf>
    <xf numFmtId="0" fontId="18" fillId="5" borderId="3" xfId="0" applyFont="1" applyFill="1" applyBorder="1" applyAlignment="1" applyProtection="1">
      <alignment horizontal="left" vertical="center"/>
      <protection hidden="1"/>
    </xf>
    <xf numFmtId="0" fontId="18" fillId="5" borderId="4" xfId="0" applyFont="1" applyFill="1" applyBorder="1" applyAlignment="1" applyProtection="1">
      <alignment horizontal="left" vertical="center"/>
      <protection hidden="1"/>
    </xf>
    <xf numFmtId="0" fontId="18" fillId="7" borderId="2" xfId="0" applyFont="1" applyFill="1" applyBorder="1" applyAlignment="1" applyProtection="1">
      <alignment horizontal="left" vertical="center"/>
      <protection hidden="1"/>
    </xf>
    <xf numFmtId="0" fontId="18" fillId="7" borderId="3" xfId="0" applyFont="1" applyFill="1" applyBorder="1" applyAlignment="1" applyProtection="1">
      <alignment horizontal="left" vertical="center"/>
      <protection hidden="1"/>
    </xf>
    <xf numFmtId="0" fontId="18" fillId="7" borderId="4" xfId="0" applyFont="1" applyFill="1" applyBorder="1" applyAlignment="1" applyProtection="1">
      <alignment horizontal="left" vertical="center"/>
      <protection hidden="1"/>
    </xf>
    <xf numFmtId="0" fontId="23" fillId="0" borderId="13" xfId="0" applyFont="1" applyBorder="1" applyAlignment="1">
      <alignment horizontal="left" vertical="top" wrapText="1"/>
    </xf>
    <xf numFmtId="0" fontId="23" fillId="0" borderId="5" xfId="0" applyFont="1" applyBorder="1" applyAlignment="1">
      <alignment horizontal="left" vertical="top" wrapText="1"/>
    </xf>
    <xf numFmtId="0" fontId="23" fillId="0" borderId="14" xfId="0" applyFont="1" applyBorder="1" applyAlignment="1">
      <alignment horizontal="left" vertical="top" wrapText="1"/>
    </xf>
    <xf numFmtId="0" fontId="35" fillId="5" borderId="2" xfId="0" applyFont="1" applyFill="1" applyBorder="1" applyAlignment="1">
      <alignment horizontal="left" vertical="top" wrapText="1"/>
    </xf>
    <xf numFmtId="0" fontId="35" fillId="5" borderId="4" xfId="0" applyFont="1" applyFill="1" applyBorder="1" applyAlignment="1">
      <alignment horizontal="left" vertical="top" wrapText="1"/>
    </xf>
    <xf numFmtId="0" fontId="0" fillId="0" borderId="11" xfId="0" applyBorder="1" applyAlignment="1">
      <alignment horizontal="center" vertical="top" wrapText="1"/>
    </xf>
    <xf numFmtId="0" fontId="0" fillId="0" borderId="0" xfId="0" applyAlignment="1">
      <alignment horizontal="center" vertical="top" wrapText="1"/>
    </xf>
    <xf numFmtId="0" fontId="0" fillId="0" borderId="13" xfId="0" applyBorder="1" applyAlignment="1">
      <alignment horizontal="center" vertical="top" wrapText="1"/>
    </xf>
    <xf numFmtId="0" fontId="0" fillId="0" borderId="5" xfId="0" applyBorder="1" applyAlignment="1">
      <alignment horizontal="center" vertical="top" wrapText="1"/>
    </xf>
    <xf numFmtId="0" fontId="23" fillId="5" borderId="2" xfId="0" applyFont="1" applyFill="1" applyBorder="1" applyAlignment="1" applyProtection="1">
      <alignment horizontal="left"/>
      <protection hidden="1"/>
    </xf>
    <xf numFmtId="0" fontId="23" fillId="5" borderId="4" xfId="0" applyFont="1" applyFill="1" applyBorder="1" applyAlignment="1" applyProtection="1">
      <alignment horizontal="left"/>
      <protection hidden="1"/>
    </xf>
    <xf numFmtId="0" fontId="0" fillId="0" borderId="1" xfId="0" applyBorder="1" applyAlignment="1">
      <alignment horizontal="left" vertical="top" wrapText="1"/>
    </xf>
    <xf numFmtId="0" fontId="20" fillId="2" borderId="1" xfId="0" applyFont="1" applyFill="1" applyBorder="1" applyAlignment="1">
      <alignment horizontal="left" vertical="top" wrapText="1"/>
    </xf>
    <xf numFmtId="0" fontId="18" fillId="11" borderId="1" xfId="0" applyFont="1" applyFill="1" applyBorder="1" applyAlignment="1">
      <alignment horizontal="left" vertical="top" wrapText="1"/>
    </xf>
    <xf numFmtId="0" fontId="0" fillId="5" borderId="1" xfId="0" applyFill="1" applyBorder="1" applyAlignment="1">
      <alignment horizontal="left" vertical="top" wrapText="1"/>
    </xf>
    <xf numFmtId="0" fontId="0" fillId="4" borderId="2" xfId="0" applyFill="1" applyBorder="1" applyAlignment="1">
      <alignment horizontal="center" vertical="center" wrapText="1"/>
    </xf>
    <xf numFmtId="0" fontId="0" fillId="4" borderId="4" xfId="0" applyFill="1" applyBorder="1" applyAlignment="1">
      <alignment horizontal="center" vertical="center" wrapText="1"/>
    </xf>
    <xf numFmtId="0" fontId="0" fillId="0" borderId="2" xfId="0" applyBorder="1" applyAlignment="1">
      <alignment horizontal="left" vertical="top" wrapText="1"/>
    </xf>
    <xf numFmtId="0" fontId="0" fillId="0" borderId="4" xfId="0" applyBorder="1" applyAlignment="1">
      <alignment horizontal="left" vertical="top" wrapText="1"/>
    </xf>
    <xf numFmtId="0" fontId="18" fillId="11" borderId="2" xfId="0" applyFont="1" applyFill="1" applyBorder="1" applyAlignment="1" applyProtection="1">
      <alignment horizontal="left" vertical="center"/>
      <protection hidden="1"/>
    </xf>
    <xf numFmtId="0" fontId="18" fillId="11" borderId="3" xfId="0" applyFont="1" applyFill="1" applyBorder="1" applyAlignment="1" applyProtection="1">
      <alignment horizontal="left" vertical="center"/>
      <protection hidden="1"/>
    </xf>
    <xf numFmtId="0" fontId="18" fillId="11" borderId="4" xfId="0" applyFont="1" applyFill="1" applyBorder="1" applyAlignment="1" applyProtection="1">
      <alignment horizontal="left" vertical="center"/>
      <protection hidden="1"/>
    </xf>
    <xf numFmtId="0" fontId="23" fillId="5" borderId="5" xfId="0" applyFont="1" applyFill="1" applyBorder="1" applyAlignment="1">
      <alignment horizontal="left" vertical="top" wrapText="1"/>
    </xf>
    <xf numFmtId="0" fontId="23" fillId="5" borderId="14" xfId="0" applyFont="1" applyFill="1" applyBorder="1" applyAlignment="1">
      <alignment horizontal="left" vertical="top" wrapText="1"/>
    </xf>
    <xf numFmtId="0" fontId="0" fillId="0" borderId="2" xfId="0" applyBorder="1" applyAlignment="1">
      <alignment horizontal="center" vertical="top" wrapText="1"/>
    </xf>
    <xf numFmtId="0" fontId="0" fillId="0" borderId="4" xfId="0" applyBorder="1" applyAlignment="1">
      <alignment horizontal="center" vertical="top" wrapText="1"/>
    </xf>
    <xf numFmtId="0" fontId="22" fillId="11" borderId="1" xfId="0" applyFont="1" applyFill="1" applyBorder="1" applyAlignment="1" applyProtection="1">
      <alignment horizontal="left" vertical="center"/>
      <protection hidden="1"/>
    </xf>
    <xf numFmtId="0" fontId="2" fillId="0" borderId="0" xfId="0" applyFont="1" applyAlignment="1" applyProtection="1">
      <alignment horizontal="left" vertical="center"/>
      <protection hidden="1"/>
    </xf>
    <xf numFmtId="0" fontId="22" fillId="11" borderId="2" xfId="0" applyFont="1" applyFill="1" applyBorder="1" applyAlignment="1" applyProtection="1">
      <alignment horizontal="center" vertical="center"/>
      <protection hidden="1"/>
    </xf>
    <xf numFmtId="0" fontId="22" fillId="11" borderId="3" xfId="0" applyFont="1" applyFill="1" applyBorder="1" applyAlignment="1" applyProtection="1">
      <alignment horizontal="center" vertical="center"/>
      <protection hidden="1"/>
    </xf>
    <xf numFmtId="0" fontId="22" fillId="11" borderId="4" xfId="0" applyFont="1" applyFill="1" applyBorder="1" applyAlignment="1" applyProtection="1">
      <alignment horizontal="center" vertical="center"/>
      <protection hidden="1"/>
    </xf>
    <xf numFmtId="0" fontId="19" fillId="0" borderId="1" xfId="0" applyFont="1" applyBorder="1" applyAlignment="1" applyProtection="1">
      <alignment horizontal="left" vertical="center" wrapText="1"/>
      <protection hidden="1"/>
    </xf>
    <xf numFmtId="0" fontId="23" fillId="5" borderId="2" xfId="0" applyFont="1" applyFill="1" applyBorder="1" applyAlignment="1" applyProtection="1">
      <alignment horizontal="center"/>
      <protection hidden="1"/>
    </xf>
    <xf numFmtId="0" fontId="23" fillId="5" borderId="4" xfId="0" applyFont="1" applyFill="1" applyBorder="1" applyAlignment="1" applyProtection="1">
      <alignment horizontal="center"/>
      <protection hidden="1"/>
    </xf>
    <xf numFmtId="0" fontId="49" fillId="11" borderId="32" xfId="0" applyFont="1" applyFill="1" applyBorder="1" applyAlignment="1" applyProtection="1">
      <alignment vertical="center"/>
      <protection hidden="1"/>
    </xf>
    <xf numFmtId="0" fontId="49" fillId="11" borderId="30" xfId="0" applyFont="1" applyFill="1" applyBorder="1" applyAlignment="1" applyProtection="1">
      <alignment vertical="center"/>
      <protection hidden="1"/>
    </xf>
    <xf numFmtId="0" fontId="49" fillId="11" borderId="31" xfId="0" applyFont="1" applyFill="1" applyBorder="1" applyAlignment="1" applyProtection="1">
      <alignment vertical="center"/>
      <protection hidden="1"/>
    </xf>
    <xf numFmtId="0" fontId="22" fillId="11" borderId="2" xfId="0" applyFont="1" applyFill="1" applyBorder="1" applyAlignment="1" applyProtection="1">
      <alignment horizontal="left" vertical="center"/>
      <protection hidden="1"/>
    </xf>
    <xf numFmtId="0" fontId="22" fillId="11" borderId="4" xfId="0" applyFont="1" applyFill="1" applyBorder="1" applyAlignment="1" applyProtection="1">
      <alignment horizontal="left" vertical="center"/>
      <protection hidden="1"/>
    </xf>
    <xf numFmtId="0" fontId="26" fillId="5" borderId="1" xfId="0" applyFont="1" applyFill="1" applyBorder="1" applyAlignment="1" applyProtection="1">
      <alignment horizontal="center" vertical="center"/>
      <protection hidden="1"/>
    </xf>
    <xf numFmtId="0" fontId="18" fillId="6" borderId="2" xfId="0" applyFont="1" applyFill="1" applyBorder="1" applyAlignment="1" applyProtection="1">
      <alignment horizontal="center" vertical="center" wrapText="1"/>
      <protection hidden="1"/>
    </xf>
    <xf numFmtId="0" fontId="18" fillId="6" borderId="3" xfId="0" applyFont="1" applyFill="1" applyBorder="1" applyAlignment="1" applyProtection="1">
      <alignment horizontal="center" vertical="center" wrapText="1"/>
      <protection hidden="1"/>
    </xf>
    <xf numFmtId="0" fontId="18" fillId="6" borderId="4" xfId="0" applyFont="1" applyFill="1" applyBorder="1" applyAlignment="1" applyProtection="1">
      <alignment horizontal="center" vertical="center" wrapText="1"/>
      <protection hidden="1"/>
    </xf>
    <xf numFmtId="0" fontId="34" fillId="6" borderId="2" xfId="0" applyFont="1" applyFill="1" applyBorder="1" applyAlignment="1" applyProtection="1">
      <alignment horizontal="left" vertical="center" wrapText="1"/>
      <protection hidden="1"/>
    </xf>
    <xf numFmtId="0" fontId="34" fillId="6" borderId="4" xfId="0" applyFont="1" applyFill="1" applyBorder="1" applyAlignment="1" applyProtection="1">
      <alignment horizontal="left" vertical="center" wrapText="1"/>
      <protection hidden="1"/>
    </xf>
    <xf numFmtId="0" fontId="42" fillId="0" borderId="0" xfId="0" applyFont="1" applyAlignment="1" applyProtection="1">
      <alignment wrapText="1"/>
      <protection hidden="1"/>
    </xf>
    <xf numFmtId="0" fontId="40" fillId="6" borderId="2" xfId="0" applyFont="1" applyFill="1" applyBorder="1" applyAlignment="1" applyProtection="1">
      <alignment horizontal="left" vertical="center" wrapText="1"/>
      <protection hidden="1"/>
    </xf>
    <xf numFmtId="0" fontId="40" fillId="6" borderId="4" xfId="0" applyFont="1" applyFill="1" applyBorder="1" applyAlignment="1" applyProtection="1">
      <alignment horizontal="left" vertical="center" wrapText="1"/>
      <protection hidden="1"/>
    </xf>
    <xf numFmtId="0" fontId="18" fillId="6" borderId="2" xfId="0" applyFont="1" applyFill="1" applyBorder="1" applyAlignment="1" applyProtection="1">
      <alignment horizontal="center" wrapText="1"/>
      <protection hidden="1"/>
    </xf>
    <xf numFmtId="0" fontId="18" fillId="6" borderId="3" xfId="0" applyFont="1" applyFill="1" applyBorder="1" applyAlignment="1" applyProtection="1">
      <alignment horizontal="center" wrapText="1"/>
      <protection hidden="1"/>
    </xf>
    <xf numFmtId="0" fontId="18" fillId="6" borderId="4" xfId="0" applyFont="1" applyFill="1" applyBorder="1" applyAlignment="1" applyProtection="1">
      <alignment horizontal="center" wrapText="1"/>
      <protection hidden="1"/>
    </xf>
    <xf numFmtId="0" fontId="41" fillId="0" borderId="0" xfId="0" applyFont="1" applyAlignment="1" applyProtection="1">
      <alignment horizontal="left" wrapText="1"/>
      <protection hidden="1"/>
    </xf>
    <xf numFmtId="0" fontId="22" fillId="6" borderId="1" xfId="0" applyFont="1" applyFill="1" applyBorder="1" applyAlignment="1" applyProtection="1">
      <alignment horizontal="center" vertical="center" wrapText="1"/>
      <protection hidden="1"/>
    </xf>
    <xf numFmtId="3" fontId="20" fillId="4" borderId="1" xfId="0" applyNumberFormat="1" applyFont="1" applyFill="1" applyBorder="1" applyAlignment="1" applyProtection="1">
      <alignment horizontal="center" vertical="center" wrapText="1"/>
      <protection hidden="1"/>
    </xf>
    <xf numFmtId="0" fontId="20" fillId="5" borderId="8" xfId="0" applyFont="1" applyFill="1" applyBorder="1" applyAlignment="1" applyProtection="1">
      <alignment horizontal="left" vertical="center" wrapText="1"/>
      <protection hidden="1"/>
    </xf>
    <xf numFmtId="0" fontId="29" fillId="13" borderId="0" xfId="0" applyFont="1" applyFill="1" applyAlignment="1" applyProtection="1">
      <alignment horizontal="center" vertical="center" wrapText="1"/>
      <protection hidden="1"/>
    </xf>
    <xf numFmtId="0" fontId="29" fillId="13" borderId="5" xfId="0" applyFont="1" applyFill="1" applyBorder="1" applyAlignment="1" applyProtection="1">
      <alignment horizontal="center" vertical="center" wrapText="1"/>
      <protection hidden="1"/>
    </xf>
    <xf numFmtId="0" fontId="2" fillId="4" borderId="59" xfId="0" applyFont="1" applyFill="1" applyBorder="1" applyAlignment="1" applyProtection="1">
      <alignment horizontal="left" vertical="center" wrapText="1"/>
      <protection hidden="1"/>
    </xf>
    <xf numFmtId="0" fontId="2" fillId="4" borderId="57" xfId="0" applyFont="1" applyFill="1" applyBorder="1" applyAlignment="1" applyProtection="1">
      <alignment horizontal="left" vertical="center" wrapText="1"/>
      <protection hidden="1"/>
    </xf>
    <xf numFmtId="0" fontId="23" fillId="0" borderId="57" xfId="0" applyFont="1" applyBorder="1" applyAlignment="1" applyProtection="1">
      <alignment horizontal="center" vertical="center" wrapText="1"/>
      <protection locked="0"/>
    </xf>
    <xf numFmtId="0" fontId="23" fillId="0" borderId="58" xfId="0" applyFont="1" applyBorder="1" applyAlignment="1" applyProtection="1">
      <alignment horizontal="center" vertical="center" wrapText="1"/>
      <protection locked="0"/>
    </xf>
    <xf numFmtId="0" fontId="23" fillId="0" borderId="26" xfId="0" applyFont="1" applyBorder="1" applyAlignment="1" applyProtection="1">
      <alignment horizontal="center" vertical="center" wrapText="1"/>
      <protection locked="0"/>
    </xf>
    <xf numFmtId="0" fontId="23" fillId="0" borderId="28" xfId="0" applyFont="1" applyBorder="1" applyAlignment="1" applyProtection="1">
      <alignment horizontal="center" vertical="center" wrapText="1"/>
      <protection locked="0"/>
    </xf>
    <xf numFmtId="0" fontId="22" fillId="19" borderId="26" xfId="0" applyFont="1" applyFill="1" applyBorder="1" applyAlignment="1" applyProtection="1">
      <alignment horizontal="left" vertical="center" wrapText="1"/>
      <protection hidden="1"/>
    </xf>
    <xf numFmtId="0" fontId="22" fillId="19" borderId="27" xfId="0" applyFont="1" applyFill="1" applyBorder="1" applyAlignment="1" applyProtection="1">
      <alignment horizontal="left" vertical="center" wrapText="1"/>
      <protection hidden="1"/>
    </xf>
    <xf numFmtId="0" fontId="22" fillId="19" borderId="28" xfId="0" applyFont="1" applyFill="1" applyBorder="1" applyAlignment="1" applyProtection="1">
      <alignment horizontal="left" vertical="center" wrapText="1"/>
      <protection hidden="1"/>
    </xf>
    <xf numFmtId="0" fontId="23" fillId="0" borderId="59" xfId="0" applyFont="1" applyBorder="1" applyAlignment="1" applyProtection="1">
      <alignment horizontal="center" vertical="center" wrapText="1"/>
      <protection locked="0"/>
    </xf>
    <xf numFmtId="0" fontId="23" fillId="0" borderId="60" xfId="0" applyFont="1" applyBorder="1" applyAlignment="1" applyProtection="1">
      <alignment horizontal="center" vertical="center" wrapText="1"/>
      <protection locked="0"/>
    </xf>
    <xf numFmtId="0" fontId="23" fillId="0" borderId="64" xfId="0" applyFont="1" applyBorder="1" applyAlignment="1" applyProtection="1">
      <alignment horizontal="center" vertical="center" wrapText="1"/>
      <protection locked="0"/>
    </xf>
    <xf numFmtId="0" fontId="23" fillId="0" borderId="65" xfId="0" applyFont="1" applyBorder="1" applyAlignment="1" applyProtection="1">
      <alignment horizontal="center" vertical="center" wrapText="1"/>
      <protection locked="0"/>
    </xf>
    <xf numFmtId="0" fontId="23" fillId="0" borderId="66" xfId="0" applyFont="1" applyBorder="1" applyAlignment="1" applyProtection="1">
      <alignment horizontal="center" vertical="center" wrapText="1"/>
      <protection locked="0"/>
    </xf>
    <xf numFmtId="0" fontId="23" fillId="0" borderId="67" xfId="0" applyFont="1" applyBorder="1" applyAlignment="1" applyProtection="1">
      <alignment horizontal="center" vertical="center" wrapText="1"/>
      <protection locked="0"/>
    </xf>
    <xf numFmtId="0" fontId="17" fillId="0" borderId="0" xfId="0" applyFont="1" applyAlignment="1">
      <alignment horizontal="left" vertical="center"/>
    </xf>
    <xf numFmtId="0" fontId="20" fillId="5" borderId="2" xfId="0" applyFont="1" applyFill="1" applyBorder="1" applyAlignment="1" applyProtection="1">
      <alignment horizontal="left" vertical="top" wrapText="1"/>
      <protection hidden="1"/>
    </xf>
    <xf numFmtId="0" fontId="20" fillId="5" borderId="3" xfId="0" applyFont="1" applyFill="1" applyBorder="1" applyAlignment="1" applyProtection="1">
      <alignment horizontal="left" vertical="top" wrapText="1"/>
      <protection hidden="1"/>
    </xf>
    <xf numFmtId="0" fontId="20" fillId="5" borderId="4" xfId="0" applyFont="1" applyFill="1" applyBorder="1" applyAlignment="1" applyProtection="1">
      <alignment horizontal="left" vertical="top" wrapText="1"/>
      <protection hidden="1"/>
    </xf>
    <xf numFmtId="0" fontId="49" fillId="19" borderId="2" xfId="0" applyFont="1" applyFill="1" applyBorder="1" applyAlignment="1" applyProtection="1">
      <alignment horizontal="left" vertical="center" wrapText="1"/>
      <protection hidden="1"/>
    </xf>
    <xf numFmtId="0" fontId="49" fillId="19" borderId="3" xfId="0" applyFont="1" applyFill="1" applyBorder="1" applyAlignment="1" applyProtection="1">
      <alignment horizontal="left" vertical="center" wrapText="1"/>
      <protection hidden="1"/>
    </xf>
    <xf numFmtId="0" fontId="49" fillId="19" borderId="4" xfId="0" applyFont="1" applyFill="1" applyBorder="1" applyAlignment="1" applyProtection="1">
      <alignment horizontal="left" vertical="center" wrapText="1"/>
      <protection hidden="1"/>
    </xf>
    <xf numFmtId="0" fontId="33" fillId="5" borderId="9" xfId="0" applyFont="1" applyFill="1" applyBorder="1" applyAlignment="1" applyProtection="1">
      <alignment horizontal="left" vertical="center" wrapText="1"/>
      <protection hidden="1"/>
    </xf>
    <xf numFmtId="0" fontId="20" fillId="4" borderId="61" xfId="0" applyFont="1" applyFill="1" applyBorder="1" applyAlignment="1" applyProtection="1">
      <alignment horizontal="center" wrapText="1"/>
      <protection hidden="1"/>
    </xf>
    <xf numFmtId="0" fontId="31" fillId="4" borderId="0" xfId="1" applyFont="1" applyFill="1" applyAlignment="1" applyProtection="1">
      <alignment horizontal="left" vertical="center" wrapText="1"/>
      <protection hidden="1"/>
    </xf>
    <xf numFmtId="0" fontId="2" fillId="2" borderId="1" xfId="0" applyFont="1" applyFill="1" applyBorder="1" applyAlignment="1" applyProtection="1">
      <alignment horizontal="left" vertical="center" wrapText="1"/>
      <protection hidden="1"/>
    </xf>
    <xf numFmtId="0" fontId="2" fillId="2" borderId="2" xfId="0" applyFont="1" applyFill="1" applyBorder="1" applyAlignment="1" applyProtection="1">
      <alignment horizontal="left" vertical="center" wrapText="1"/>
      <protection hidden="1"/>
    </xf>
    <xf numFmtId="0" fontId="23" fillId="4" borderId="48" xfId="0" applyFont="1" applyFill="1" applyBorder="1" applyAlignment="1" applyProtection="1">
      <alignment horizontal="left" vertical="center" wrapText="1"/>
      <protection hidden="1"/>
    </xf>
    <xf numFmtId="0" fontId="23" fillId="4" borderId="49" xfId="0" applyFont="1" applyFill="1" applyBorder="1" applyAlignment="1" applyProtection="1">
      <alignment horizontal="left" vertical="center" wrapText="1"/>
      <protection hidden="1"/>
    </xf>
    <xf numFmtId="0" fontId="23" fillId="2" borderId="12" xfId="0" applyFont="1" applyFill="1" applyBorder="1" applyAlignment="1" applyProtection="1">
      <alignment horizontal="left" vertical="center" wrapText="1"/>
      <protection hidden="1"/>
    </xf>
    <xf numFmtId="0" fontId="23" fillId="2" borderId="15" xfId="0" applyFont="1" applyFill="1" applyBorder="1" applyAlignment="1" applyProtection="1">
      <alignment horizontal="left" vertical="center" wrapText="1"/>
      <protection hidden="1"/>
    </xf>
    <xf numFmtId="0" fontId="23" fillId="2" borderId="11" xfId="0" applyFont="1" applyFill="1" applyBorder="1" applyAlignment="1" applyProtection="1">
      <alignment horizontal="left" vertical="center" wrapText="1"/>
      <protection hidden="1"/>
    </xf>
    <xf numFmtId="0" fontId="23" fillId="2" borderId="22" xfId="0" applyFont="1" applyFill="1" applyBorder="1" applyAlignment="1" applyProtection="1">
      <alignment horizontal="left" vertical="center" wrapText="1"/>
      <protection hidden="1"/>
    </xf>
    <xf numFmtId="0" fontId="50" fillId="0" borderId="1" xfId="0" applyFont="1" applyBorder="1" applyAlignment="1" applyProtection="1">
      <alignment horizontal="left" vertical="center" wrapText="1"/>
      <protection hidden="1"/>
    </xf>
    <xf numFmtId="0" fontId="23" fillId="5" borderId="1" xfId="0" applyFont="1" applyFill="1" applyBorder="1" applyAlignment="1" applyProtection="1">
      <alignment horizontal="center"/>
      <protection hidden="1"/>
    </xf>
    <xf numFmtId="0" fontId="1" fillId="17" borderId="0" xfId="0" applyFont="1" applyFill="1" applyAlignment="1">
      <alignment horizontal="center" vertical="center"/>
    </xf>
    <xf numFmtId="0" fontId="1" fillId="17" borderId="40" xfId="0" applyFont="1" applyFill="1" applyBorder="1" applyAlignment="1">
      <alignment horizontal="center" vertical="center"/>
    </xf>
  </cellXfs>
  <cellStyles count="6">
    <cellStyle name="Calculation" xfId="2" builtinId="22"/>
    <cellStyle name="Hyperlink" xfId="1" builtinId="8"/>
    <cellStyle name="Normal" xfId="0" builtinId="0"/>
    <cellStyle name="Normal 2" xfId="5" xr:uid="{3B48985B-4B58-4243-B37E-7146EA4B1E43}"/>
    <cellStyle name="Normal 3" xfId="3" xr:uid="{BA1E1051-5622-4DAA-9FD9-4F36243C6D52}"/>
    <cellStyle name="Percent 2" xfId="4" xr:uid="{DDA20768-B46D-4C71-B4EF-28C72FCD8CD2}"/>
  </cellStyles>
  <dxfs count="86">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5" tint="0.39994506668294322"/>
        </patternFill>
      </fill>
    </dxf>
    <dxf>
      <fill>
        <patternFill>
          <bgColor theme="5" tint="0.39994506668294322"/>
        </patternFill>
      </fill>
    </dxf>
    <dxf>
      <fill>
        <patternFill>
          <bgColor rgb="FFFFCCCC"/>
        </patternFill>
      </fill>
    </dxf>
    <dxf>
      <fill>
        <patternFill>
          <bgColor rgb="FFFFCCCC"/>
        </patternFill>
      </fill>
    </dxf>
    <dxf>
      <font>
        <color rgb="FFFF0000"/>
      </font>
    </dxf>
    <dxf>
      <fill>
        <patternFill>
          <bgColor theme="7" tint="0.79998168889431442"/>
        </patternFill>
      </fill>
    </dxf>
    <dxf>
      <font>
        <color rgb="FFFF0000"/>
      </font>
    </dxf>
    <dxf>
      <font>
        <color rgb="FFFF0000"/>
      </font>
    </dxf>
    <dxf>
      <fill>
        <patternFill>
          <bgColor theme="7" tint="0.79998168889431442"/>
        </patternFill>
      </fill>
    </dxf>
    <dxf>
      <fill>
        <patternFill>
          <bgColor rgb="FFFFFFCC"/>
        </patternFill>
      </fill>
    </dxf>
    <dxf>
      <fill>
        <patternFill>
          <bgColor theme="0"/>
        </patternFill>
      </fill>
    </dxf>
    <dxf>
      <fill>
        <patternFill>
          <bgColor theme="5"/>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color rgb="FF9C0006"/>
      </font>
      <fill>
        <patternFill>
          <bgColor rgb="FFFFC7CE"/>
        </patternFill>
      </fill>
    </dxf>
    <dxf>
      <fill>
        <patternFill>
          <bgColor theme="7" tint="0.79998168889431442"/>
        </patternFill>
      </fill>
    </dxf>
    <dxf>
      <fill>
        <patternFill>
          <bgColor theme="5" tint="0.79998168889431442"/>
        </patternFill>
      </fill>
    </dxf>
    <dxf>
      <fill>
        <patternFill>
          <bgColor theme="2"/>
        </patternFill>
      </fill>
    </dxf>
    <dxf>
      <fill>
        <patternFill>
          <bgColor theme="2" tint="-0.24994659260841701"/>
        </patternFill>
      </fill>
    </dxf>
    <dxf>
      <fill>
        <patternFill>
          <bgColor theme="2"/>
        </patternFill>
      </fill>
    </dxf>
    <dxf>
      <fill>
        <patternFill>
          <bgColor theme="2"/>
        </patternFill>
      </fill>
    </dxf>
    <dxf>
      <fill>
        <patternFill>
          <bgColor theme="7" tint="0.79998168889431442"/>
        </patternFill>
      </fill>
    </dxf>
    <dxf>
      <fill>
        <patternFill>
          <bgColor theme="7" tint="0.7999816888943144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2"/>
        </patternFill>
      </fill>
    </dxf>
    <dxf>
      <fill>
        <patternFill>
          <bgColor theme="2"/>
        </patternFill>
      </fill>
    </dxf>
    <dxf>
      <fill>
        <patternFill>
          <bgColor theme="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2"/>
        </patternFill>
      </fill>
    </dxf>
    <dxf>
      <fill>
        <patternFill>
          <bgColor theme="7" tint="0.79998168889431442"/>
        </patternFill>
      </fill>
    </dxf>
    <dxf>
      <fill>
        <patternFill>
          <bgColor theme="2"/>
        </patternFill>
      </fill>
    </dxf>
    <dxf>
      <fill>
        <patternFill>
          <bgColor theme="7" tint="0.79998168889431442"/>
        </patternFill>
      </fill>
    </dxf>
    <dxf>
      <fill>
        <patternFill>
          <bgColor theme="2"/>
        </patternFill>
      </fill>
    </dxf>
    <dxf>
      <fill>
        <patternFill>
          <bgColor theme="2"/>
        </patternFill>
      </fill>
    </dxf>
    <dxf>
      <fill>
        <patternFill>
          <bgColor theme="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2" tint="-0.24994659260841701"/>
        </patternFill>
      </fill>
    </dxf>
    <dxf>
      <fill>
        <patternFill patternType="none">
          <bgColor auto="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1" tint="0.499984740745262"/>
        </patternFill>
      </fill>
    </dxf>
    <dxf>
      <fill>
        <patternFill>
          <bgColor theme="7" tint="0.79998168889431442"/>
        </patternFill>
      </fill>
    </dxf>
    <dxf>
      <font>
        <color rgb="FF9C0006"/>
      </font>
      <fill>
        <patternFill>
          <bgColor rgb="FFFFC7CE"/>
        </patternFill>
      </fill>
    </dxf>
    <dxf>
      <fill>
        <patternFill>
          <bgColor theme="7" tint="0.79998168889431442"/>
        </patternFill>
      </fill>
    </dxf>
    <dxf>
      <fill>
        <patternFill patternType="none">
          <bgColor auto="1"/>
        </patternFill>
      </fill>
    </dxf>
    <dxf>
      <fill>
        <patternFill>
          <bgColor theme="2" tint="-9.9948118533890809E-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b/>
        <i val="0"/>
        <strike val="0"/>
        <condense val="0"/>
        <extend val="0"/>
        <outline val="0"/>
        <shadow val="0"/>
        <u val="none"/>
        <vertAlign val="baseline"/>
        <sz val="11"/>
        <color theme="1"/>
        <name val="Calibri"/>
        <family val="2"/>
        <scheme val="minor"/>
      </font>
      <fill>
        <patternFill patternType="solid">
          <fgColor indexed="64"/>
          <bgColor rgb="FF9933FF"/>
        </patternFill>
      </fill>
      <alignment horizontal="general" vertical="center" textRotation="0" wrapText="1" indent="0" justifyLastLine="0" shrinkToFit="0" readingOrder="0"/>
    </dxf>
    <dxf>
      <border outline="0">
        <top style="medium">
          <color indexed="64"/>
        </top>
      </border>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border outline="0">
        <top style="medium">
          <color indexed="64"/>
        </top>
      </border>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s>
  <tableStyles count="0" defaultTableStyle="TableStyleMedium2" defaultPivotStyle="PivotStyleLight16"/>
  <colors>
    <mruColors>
      <color rgb="FF9933FF"/>
      <color rgb="FFDE67EB"/>
      <color rgb="FFFF6600"/>
      <color rgb="FF007390"/>
      <color rgb="FFB94700"/>
      <color rgb="FF862041"/>
      <color rgb="FF006939"/>
      <color rgb="FF62A60E"/>
      <color rgb="FF10069F"/>
      <color rgb="FFC1FF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externalLink" Target="externalLinks/externalLink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theme" Target="theme/theme1.xml"/><Relationship Id="rId30" Type="http://schemas.openxmlformats.org/officeDocument/2006/relationships/sheetMetadata" Target="metadata.xml"/><Relationship Id="rId35" Type="http://schemas.openxmlformats.org/officeDocument/2006/relationships/customXml" Target="../customXml/item4.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9.xml.rels><?xml version="1.0" encoding="UTF-8" standalone="yes"?>
<Relationships xmlns="http://schemas.openxmlformats.org/package/2006/relationships"><Relationship Id="rId2" Type="http://schemas.openxmlformats.org/officeDocument/2006/relationships/hyperlink" Target="https://roots.govintra.net/task/gr-code-constraints-consultation/"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1362075</xdr:colOff>
      <xdr:row>1</xdr:row>
      <xdr:rowOff>47625</xdr:rowOff>
    </xdr:to>
    <xdr:sp macro="" textlink="">
      <xdr:nvSpPr>
        <xdr:cNvPr id="48" name="TextBox 1">
          <a:extLst>
            <a:ext uri="{FF2B5EF4-FFF2-40B4-BE49-F238E27FC236}">
              <a16:creationId xmlns:a16="http://schemas.microsoft.com/office/drawing/2014/main" id="{00000000-0008-0000-0000-000030000000}"/>
            </a:ext>
          </a:extLst>
        </xdr:cNvPr>
        <xdr:cNvSpPr txBox="1"/>
      </xdr:nvSpPr>
      <xdr:spPr>
        <a:xfrm>
          <a:off x="0" y="0"/>
          <a:ext cx="5248275" cy="238125"/>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00">
              <a:ln>
                <a:noFill/>
              </a:ln>
              <a:latin typeface="Verdana" panose="020B0604030504040204" pitchFamily="34" charset="0"/>
              <a:ea typeface="Verdana" panose="020B0604030504040204" pitchFamily="34" charset="0"/>
            </a:rPr>
            <a:t>Woodland</a:t>
          </a:r>
          <a:r>
            <a:rPr lang="en-GB" sz="900" baseline="0">
              <a:ln>
                <a:noFill/>
              </a:ln>
              <a:latin typeface="Verdana" panose="020B0604030504040204" pitchFamily="34" charset="0"/>
              <a:ea typeface="Verdana" panose="020B0604030504040204" pitchFamily="34" charset="0"/>
            </a:rPr>
            <a:t> Creation Planning Grant Application and Plan (WCPG AAP) </a:t>
          </a:r>
          <a:r>
            <a:rPr lang="en-GB" sz="900">
              <a:ln>
                <a:noFill/>
              </a:ln>
              <a:latin typeface="Verdana" panose="020B0604030504040204" pitchFamily="34" charset="0"/>
              <a:ea typeface="Verdana" panose="020B0604030504040204" pitchFamily="34" charset="0"/>
            </a:rPr>
            <a:t>| v2.2</a:t>
          </a:r>
          <a:r>
            <a:rPr lang="en-GB" sz="900" baseline="0">
              <a:ln>
                <a:noFill/>
              </a:ln>
              <a:latin typeface="Verdana" panose="020B0604030504040204" pitchFamily="34" charset="0"/>
              <a:ea typeface="Verdana" panose="020B0604030504040204" pitchFamily="34" charset="0"/>
            </a:rPr>
            <a:t> 09/03/2026</a:t>
          </a:r>
        </a:p>
      </xdr:txBody>
    </xdr:sp>
    <xdr:clientData/>
  </xdr:twoCellAnchor>
  <xdr:twoCellAnchor editAs="oneCell">
    <xdr:from>
      <xdr:col>3</xdr:col>
      <xdr:colOff>2482850</xdr:colOff>
      <xdr:row>0</xdr:row>
      <xdr:rowOff>139700</xdr:rowOff>
    </xdr:from>
    <xdr:to>
      <xdr:col>3</xdr:col>
      <xdr:colOff>5284931</xdr:colOff>
      <xdr:row>2</xdr:row>
      <xdr:rowOff>6761</xdr:rowOff>
    </xdr:to>
    <xdr:pic>
      <xdr:nvPicPr>
        <xdr:cNvPr id="4" name="Picture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93450" y="139700"/>
          <a:ext cx="2805256" cy="5465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1644650</xdr:colOff>
      <xdr:row>11</xdr:row>
      <xdr:rowOff>799754</xdr:rowOff>
    </xdr:from>
    <xdr:to>
      <xdr:col>3</xdr:col>
      <xdr:colOff>3273425</xdr:colOff>
      <xdr:row>20</xdr:row>
      <xdr:rowOff>163167</xdr:rowOff>
    </xdr:to>
    <xdr:sp macro="" textlink="">
      <xdr:nvSpPr>
        <xdr:cNvPr id="2" name="TextBox 1">
          <a:extLst>
            <a:ext uri="{FF2B5EF4-FFF2-40B4-BE49-F238E27FC236}">
              <a16:creationId xmlns:a16="http://schemas.microsoft.com/office/drawing/2014/main" id="{03206B36-820E-878C-ED87-3F4B3B849B72}"/>
            </a:ext>
          </a:extLst>
        </xdr:cNvPr>
        <xdr:cNvSpPr txBox="1"/>
      </xdr:nvSpPr>
      <xdr:spPr>
        <a:xfrm rot="18900000">
          <a:off x="1882775" y="3895379"/>
          <a:ext cx="10415588" cy="22209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5000" b="1">
              <a:solidFill>
                <a:schemeClr val="tx1">
                  <a:alpha val="40000"/>
                </a:schemeClr>
              </a:solidFill>
              <a:latin typeface="Arial Black" panose="020B0A04020102020204" pitchFamily="34" charset="0"/>
            </a:rPr>
            <a:t>EXAMPLE</a:t>
          </a:r>
        </a:p>
      </xdr:txBody>
    </xdr:sp>
    <xdr:clientData/>
  </xdr:twoCellAnchor>
  <xdr:twoCellAnchor>
    <xdr:from>
      <xdr:col>1</xdr:col>
      <xdr:colOff>1668463</xdr:colOff>
      <xdr:row>48</xdr:row>
      <xdr:rowOff>731460</xdr:rowOff>
    </xdr:from>
    <xdr:to>
      <xdr:col>3</xdr:col>
      <xdr:colOff>3287713</xdr:colOff>
      <xdr:row>57</xdr:row>
      <xdr:rowOff>74235</xdr:rowOff>
    </xdr:to>
    <xdr:sp macro="" textlink="">
      <xdr:nvSpPr>
        <xdr:cNvPr id="3" name="TextBox 2">
          <a:extLst>
            <a:ext uri="{FF2B5EF4-FFF2-40B4-BE49-F238E27FC236}">
              <a16:creationId xmlns:a16="http://schemas.microsoft.com/office/drawing/2014/main" id="{B92976E9-ACAA-4537-87EA-A18A8C7477C1}"/>
            </a:ext>
          </a:extLst>
        </xdr:cNvPr>
        <xdr:cNvSpPr txBox="1"/>
      </xdr:nvSpPr>
      <xdr:spPr>
        <a:xfrm rot="18900000">
          <a:off x="1906588" y="12875835"/>
          <a:ext cx="10406063" cy="22717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5000" b="1">
              <a:solidFill>
                <a:schemeClr val="tx1">
                  <a:alpha val="40000"/>
                </a:schemeClr>
              </a:solidFill>
              <a:latin typeface="Arial Black" panose="020B0A04020102020204" pitchFamily="34" charset="0"/>
            </a:rPr>
            <a:t>EXAMPLE</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3190875</xdr:colOff>
      <xdr:row>0</xdr:row>
      <xdr:rowOff>85725</xdr:rowOff>
    </xdr:from>
    <xdr:to>
      <xdr:col>5</xdr:col>
      <xdr:colOff>1049481</xdr:colOff>
      <xdr:row>1</xdr:row>
      <xdr:rowOff>438561</xdr:rowOff>
    </xdr:to>
    <xdr:pic>
      <xdr:nvPicPr>
        <xdr:cNvPr id="2" name="Picture 1">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91925" y="85725"/>
          <a:ext cx="2916381" cy="5433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2</xdr:col>
      <xdr:colOff>1571624</xdr:colOff>
      <xdr:row>1</xdr:row>
      <xdr:rowOff>38100</xdr:rowOff>
    </xdr:to>
    <xdr:sp macro="" textlink="">
      <xdr:nvSpPr>
        <xdr:cNvPr id="4" name="TextBox 3">
          <a:extLst>
            <a:ext uri="{FF2B5EF4-FFF2-40B4-BE49-F238E27FC236}">
              <a16:creationId xmlns:a16="http://schemas.microsoft.com/office/drawing/2014/main" id="{00000000-0008-0000-0800-000004000000}"/>
            </a:ext>
          </a:extLst>
        </xdr:cNvPr>
        <xdr:cNvSpPr txBox="1"/>
      </xdr:nvSpPr>
      <xdr:spPr>
        <a:xfrm>
          <a:off x="0" y="0"/>
          <a:ext cx="5362574" cy="228600"/>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00">
              <a:ln>
                <a:noFill/>
              </a:ln>
              <a:latin typeface="Verdana" panose="020B0604030504040204" pitchFamily="34" charset="0"/>
              <a:ea typeface="Verdana" panose="020B0604030504040204" pitchFamily="34" charset="0"/>
            </a:rPr>
            <a:t>Woodland</a:t>
          </a:r>
          <a:r>
            <a:rPr lang="en-GB" sz="900" baseline="0">
              <a:ln>
                <a:noFill/>
              </a:ln>
              <a:latin typeface="Verdana" panose="020B0604030504040204" pitchFamily="34" charset="0"/>
              <a:ea typeface="Verdana" panose="020B0604030504040204" pitchFamily="34" charset="0"/>
            </a:rPr>
            <a:t> Creation Planning Grant Application and Plan (WCPG AAP) </a:t>
          </a:r>
          <a:r>
            <a:rPr lang="en-GB" sz="900">
              <a:ln>
                <a:noFill/>
              </a:ln>
              <a:latin typeface="Verdana" panose="020B0604030504040204" pitchFamily="34" charset="0"/>
              <a:ea typeface="Verdana" panose="020B0604030504040204" pitchFamily="34" charset="0"/>
            </a:rPr>
            <a:t>| v2.2 09/03/2026</a:t>
          </a:r>
          <a:endParaRPr lang="en-GB" sz="900" baseline="0">
            <a:ln>
              <a:noFill/>
            </a:ln>
            <a:latin typeface="Verdana" panose="020B0604030504040204" pitchFamily="34" charset="0"/>
            <a:ea typeface="Verdana" panose="020B0604030504040204" pitchFamily="34" charset="0"/>
          </a:endParaRPr>
        </a:p>
      </xdr:txBody>
    </xdr:sp>
    <xdr:clientData/>
  </xdr:twoCellAnchor>
  <xdr:twoCellAnchor>
    <xdr:from>
      <xdr:col>1</xdr:col>
      <xdr:colOff>1473200</xdr:colOff>
      <xdr:row>14</xdr:row>
      <xdr:rowOff>3187</xdr:rowOff>
    </xdr:from>
    <xdr:to>
      <xdr:col>4</xdr:col>
      <xdr:colOff>3360738</xdr:colOff>
      <xdr:row>14</xdr:row>
      <xdr:rowOff>1738324</xdr:rowOff>
    </xdr:to>
    <xdr:sp macro="" textlink="">
      <xdr:nvSpPr>
        <xdr:cNvPr id="3" name="TextBox 2">
          <a:extLst>
            <a:ext uri="{FF2B5EF4-FFF2-40B4-BE49-F238E27FC236}">
              <a16:creationId xmlns:a16="http://schemas.microsoft.com/office/drawing/2014/main" id="{D8AB1402-26E7-4033-8888-CC1B1ED387AF}"/>
            </a:ext>
          </a:extLst>
        </xdr:cNvPr>
        <xdr:cNvSpPr txBox="1"/>
      </xdr:nvSpPr>
      <xdr:spPr>
        <a:xfrm rot="18900000">
          <a:off x="1735138" y="4432312"/>
          <a:ext cx="10412413" cy="17351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5000" b="1">
              <a:solidFill>
                <a:schemeClr val="tx1">
                  <a:alpha val="40000"/>
                </a:schemeClr>
              </a:solidFill>
              <a:latin typeface="Arial Black" panose="020B0A04020102020204" pitchFamily="34" charset="0"/>
            </a:rPr>
            <a:t>EXAMPLE</a:t>
          </a:r>
        </a:p>
      </xdr:txBody>
    </xdr:sp>
    <xdr:clientData/>
  </xdr:twoCellAnchor>
  <xdr:twoCellAnchor>
    <xdr:from>
      <xdr:col>1</xdr:col>
      <xdr:colOff>1458926</xdr:colOff>
      <xdr:row>17</xdr:row>
      <xdr:rowOff>741357</xdr:rowOff>
    </xdr:from>
    <xdr:to>
      <xdr:col>4</xdr:col>
      <xdr:colOff>3381388</xdr:colOff>
      <xdr:row>19</xdr:row>
      <xdr:rowOff>349245</xdr:rowOff>
    </xdr:to>
    <xdr:sp macro="" textlink="">
      <xdr:nvSpPr>
        <xdr:cNvPr id="5" name="TextBox 4">
          <a:extLst>
            <a:ext uri="{FF2B5EF4-FFF2-40B4-BE49-F238E27FC236}">
              <a16:creationId xmlns:a16="http://schemas.microsoft.com/office/drawing/2014/main" id="{A9C2D215-0848-4517-AF4B-E7DA1EE9A24A}"/>
            </a:ext>
          </a:extLst>
        </xdr:cNvPr>
        <xdr:cNvSpPr txBox="1"/>
      </xdr:nvSpPr>
      <xdr:spPr>
        <a:xfrm rot="18900000">
          <a:off x="1720864" y="12742857"/>
          <a:ext cx="10447337" cy="2274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5000" b="1">
              <a:solidFill>
                <a:schemeClr val="tx1">
                  <a:alpha val="40000"/>
                </a:schemeClr>
              </a:solidFill>
              <a:latin typeface="Arial Black" panose="020B0A04020102020204" pitchFamily="34" charset="0"/>
            </a:rPr>
            <a:t>EXAMPLE</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6</xdr:col>
      <xdr:colOff>130175</xdr:colOff>
      <xdr:row>0</xdr:row>
      <xdr:rowOff>95250</xdr:rowOff>
    </xdr:from>
    <xdr:to>
      <xdr:col>7</xdr:col>
      <xdr:colOff>1731</xdr:colOff>
      <xdr:row>1</xdr:row>
      <xdr:rowOff>457611</xdr:rowOff>
    </xdr:to>
    <xdr:pic>
      <xdr:nvPicPr>
        <xdr:cNvPr id="3" name="Picture 2">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425" y="95250"/>
          <a:ext cx="2919556" cy="5433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2</xdr:col>
      <xdr:colOff>1809749</xdr:colOff>
      <xdr:row>1</xdr:row>
      <xdr:rowOff>28574</xdr:rowOff>
    </xdr:to>
    <xdr:sp macro="" textlink="">
      <xdr:nvSpPr>
        <xdr:cNvPr id="6" name="TextBox 5">
          <a:extLst>
            <a:ext uri="{FF2B5EF4-FFF2-40B4-BE49-F238E27FC236}">
              <a16:creationId xmlns:a16="http://schemas.microsoft.com/office/drawing/2014/main" id="{00000000-0008-0000-0900-000006000000}"/>
            </a:ext>
          </a:extLst>
        </xdr:cNvPr>
        <xdr:cNvSpPr txBox="1"/>
      </xdr:nvSpPr>
      <xdr:spPr>
        <a:xfrm>
          <a:off x="0" y="0"/>
          <a:ext cx="5324474" cy="219074"/>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00">
              <a:ln>
                <a:noFill/>
              </a:ln>
              <a:latin typeface="Verdana" panose="020B0604030504040204" pitchFamily="34" charset="0"/>
              <a:ea typeface="Verdana" panose="020B0604030504040204" pitchFamily="34" charset="0"/>
            </a:rPr>
            <a:t>Woodland</a:t>
          </a:r>
          <a:r>
            <a:rPr lang="en-GB" sz="900" baseline="0">
              <a:ln>
                <a:noFill/>
              </a:ln>
              <a:latin typeface="Verdana" panose="020B0604030504040204" pitchFamily="34" charset="0"/>
              <a:ea typeface="Verdana" panose="020B0604030504040204" pitchFamily="34" charset="0"/>
            </a:rPr>
            <a:t> Creation Planning Grant Application and Plan (WCPG AAP) </a:t>
          </a:r>
          <a:r>
            <a:rPr lang="en-GB" sz="900">
              <a:ln>
                <a:noFill/>
              </a:ln>
              <a:latin typeface="Verdana" panose="020B0604030504040204" pitchFamily="34" charset="0"/>
              <a:ea typeface="Verdana" panose="020B0604030504040204" pitchFamily="34" charset="0"/>
            </a:rPr>
            <a:t>| v2.2 09/03/2026</a:t>
          </a:r>
          <a:endParaRPr lang="en-GB" sz="900" baseline="0">
            <a:ln>
              <a:noFill/>
            </a:ln>
            <a:latin typeface="Verdana" panose="020B0604030504040204" pitchFamily="34" charset="0"/>
            <a:ea typeface="Verdana" panose="020B0604030504040204" pitchFamily="34" charset="0"/>
          </a:endParaRPr>
        </a:p>
      </xdr:txBody>
    </xdr:sp>
    <xdr:clientData/>
  </xdr:twoCellAnchor>
  <xdr:twoCellAnchor>
    <xdr:from>
      <xdr:col>2</xdr:col>
      <xdr:colOff>190500</xdr:colOff>
      <xdr:row>13</xdr:row>
      <xdr:rowOff>301626</xdr:rowOff>
    </xdr:from>
    <xdr:to>
      <xdr:col>5</xdr:col>
      <xdr:colOff>1801813</xdr:colOff>
      <xdr:row>15</xdr:row>
      <xdr:rowOff>804864</xdr:rowOff>
    </xdr:to>
    <xdr:sp macro="" textlink="">
      <xdr:nvSpPr>
        <xdr:cNvPr id="2" name="TextBox 1">
          <a:extLst>
            <a:ext uri="{FF2B5EF4-FFF2-40B4-BE49-F238E27FC236}">
              <a16:creationId xmlns:a16="http://schemas.microsoft.com/office/drawing/2014/main" id="{08884E16-E320-4661-8048-08B4D67DD893}"/>
            </a:ext>
          </a:extLst>
        </xdr:cNvPr>
        <xdr:cNvSpPr txBox="1"/>
      </xdr:nvSpPr>
      <xdr:spPr>
        <a:xfrm rot="18900000">
          <a:off x="4032250" y="4365626"/>
          <a:ext cx="10406063" cy="18049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5000" b="1">
              <a:solidFill>
                <a:schemeClr val="tx1">
                  <a:alpha val="40000"/>
                </a:schemeClr>
              </a:solidFill>
              <a:latin typeface="Arial Black" panose="020B0A04020102020204" pitchFamily="34" charset="0"/>
            </a:rPr>
            <a:t>EXAMPLE</a:t>
          </a:r>
        </a:p>
      </xdr:txBody>
    </xdr:sp>
    <xdr:clientData/>
  </xdr:twoCellAnchor>
  <xdr:twoCellAnchor>
    <xdr:from>
      <xdr:col>2</xdr:col>
      <xdr:colOff>190500</xdr:colOff>
      <xdr:row>45</xdr:row>
      <xdr:rowOff>66676</xdr:rowOff>
    </xdr:from>
    <xdr:to>
      <xdr:col>5</xdr:col>
      <xdr:colOff>1798638</xdr:colOff>
      <xdr:row>57</xdr:row>
      <xdr:rowOff>46039</xdr:rowOff>
    </xdr:to>
    <xdr:sp macro="" textlink="">
      <xdr:nvSpPr>
        <xdr:cNvPr id="4" name="TextBox 3">
          <a:extLst>
            <a:ext uri="{FF2B5EF4-FFF2-40B4-BE49-F238E27FC236}">
              <a16:creationId xmlns:a16="http://schemas.microsoft.com/office/drawing/2014/main" id="{0E5C313A-1E26-4531-966B-6449065A0B19}"/>
            </a:ext>
          </a:extLst>
        </xdr:cNvPr>
        <xdr:cNvSpPr txBox="1"/>
      </xdr:nvSpPr>
      <xdr:spPr>
        <a:xfrm rot="18900000">
          <a:off x="4032250" y="13115926"/>
          <a:ext cx="10402888" cy="22653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5000" b="1">
              <a:solidFill>
                <a:schemeClr val="tx1">
                  <a:alpha val="40000"/>
                </a:schemeClr>
              </a:solidFill>
              <a:latin typeface="Arial Black" panose="020B0A04020102020204" pitchFamily="34" charset="0"/>
            </a:rPr>
            <a:t>EXAMPLE</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3248025</xdr:colOff>
      <xdr:row>0</xdr:row>
      <xdr:rowOff>177800</xdr:rowOff>
    </xdr:from>
    <xdr:to>
      <xdr:col>4</xdr:col>
      <xdr:colOff>1731</xdr:colOff>
      <xdr:row>2</xdr:row>
      <xdr:rowOff>73436</xdr:rowOff>
    </xdr:to>
    <xdr:pic>
      <xdr:nvPicPr>
        <xdr:cNvPr id="4" name="Picture 3">
          <a:extLst>
            <a:ext uri="{FF2B5EF4-FFF2-40B4-BE49-F238E27FC236}">
              <a16:creationId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81775" y="177800"/>
          <a:ext cx="2922731" cy="5528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1</xdr:rowOff>
    </xdr:from>
    <xdr:to>
      <xdr:col>2</xdr:col>
      <xdr:colOff>2028824</xdr:colOff>
      <xdr:row>0</xdr:row>
      <xdr:rowOff>257175</xdr:rowOff>
    </xdr:to>
    <xdr:sp macro="" textlink="">
      <xdr:nvSpPr>
        <xdr:cNvPr id="9" name="TextBox 8">
          <a:extLst>
            <a:ext uri="{FF2B5EF4-FFF2-40B4-BE49-F238E27FC236}">
              <a16:creationId xmlns:a16="http://schemas.microsoft.com/office/drawing/2014/main" id="{00000000-0008-0000-0B00-000009000000}"/>
            </a:ext>
          </a:extLst>
        </xdr:cNvPr>
        <xdr:cNvSpPr txBox="1"/>
      </xdr:nvSpPr>
      <xdr:spPr>
        <a:xfrm>
          <a:off x="0" y="1"/>
          <a:ext cx="5286374" cy="257174"/>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00">
              <a:ln>
                <a:noFill/>
              </a:ln>
              <a:latin typeface="Verdana" panose="020B0604030504040204" pitchFamily="34" charset="0"/>
              <a:ea typeface="Verdana" panose="020B0604030504040204" pitchFamily="34" charset="0"/>
            </a:rPr>
            <a:t>Woodland</a:t>
          </a:r>
          <a:r>
            <a:rPr lang="en-GB" sz="900" baseline="0">
              <a:ln>
                <a:noFill/>
              </a:ln>
              <a:latin typeface="Verdana" panose="020B0604030504040204" pitchFamily="34" charset="0"/>
              <a:ea typeface="Verdana" panose="020B0604030504040204" pitchFamily="34" charset="0"/>
            </a:rPr>
            <a:t> Creation Planning Grant Application and Plan (WCPG AAP) </a:t>
          </a:r>
          <a:r>
            <a:rPr lang="en-GB" sz="900">
              <a:ln>
                <a:noFill/>
              </a:ln>
              <a:latin typeface="Verdana" panose="020B0604030504040204" pitchFamily="34" charset="0"/>
              <a:ea typeface="Verdana" panose="020B0604030504040204" pitchFamily="34" charset="0"/>
            </a:rPr>
            <a:t>| v2.2 09/03/2026</a:t>
          </a:r>
          <a:endParaRPr lang="en-GB" sz="900" baseline="0">
            <a:ln>
              <a:noFill/>
            </a:ln>
            <a:latin typeface="Verdana" panose="020B0604030504040204" pitchFamily="34" charset="0"/>
            <a:ea typeface="Verdana" panose="020B0604030504040204" pitchFamily="34" charset="0"/>
          </a:endParaRPr>
        </a:p>
      </xdr:txBody>
    </xdr:sp>
    <xdr:clientData/>
  </xdr:twoCellAnchor>
  <xdr:twoCellAnchor>
    <xdr:from>
      <xdr:col>2</xdr:col>
      <xdr:colOff>336348</xdr:colOff>
      <xdr:row>0</xdr:row>
      <xdr:rowOff>0</xdr:rowOff>
    </xdr:from>
    <xdr:to>
      <xdr:col>2</xdr:col>
      <xdr:colOff>2617586</xdr:colOff>
      <xdr:row>37</xdr:row>
      <xdr:rowOff>46038</xdr:rowOff>
    </xdr:to>
    <xdr:sp macro="" textlink="">
      <xdr:nvSpPr>
        <xdr:cNvPr id="5" name="TextBox 4">
          <a:extLst>
            <a:ext uri="{FF2B5EF4-FFF2-40B4-BE49-F238E27FC236}">
              <a16:creationId xmlns:a16="http://schemas.microsoft.com/office/drawing/2014/main" id="{8BDF8CD4-AA81-4509-B869-23028BC9E954}"/>
            </a:ext>
          </a:extLst>
        </xdr:cNvPr>
        <xdr:cNvSpPr txBox="1">
          <a:spLocks/>
        </xdr:cNvSpPr>
      </xdr:nvSpPr>
      <xdr:spPr>
        <a:xfrm rot="18840000">
          <a:off x="-298652" y="4064000"/>
          <a:ext cx="10409238" cy="22812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5000" b="1">
              <a:solidFill>
                <a:schemeClr val="tx1">
                  <a:alpha val="40000"/>
                </a:schemeClr>
              </a:solidFill>
              <a:latin typeface="Arial Black" panose="020B0A04020102020204" pitchFamily="34" charset="0"/>
            </a:rPr>
            <a:t>EXAMPLE</a:t>
          </a: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1228725</xdr:colOff>
      <xdr:row>0</xdr:row>
      <xdr:rowOff>158750</xdr:rowOff>
    </xdr:from>
    <xdr:to>
      <xdr:col>4</xdr:col>
      <xdr:colOff>1731</xdr:colOff>
      <xdr:row>2</xdr:row>
      <xdr:rowOff>105186</xdr:rowOff>
    </xdr:to>
    <xdr:pic>
      <xdr:nvPicPr>
        <xdr:cNvPr id="2" name="Picture 1">
          <a:extLst>
            <a:ext uri="{FF2B5EF4-FFF2-40B4-BE49-F238E27FC236}">
              <a16:creationId xmlns:a16="http://schemas.microsoft.com/office/drawing/2014/main" id="{5B4BDCE4-17D7-4DE7-A924-2353A7855B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81950" y="158750"/>
          <a:ext cx="2849706" cy="5560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2</xdr:col>
      <xdr:colOff>1523999</xdr:colOff>
      <xdr:row>1</xdr:row>
      <xdr:rowOff>38100</xdr:rowOff>
    </xdr:to>
    <xdr:sp macro="" textlink="">
      <xdr:nvSpPr>
        <xdr:cNvPr id="11" name="TextBox 10">
          <a:extLst>
            <a:ext uri="{FF2B5EF4-FFF2-40B4-BE49-F238E27FC236}">
              <a16:creationId xmlns:a16="http://schemas.microsoft.com/office/drawing/2014/main" id="{EAEAA64A-3614-431F-BB2E-C68BC585EFE7}"/>
            </a:ext>
          </a:extLst>
        </xdr:cNvPr>
        <xdr:cNvSpPr txBox="1"/>
      </xdr:nvSpPr>
      <xdr:spPr>
        <a:xfrm>
          <a:off x="0" y="0"/>
          <a:ext cx="5248274" cy="228600"/>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00">
              <a:ln>
                <a:noFill/>
              </a:ln>
              <a:latin typeface="Verdana" panose="020B0604030504040204" pitchFamily="34" charset="0"/>
              <a:ea typeface="Verdana" panose="020B0604030504040204" pitchFamily="34" charset="0"/>
            </a:rPr>
            <a:t>Woodland</a:t>
          </a:r>
          <a:r>
            <a:rPr lang="en-GB" sz="900" baseline="0">
              <a:ln>
                <a:noFill/>
              </a:ln>
              <a:latin typeface="Verdana" panose="020B0604030504040204" pitchFamily="34" charset="0"/>
              <a:ea typeface="Verdana" panose="020B0604030504040204" pitchFamily="34" charset="0"/>
            </a:rPr>
            <a:t> Creation Planning Grant Application and Plan (WCPG AAP) </a:t>
          </a:r>
          <a:r>
            <a:rPr lang="en-GB" sz="900">
              <a:ln>
                <a:noFill/>
              </a:ln>
              <a:latin typeface="Verdana" panose="020B0604030504040204" pitchFamily="34" charset="0"/>
              <a:ea typeface="Verdana" panose="020B0604030504040204" pitchFamily="34" charset="0"/>
            </a:rPr>
            <a:t>| v2.2 09/03/2026</a:t>
          </a:r>
          <a:endParaRPr lang="en-GB" sz="900" baseline="0">
            <a:ln>
              <a:noFill/>
            </a:ln>
            <a:latin typeface="Verdana" panose="020B0604030504040204" pitchFamily="34" charset="0"/>
            <a:ea typeface="Verdana" panose="020B0604030504040204" pitchFamily="34" charset="0"/>
          </a:endParaRPr>
        </a:p>
      </xdr:txBody>
    </xdr:sp>
    <xdr:clientData/>
  </xdr:twoCellAnchor>
  <xdr:twoCellAnchor>
    <xdr:from>
      <xdr:col>1</xdr:col>
      <xdr:colOff>312737</xdr:colOff>
      <xdr:row>13</xdr:row>
      <xdr:rowOff>157174</xdr:rowOff>
    </xdr:from>
    <xdr:to>
      <xdr:col>3</xdr:col>
      <xdr:colOff>3857625</xdr:colOff>
      <xdr:row>25</xdr:row>
      <xdr:rowOff>120662</xdr:rowOff>
    </xdr:to>
    <xdr:sp macro="" textlink="">
      <xdr:nvSpPr>
        <xdr:cNvPr id="3" name="TextBox 2">
          <a:extLst>
            <a:ext uri="{FF2B5EF4-FFF2-40B4-BE49-F238E27FC236}">
              <a16:creationId xmlns:a16="http://schemas.microsoft.com/office/drawing/2014/main" id="{37F1FBC1-3B71-494F-87AB-E356B817B1D5}"/>
            </a:ext>
          </a:extLst>
        </xdr:cNvPr>
        <xdr:cNvSpPr txBox="1">
          <a:spLocks noChangeAspect="1"/>
        </xdr:cNvSpPr>
      </xdr:nvSpPr>
      <xdr:spPr>
        <a:xfrm rot="18900000">
          <a:off x="527050" y="5919799"/>
          <a:ext cx="10402888" cy="22494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5000" b="1">
              <a:solidFill>
                <a:schemeClr val="tx1">
                  <a:alpha val="40000"/>
                </a:schemeClr>
              </a:solidFill>
              <a:latin typeface="Arial Black" panose="020B0A04020102020204" pitchFamily="34" charset="0"/>
            </a:rPr>
            <a:t>EXAMPLE</a:t>
          </a: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0</xdr:colOff>
      <xdr:row>0</xdr:row>
      <xdr:rowOff>130175</xdr:rowOff>
    </xdr:from>
    <xdr:to>
      <xdr:col>3</xdr:col>
      <xdr:colOff>2922731</xdr:colOff>
      <xdr:row>2</xdr:row>
      <xdr:rowOff>35336</xdr:rowOff>
    </xdr:to>
    <xdr:pic>
      <xdr:nvPicPr>
        <xdr:cNvPr id="2" name="Picture 1">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63175" y="130175"/>
          <a:ext cx="2922731" cy="5433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2</xdr:col>
      <xdr:colOff>752474</xdr:colOff>
      <xdr:row>0</xdr:row>
      <xdr:rowOff>200025</xdr:rowOff>
    </xdr:to>
    <xdr:sp macro="" textlink="">
      <xdr:nvSpPr>
        <xdr:cNvPr id="5" name="TextBox 4">
          <a:extLst>
            <a:ext uri="{FF2B5EF4-FFF2-40B4-BE49-F238E27FC236}">
              <a16:creationId xmlns:a16="http://schemas.microsoft.com/office/drawing/2014/main" id="{00000000-0008-0000-0C00-000005000000}"/>
            </a:ext>
          </a:extLst>
        </xdr:cNvPr>
        <xdr:cNvSpPr txBox="1"/>
      </xdr:nvSpPr>
      <xdr:spPr>
        <a:xfrm>
          <a:off x="0" y="0"/>
          <a:ext cx="5286374" cy="200025"/>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00">
              <a:ln>
                <a:noFill/>
              </a:ln>
              <a:latin typeface="Verdana" panose="020B0604030504040204" pitchFamily="34" charset="0"/>
              <a:ea typeface="Verdana" panose="020B0604030504040204" pitchFamily="34" charset="0"/>
            </a:rPr>
            <a:t>Woodland</a:t>
          </a:r>
          <a:r>
            <a:rPr lang="en-GB" sz="900" baseline="0">
              <a:ln>
                <a:noFill/>
              </a:ln>
              <a:latin typeface="Verdana" panose="020B0604030504040204" pitchFamily="34" charset="0"/>
              <a:ea typeface="Verdana" panose="020B0604030504040204" pitchFamily="34" charset="0"/>
            </a:rPr>
            <a:t> Creation Planning Grant Application and Plan (WCPG AAP) </a:t>
          </a:r>
          <a:r>
            <a:rPr lang="en-GB" sz="900">
              <a:ln>
                <a:noFill/>
              </a:ln>
              <a:latin typeface="Verdana" panose="020B0604030504040204" pitchFamily="34" charset="0"/>
              <a:ea typeface="Verdana" panose="020B0604030504040204" pitchFamily="34" charset="0"/>
            </a:rPr>
            <a:t>| v2.2 09/03/2026</a:t>
          </a:r>
          <a:endParaRPr lang="en-GB" sz="900" baseline="0">
            <a:ln>
              <a:noFill/>
            </a:ln>
            <a:latin typeface="Verdana" panose="020B0604030504040204" pitchFamily="34" charset="0"/>
            <a:ea typeface="Verdana" panose="020B0604030504040204" pitchFamily="34" charset="0"/>
          </a:endParaRPr>
        </a:p>
      </xdr:txBody>
    </xdr:sp>
    <xdr:clientData/>
  </xdr:twoCellAnchor>
  <xdr:twoCellAnchor>
    <xdr:from>
      <xdr:col>1</xdr:col>
      <xdr:colOff>9525</xdr:colOff>
      <xdr:row>31</xdr:row>
      <xdr:rowOff>2181225</xdr:rowOff>
    </xdr:from>
    <xdr:to>
      <xdr:col>3</xdr:col>
      <xdr:colOff>2627313</xdr:colOff>
      <xdr:row>32</xdr:row>
      <xdr:rowOff>1001713</xdr:rowOff>
    </xdr:to>
    <xdr:sp macro="" textlink="">
      <xdr:nvSpPr>
        <xdr:cNvPr id="3" name="TextBox 2">
          <a:extLst>
            <a:ext uri="{FF2B5EF4-FFF2-40B4-BE49-F238E27FC236}">
              <a16:creationId xmlns:a16="http://schemas.microsoft.com/office/drawing/2014/main" id="{CE02D6CC-A182-4F14-BDAC-6DBA5695D86F}"/>
            </a:ext>
          </a:extLst>
        </xdr:cNvPr>
        <xdr:cNvSpPr txBox="1"/>
      </xdr:nvSpPr>
      <xdr:spPr>
        <a:xfrm rot="18900000">
          <a:off x="231775" y="19834225"/>
          <a:ext cx="10396538" cy="17414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5000" b="1">
              <a:solidFill>
                <a:schemeClr val="tx1">
                  <a:alpha val="40000"/>
                </a:schemeClr>
              </a:solidFill>
              <a:latin typeface="Arial Black" panose="020B0A04020102020204" pitchFamily="34" charset="0"/>
            </a:rPr>
            <a:t>EXAMPLE</a:t>
          </a:r>
        </a:p>
      </xdr:txBody>
    </xdr:sp>
    <xdr:clientData/>
  </xdr:twoCellAnchor>
  <xdr:twoCellAnchor>
    <xdr:from>
      <xdr:col>1</xdr:col>
      <xdr:colOff>0</xdr:colOff>
      <xdr:row>10</xdr:row>
      <xdr:rowOff>484187</xdr:rowOff>
    </xdr:from>
    <xdr:to>
      <xdr:col>3</xdr:col>
      <xdr:colOff>2627313</xdr:colOff>
      <xdr:row>17</xdr:row>
      <xdr:rowOff>25400</xdr:rowOff>
    </xdr:to>
    <xdr:sp macro="" textlink="">
      <xdr:nvSpPr>
        <xdr:cNvPr id="4" name="TextBox 3">
          <a:extLst>
            <a:ext uri="{FF2B5EF4-FFF2-40B4-BE49-F238E27FC236}">
              <a16:creationId xmlns:a16="http://schemas.microsoft.com/office/drawing/2014/main" id="{F48F3A60-AA99-4436-B332-9237BAE8830C}"/>
            </a:ext>
          </a:extLst>
        </xdr:cNvPr>
        <xdr:cNvSpPr txBox="1"/>
      </xdr:nvSpPr>
      <xdr:spPr>
        <a:xfrm rot="18900000">
          <a:off x="222250" y="3563937"/>
          <a:ext cx="10406063" cy="1795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5000" b="1">
              <a:solidFill>
                <a:schemeClr val="tx1">
                  <a:alpha val="40000"/>
                </a:schemeClr>
              </a:solidFill>
              <a:latin typeface="Arial Black" panose="020B0A04020102020204" pitchFamily="34" charset="0"/>
            </a:rPr>
            <a:t>EXAMPLE</a:t>
          </a:r>
        </a:p>
      </xdr:txBody>
    </xdr:sp>
    <xdr:clientData/>
  </xdr:twoCellAnchor>
  <xdr:twoCellAnchor>
    <xdr:from>
      <xdr:col>0</xdr:col>
      <xdr:colOff>96840</xdr:colOff>
      <xdr:row>27</xdr:row>
      <xdr:rowOff>1899969</xdr:rowOff>
    </xdr:from>
    <xdr:to>
      <xdr:col>4</xdr:col>
      <xdr:colOff>95252</xdr:colOff>
      <xdr:row>28</xdr:row>
      <xdr:rowOff>1587232</xdr:rowOff>
    </xdr:to>
    <xdr:sp macro="" textlink="">
      <xdr:nvSpPr>
        <xdr:cNvPr id="6" name="TextBox 5">
          <a:extLst>
            <a:ext uri="{FF2B5EF4-FFF2-40B4-BE49-F238E27FC236}">
              <a16:creationId xmlns:a16="http://schemas.microsoft.com/office/drawing/2014/main" id="{C15EDFC0-2F9C-4A9E-9B1D-513402795E39}"/>
            </a:ext>
          </a:extLst>
        </xdr:cNvPr>
        <xdr:cNvSpPr txBox="1"/>
      </xdr:nvSpPr>
      <xdr:spPr>
        <a:xfrm rot="18900000">
          <a:off x="96840" y="11075719"/>
          <a:ext cx="11206162" cy="22590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5000" b="1">
              <a:solidFill>
                <a:schemeClr val="tx1">
                  <a:alpha val="40000"/>
                </a:schemeClr>
              </a:solidFill>
              <a:latin typeface="Arial Black" panose="020B0A04020102020204" pitchFamily="34" charset="0"/>
            </a:rPr>
            <a:t>EXAMPLE</a:t>
          </a: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6</xdr:col>
      <xdr:colOff>673100</xdr:colOff>
      <xdr:row>1</xdr:row>
      <xdr:rowOff>15875</xdr:rowOff>
    </xdr:from>
    <xdr:to>
      <xdr:col>6</xdr:col>
      <xdr:colOff>3522806</xdr:colOff>
      <xdr:row>2</xdr:row>
      <xdr:rowOff>54386</xdr:rowOff>
    </xdr:to>
    <xdr:pic>
      <xdr:nvPicPr>
        <xdr:cNvPr id="2" name="Picture 1">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84375" y="196850"/>
          <a:ext cx="2925906" cy="5433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2</xdr:col>
      <xdr:colOff>1562100</xdr:colOff>
      <xdr:row>1</xdr:row>
      <xdr:rowOff>28575</xdr:rowOff>
    </xdr:to>
    <xdr:sp macro="" textlink="">
      <xdr:nvSpPr>
        <xdr:cNvPr id="6" name="TextBox 5">
          <a:extLst>
            <a:ext uri="{FF2B5EF4-FFF2-40B4-BE49-F238E27FC236}">
              <a16:creationId xmlns:a16="http://schemas.microsoft.com/office/drawing/2014/main" id="{00000000-0008-0000-0D00-000006000000}"/>
            </a:ext>
          </a:extLst>
        </xdr:cNvPr>
        <xdr:cNvSpPr txBox="1"/>
      </xdr:nvSpPr>
      <xdr:spPr>
        <a:xfrm>
          <a:off x="0" y="0"/>
          <a:ext cx="5314950" cy="219075"/>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00">
              <a:ln>
                <a:noFill/>
              </a:ln>
              <a:latin typeface="Verdana" panose="020B0604030504040204" pitchFamily="34" charset="0"/>
              <a:ea typeface="Verdana" panose="020B0604030504040204" pitchFamily="34" charset="0"/>
            </a:rPr>
            <a:t>Woodland</a:t>
          </a:r>
          <a:r>
            <a:rPr lang="en-GB" sz="900" baseline="0">
              <a:ln>
                <a:noFill/>
              </a:ln>
              <a:latin typeface="Verdana" panose="020B0604030504040204" pitchFamily="34" charset="0"/>
              <a:ea typeface="Verdana" panose="020B0604030504040204" pitchFamily="34" charset="0"/>
            </a:rPr>
            <a:t> Creation Planning Grant Application and Plan (WCPG AAP) </a:t>
          </a:r>
          <a:r>
            <a:rPr lang="en-GB" sz="900">
              <a:ln>
                <a:noFill/>
              </a:ln>
              <a:latin typeface="Verdana" panose="020B0604030504040204" pitchFamily="34" charset="0"/>
              <a:ea typeface="Verdana" panose="020B0604030504040204" pitchFamily="34" charset="0"/>
            </a:rPr>
            <a:t>| v2.2 09/03/2026</a:t>
          </a:r>
          <a:endParaRPr lang="en-GB" sz="900" baseline="0">
            <a:ln>
              <a:noFill/>
            </a:ln>
            <a:latin typeface="Verdana" panose="020B0604030504040204" pitchFamily="34" charset="0"/>
            <a:ea typeface="Verdana" panose="020B0604030504040204" pitchFamily="34" charset="0"/>
          </a:endParaRPr>
        </a:p>
      </xdr:txBody>
    </xdr:sp>
    <xdr:clientData/>
  </xdr:twoCellAnchor>
  <xdr:twoCellAnchor>
    <xdr:from>
      <xdr:col>1</xdr:col>
      <xdr:colOff>3409950</xdr:colOff>
      <xdr:row>7</xdr:row>
      <xdr:rowOff>90179</xdr:rowOff>
    </xdr:from>
    <xdr:to>
      <xdr:col>6</xdr:col>
      <xdr:colOff>49213</xdr:colOff>
      <xdr:row>16</xdr:row>
      <xdr:rowOff>177492</xdr:rowOff>
    </xdr:to>
    <xdr:sp macro="" textlink="">
      <xdr:nvSpPr>
        <xdr:cNvPr id="3" name="TextBox 2">
          <a:extLst>
            <a:ext uri="{FF2B5EF4-FFF2-40B4-BE49-F238E27FC236}">
              <a16:creationId xmlns:a16="http://schemas.microsoft.com/office/drawing/2014/main" id="{CA07C588-9CA7-44CE-9BC5-A61EECDCE940}"/>
            </a:ext>
          </a:extLst>
        </xdr:cNvPr>
        <xdr:cNvSpPr txBox="1"/>
      </xdr:nvSpPr>
      <xdr:spPr>
        <a:xfrm rot="18900000">
          <a:off x="3676650" y="3347729"/>
          <a:ext cx="10412413" cy="22780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5000" b="1">
              <a:solidFill>
                <a:schemeClr val="tx1">
                  <a:alpha val="40000"/>
                </a:schemeClr>
              </a:solidFill>
              <a:latin typeface="Arial Black" panose="020B0A04020102020204" pitchFamily="34" charset="0"/>
            </a:rPr>
            <a:t>EXAMPLE</a:t>
          </a: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3</xdr:col>
      <xdr:colOff>387350</xdr:colOff>
      <xdr:row>1</xdr:row>
      <xdr:rowOff>6350</xdr:rowOff>
    </xdr:from>
    <xdr:to>
      <xdr:col>3</xdr:col>
      <xdr:colOff>3256106</xdr:colOff>
      <xdr:row>2</xdr:row>
      <xdr:rowOff>92486</xdr:rowOff>
    </xdr:to>
    <xdr:pic>
      <xdr:nvPicPr>
        <xdr:cNvPr id="4" name="Picture 3">
          <a:extLst>
            <a:ext uri="{FF2B5EF4-FFF2-40B4-BE49-F238E27FC236}">
              <a16:creationId xmlns:a16="http://schemas.microsoft.com/office/drawing/2014/main" id="{00000000-0008-0000-0E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64475" y="187325"/>
          <a:ext cx="2925906" cy="5433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2</xdr:col>
      <xdr:colOff>1495424</xdr:colOff>
      <xdr:row>1</xdr:row>
      <xdr:rowOff>66674</xdr:rowOff>
    </xdr:to>
    <xdr:sp macro="" textlink="">
      <xdr:nvSpPr>
        <xdr:cNvPr id="2" name="TextBox 1">
          <a:extLst>
            <a:ext uri="{FF2B5EF4-FFF2-40B4-BE49-F238E27FC236}">
              <a16:creationId xmlns:a16="http://schemas.microsoft.com/office/drawing/2014/main" id="{00000000-0008-0000-0E00-000002000000}"/>
            </a:ext>
          </a:extLst>
        </xdr:cNvPr>
        <xdr:cNvSpPr txBox="1"/>
      </xdr:nvSpPr>
      <xdr:spPr>
        <a:xfrm>
          <a:off x="0" y="0"/>
          <a:ext cx="5286374" cy="257174"/>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00">
              <a:ln>
                <a:noFill/>
              </a:ln>
              <a:latin typeface="Verdana" panose="020B0604030504040204" pitchFamily="34" charset="0"/>
              <a:ea typeface="Verdana" panose="020B0604030504040204" pitchFamily="34" charset="0"/>
            </a:rPr>
            <a:t>Woodland</a:t>
          </a:r>
          <a:r>
            <a:rPr lang="en-GB" sz="900" baseline="0">
              <a:ln>
                <a:noFill/>
              </a:ln>
              <a:latin typeface="Verdana" panose="020B0604030504040204" pitchFamily="34" charset="0"/>
              <a:ea typeface="Verdana" panose="020B0604030504040204" pitchFamily="34" charset="0"/>
            </a:rPr>
            <a:t> Creation Planning Grant Application and Plan (WCPG AAP) </a:t>
          </a:r>
          <a:r>
            <a:rPr lang="en-GB" sz="900">
              <a:ln>
                <a:noFill/>
              </a:ln>
              <a:latin typeface="Verdana" panose="020B0604030504040204" pitchFamily="34" charset="0"/>
              <a:ea typeface="Verdana" panose="020B0604030504040204" pitchFamily="34" charset="0"/>
            </a:rPr>
            <a:t>| </a:t>
          </a:r>
          <a:r>
            <a:rPr lang="en-GB" sz="900" baseline="0">
              <a:ln>
                <a:noFill/>
              </a:ln>
              <a:solidFill>
                <a:schemeClr val="dk1"/>
              </a:solidFill>
              <a:latin typeface="Verdana" panose="020B0604030504040204" pitchFamily="34" charset="0"/>
              <a:ea typeface="Verdana" panose="020B0604030504040204" pitchFamily="34" charset="0"/>
              <a:cs typeface="+mn-cs"/>
            </a:rPr>
            <a:t>v2.2 09/03/2026</a:t>
          </a:r>
          <a:endParaRPr lang="en-GB" sz="900" baseline="0">
            <a:ln>
              <a:noFill/>
            </a:ln>
            <a:latin typeface="Verdana" panose="020B0604030504040204" pitchFamily="34" charset="0"/>
            <a:ea typeface="Verdana" panose="020B0604030504040204" pitchFamily="34" charset="0"/>
          </a:endParaRPr>
        </a:p>
      </xdr:txBody>
    </xdr:sp>
    <xdr:clientData/>
  </xdr:twoCellAnchor>
  <xdr:twoCellAnchor>
    <xdr:from>
      <xdr:col>0</xdr:col>
      <xdr:colOff>38100</xdr:colOff>
      <xdr:row>4</xdr:row>
      <xdr:rowOff>176783</xdr:rowOff>
    </xdr:from>
    <xdr:to>
      <xdr:col>4</xdr:col>
      <xdr:colOff>228600</xdr:colOff>
      <xdr:row>11</xdr:row>
      <xdr:rowOff>108521</xdr:rowOff>
    </xdr:to>
    <xdr:sp macro="" textlink="">
      <xdr:nvSpPr>
        <xdr:cNvPr id="3" name="TextBox 2">
          <a:extLst>
            <a:ext uri="{FF2B5EF4-FFF2-40B4-BE49-F238E27FC236}">
              <a16:creationId xmlns:a16="http://schemas.microsoft.com/office/drawing/2014/main" id="{83E33754-65E6-4841-A934-D2BA2C7558B2}"/>
            </a:ext>
          </a:extLst>
        </xdr:cNvPr>
        <xdr:cNvSpPr txBox="1"/>
      </xdr:nvSpPr>
      <xdr:spPr>
        <a:xfrm rot="18900000">
          <a:off x="38100" y="3586733"/>
          <a:ext cx="11087100" cy="2274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5000" b="1">
              <a:solidFill>
                <a:schemeClr val="tx1">
                  <a:alpha val="40000"/>
                </a:schemeClr>
              </a:solidFill>
              <a:latin typeface="Arial Black" panose="020B0A04020102020204" pitchFamily="34" charset="0"/>
            </a:rPr>
            <a:t>EXAMPLE</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xdr:colOff>
      <xdr:row>0</xdr:row>
      <xdr:rowOff>0</xdr:rowOff>
    </xdr:from>
    <xdr:to>
      <xdr:col>6</xdr:col>
      <xdr:colOff>1333501</xdr:colOff>
      <xdr:row>1</xdr:row>
      <xdr:rowOff>9525</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1" y="0"/>
          <a:ext cx="8686800" cy="276225"/>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900">
              <a:ln>
                <a:noFill/>
              </a:ln>
              <a:latin typeface="Verdana" panose="020B0604030504040204" pitchFamily="34" charset="0"/>
              <a:ea typeface="Verdana" panose="020B0604030504040204" pitchFamily="34" charset="0"/>
            </a:rPr>
            <a:t>Woodland</a:t>
          </a:r>
          <a:r>
            <a:rPr lang="en-GB" sz="900" baseline="0">
              <a:ln>
                <a:noFill/>
              </a:ln>
              <a:latin typeface="Verdana" panose="020B0604030504040204" pitchFamily="34" charset="0"/>
              <a:ea typeface="Verdana" panose="020B0604030504040204" pitchFamily="34" charset="0"/>
            </a:rPr>
            <a:t> Creation Planning Grant Application and Plan (WCPG AAP)  </a:t>
          </a:r>
          <a:r>
            <a:rPr lang="en-GB" sz="900" baseline="0">
              <a:ln>
                <a:noFill/>
              </a:ln>
              <a:solidFill>
                <a:schemeClr val="dk1"/>
              </a:solidFill>
              <a:latin typeface="Verdana" panose="020B0604030504040204" pitchFamily="34" charset="0"/>
              <a:ea typeface="Verdana" panose="020B0604030504040204" pitchFamily="34" charset="0"/>
              <a:cs typeface="+mn-cs"/>
            </a:rPr>
            <a:t>v2.2 09/03/2026</a:t>
          </a:r>
        </a:p>
        <a:p>
          <a:endParaRPr lang="en-GB" sz="900" baseline="0">
            <a:ln>
              <a:noFill/>
            </a:ln>
            <a:latin typeface="Verdana" panose="020B0604030504040204" pitchFamily="34" charset="0"/>
            <a:ea typeface="Verdana" panose="020B0604030504040204" pitchFamily="34" charset="0"/>
          </a:endParaRPr>
        </a:p>
      </xdr:txBody>
    </xdr:sp>
    <xdr:clientData/>
  </xdr:twoCellAnchor>
  <xdr:twoCellAnchor editAs="oneCell">
    <xdr:from>
      <xdr:col>8</xdr:col>
      <xdr:colOff>2038350</xdr:colOff>
      <xdr:row>0</xdr:row>
      <xdr:rowOff>85725</xdr:rowOff>
    </xdr:from>
    <xdr:to>
      <xdr:col>13</xdr:col>
      <xdr:colOff>0</xdr:colOff>
      <xdr:row>1</xdr:row>
      <xdr:rowOff>359186</xdr:rowOff>
    </xdr:to>
    <xdr:pic>
      <xdr:nvPicPr>
        <xdr:cNvPr id="3" name="Picture 2">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15850" y="85725"/>
          <a:ext cx="2790825" cy="54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793750</xdr:colOff>
      <xdr:row>11</xdr:row>
      <xdr:rowOff>80431</xdr:rowOff>
    </xdr:from>
    <xdr:to>
      <xdr:col>8</xdr:col>
      <xdr:colOff>2190750</xdr:colOff>
      <xdr:row>16</xdr:row>
      <xdr:rowOff>1498069</xdr:rowOff>
    </xdr:to>
    <xdr:sp macro="" textlink="">
      <xdr:nvSpPr>
        <xdr:cNvPr id="4" name="TextBox 3">
          <a:extLst>
            <a:ext uri="{FF2B5EF4-FFF2-40B4-BE49-F238E27FC236}">
              <a16:creationId xmlns:a16="http://schemas.microsoft.com/office/drawing/2014/main" id="{9D4A0D8F-6B2D-4116-B7F4-4AB471ED0350}"/>
            </a:ext>
          </a:extLst>
        </xdr:cNvPr>
        <xdr:cNvSpPr txBox="1"/>
      </xdr:nvSpPr>
      <xdr:spPr>
        <a:xfrm rot="18900000">
          <a:off x="2667000" y="3382431"/>
          <a:ext cx="10509250" cy="2274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5000" b="1">
              <a:solidFill>
                <a:schemeClr val="tx1">
                  <a:alpha val="40000"/>
                </a:schemeClr>
              </a:solidFill>
              <a:latin typeface="Arial Black" panose="020B0A04020102020204" pitchFamily="34" charset="0"/>
            </a:rPr>
            <a:t>EXAMPLE</a:t>
          </a: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7</xdr:col>
      <xdr:colOff>421698</xdr:colOff>
      <xdr:row>0</xdr:row>
      <xdr:rowOff>131618</xdr:rowOff>
    </xdr:from>
    <xdr:to>
      <xdr:col>9</xdr:col>
      <xdr:colOff>522431</xdr:colOff>
      <xdr:row>1</xdr:row>
      <xdr:rowOff>478104</xdr:rowOff>
    </xdr:to>
    <xdr:pic>
      <xdr:nvPicPr>
        <xdr:cNvPr id="3" name="Picture 2">
          <a:extLst>
            <a:ext uri="{FF2B5EF4-FFF2-40B4-BE49-F238E27FC236}">
              <a16:creationId xmlns:a16="http://schemas.microsoft.com/office/drawing/2014/main" id="{00000000-0008-0000-1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4248" y="131618"/>
          <a:ext cx="3078883" cy="5369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7</xdr:col>
      <xdr:colOff>104775</xdr:colOff>
      <xdr:row>1</xdr:row>
      <xdr:rowOff>66675</xdr:rowOff>
    </xdr:to>
    <xdr:sp macro="" textlink="">
      <xdr:nvSpPr>
        <xdr:cNvPr id="5" name="TextBox 4">
          <a:extLst>
            <a:ext uri="{FF2B5EF4-FFF2-40B4-BE49-F238E27FC236}">
              <a16:creationId xmlns:a16="http://schemas.microsoft.com/office/drawing/2014/main" id="{00000000-0008-0000-1100-000005000000}"/>
            </a:ext>
          </a:extLst>
        </xdr:cNvPr>
        <xdr:cNvSpPr txBox="1"/>
      </xdr:nvSpPr>
      <xdr:spPr>
        <a:xfrm>
          <a:off x="0" y="0"/>
          <a:ext cx="8667750" cy="257175"/>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00">
              <a:ln>
                <a:noFill/>
              </a:ln>
              <a:latin typeface="Verdana" panose="020B0604030504040204" pitchFamily="34" charset="0"/>
              <a:ea typeface="Verdana" panose="020B0604030504040204" pitchFamily="34" charset="0"/>
            </a:rPr>
            <a:t>Woodland Creation Planning Grant Application and Plan (WCPG AAP)  v2.2 09/03/2026</a:t>
          </a:r>
          <a:endParaRPr lang="en-GB" sz="900" baseline="0">
            <a:ln>
              <a:noFill/>
            </a:ln>
            <a:latin typeface="Verdana" panose="020B0604030504040204" pitchFamily="34" charset="0"/>
            <a:ea typeface="Verdana" panose="020B0604030504040204" pitchFamily="34" charset="0"/>
          </a:endParaRPr>
        </a:p>
      </xdr:txBody>
    </xdr:sp>
    <xdr:clientData/>
  </xdr:twoCellAnchor>
  <xdr:twoCellAnchor>
    <xdr:from>
      <xdr:col>1</xdr:col>
      <xdr:colOff>536574</xdr:colOff>
      <xdr:row>7</xdr:row>
      <xdr:rowOff>4556</xdr:rowOff>
    </xdr:from>
    <xdr:to>
      <xdr:col>8</xdr:col>
      <xdr:colOff>577849</xdr:colOff>
      <xdr:row>20</xdr:row>
      <xdr:rowOff>82344</xdr:rowOff>
    </xdr:to>
    <xdr:sp macro="" textlink="">
      <xdr:nvSpPr>
        <xdr:cNvPr id="2" name="TextBox 1">
          <a:extLst>
            <a:ext uri="{FF2B5EF4-FFF2-40B4-BE49-F238E27FC236}">
              <a16:creationId xmlns:a16="http://schemas.microsoft.com/office/drawing/2014/main" id="{149F3C2F-3042-4F2D-B94E-96378B98DBFB}"/>
            </a:ext>
          </a:extLst>
        </xdr:cNvPr>
        <xdr:cNvSpPr txBox="1"/>
      </xdr:nvSpPr>
      <xdr:spPr>
        <a:xfrm rot="18900000">
          <a:off x="727074" y="3465306"/>
          <a:ext cx="10741025" cy="22685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5000" b="1">
              <a:solidFill>
                <a:schemeClr val="tx1">
                  <a:alpha val="40000"/>
                </a:schemeClr>
              </a:solidFill>
              <a:latin typeface="Arial Black" panose="020B0A04020102020204" pitchFamily="34" charset="0"/>
            </a:rPr>
            <a:t>EXAMPLE</a:t>
          </a:r>
        </a:p>
      </xdr:txBody>
    </xdr:sp>
    <xdr:clientData/>
  </xdr:twoCellAnchor>
  <xdr:twoCellAnchor>
    <xdr:from>
      <xdr:col>1</xdr:col>
      <xdr:colOff>559709</xdr:colOff>
      <xdr:row>65</xdr:row>
      <xdr:rowOff>75391</xdr:rowOff>
    </xdr:from>
    <xdr:to>
      <xdr:col>8</xdr:col>
      <xdr:colOff>568825</xdr:colOff>
      <xdr:row>79</xdr:row>
      <xdr:rowOff>48404</xdr:rowOff>
    </xdr:to>
    <xdr:sp macro="" textlink="">
      <xdr:nvSpPr>
        <xdr:cNvPr id="4" name="TextBox 3">
          <a:extLst>
            <a:ext uri="{FF2B5EF4-FFF2-40B4-BE49-F238E27FC236}">
              <a16:creationId xmlns:a16="http://schemas.microsoft.com/office/drawing/2014/main" id="{7EF01194-C24A-4B26-8CDD-9C7C46E86995}"/>
            </a:ext>
          </a:extLst>
        </xdr:cNvPr>
        <xdr:cNvSpPr txBox="1"/>
      </xdr:nvSpPr>
      <xdr:spPr>
        <a:xfrm rot="18900000">
          <a:off x="750209" y="12902391"/>
          <a:ext cx="10708866" cy="22590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5000" b="1">
              <a:solidFill>
                <a:schemeClr val="tx1">
                  <a:alpha val="40000"/>
                </a:schemeClr>
              </a:solidFill>
              <a:latin typeface="Arial Black" panose="020B0A04020102020204" pitchFamily="34" charset="0"/>
            </a:rPr>
            <a:t>EXAMPLE</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0</xdr:row>
      <xdr:rowOff>9525</xdr:rowOff>
    </xdr:from>
    <xdr:to>
      <xdr:col>5</xdr:col>
      <xdr:colOff>361950</xdr:colOff>
      <xdr:row>0</xdr:row>
      <xdr:rowOff>266700</xdr:rowOff>
    </xdr:to>
    <xdr:sp macro="" textlink="">
      <xdr:nvSpPr>
        <xdr:cNvPr id="2" name="TextBox 1">
          <a:extLst>
            <a:ext uri="{FF2B5EF4-FFF2-40B4-BE49-F238E27FC236}">
              <a16:creationId xmlns:a16="http://schemas.microsoft.com/office/drawing/2014/main" id="{9C800228-1B16-4647-B469-EF3D94A26E39}"/>
            </a:ext>
          </a:extLst>
        </xdr:cNvPr>
        <xdr:cNvSpPr txBox="1"/>
      </xdr:nvSpPr>
      <xdr:spPr>
        <a:xfrm>
          <a:off x="0" y="9525"/>
          <a:ext cx="6619875" cy="257175"/>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00">
              <a:ln>
                <a:noFill/>
              </a:ln>
              <a:latin typeface="Verdana" panose="020B0604030504040204" pitchFamily="34" charset="0"/>
              <a:ea typeface="Verdana" panose="020B0604030504040204" pitchFamily="34" charset="0"/>
            </a:rPr>
            <a:t>Woodland Creation Planning Grant Application and Plan (WCPG AAP) | v2.1 21/05/2025</a:t>
          </a:r>
        </a:p>
      </xdr:txBody>
    </xdr:sp>
    <xdr:clientData/>
  </xdr:twoCellAnchor>
  <mc:AlternateContent xmlns:mc="http://schemas.openxmlformats.org/markup-compatibility/2006">
    <mc:Choice xmlns:a14="http://schemas.microsoft.com/office/drawing/2010/main" Requires="a14">
      <xdr:twoCellAnchor editAs="oneCell">
        <xdr:from>
          <xdr:col>10</xdr:col>
          <xdr:colOff>717550</xdr:colOff>
          <xdr:row>29</xdr:row>
          <xdr:rowOff>57150</xdr:rowOff>
        </xdr:from>
        <xdr:to>
          <xdr:col>10</xdr:col>
          <xdr:colOff>1066800</xdr:colOff>
          <xdr:row>29</xdr:row>
          <xdr:rowOff>260350</xdr:rowOff>
        </xdr:to>
        <xdr:sp macro="" textlink="">
          <xdr:nvSpPr>
            <xdr:cNvPr id="24577" name="Check Box 1" hidden="1">
              <a:extLst>
                <a:ext uri="{63B3BB69-23CF-44E3-9099-C40C66FF867C}">
                  <a14:compatExt spid="_x0000_s24577"/>
                </a:ext>
                <a:ext uri="{FF2B5EF4-FFF2-40B4-BE49-F238E27FC236}">
                  <a16:creationId xmlns:a16="http://schemas.microsoft.com/office/drawing/2014/main" id="{00000000-0008-0000-1200-00000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11</xdr:col>
      <xdr:colOff>866775</xdr:colOff>
      <xdr:row>0</xdr:row>
      <xdr:rowOff>76200</xdr:rowOff>
    </xdr:from>
    <xdr:to>
      <xdr:col>12</xdr:col>
      <xdr:colOff>2741756</xdr:colOff>
      <xdr:row>1</xdr:row>
      <xdr:rowOff>295686</xdr:rowOff>
    </xdr:to>
    <xdr:pic>
      <xdr:nvPicPr>
        <xdr:cNvPr id="4" name="Picture 3">
          <a:extLst>
            <a:ext uri="{FF2B5EF4-FFF2-40B4-BE49-F238E27FC236}">
              <a16:creationId xmlns:a16="http://schemas.microsoft.com/office/drawing/2014/main" id="{5FA40588-B6C0-4980-98EA-50B4E48936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82700" y="76200"/>
          <a:ext cx="2922731" cy="5433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142875</xdr:colOff>
      <xdr:row>3</xdr:row>
      <xdr:rowOff>371475</xdr:rowOff>
    </xdr:from>
    <xdr:ext cx="5128007" cy="263790"/>
    <xdr:sp macro="" textlink="">
      <xdr:nvSpPr>
        <xdr:cNvPr id="5" name="TextBox 4">
          <a:hlinkClick xmlns:r="http://schemas.openxmlformats.org/officeDocument/2006/relationships" r:id="rId2"/>
          <a:extLst>
            <a:ext uri="{FF2B5EF4-FFF2-40B4-BE49-F238E27FC236}">
              <a16:creationId xmlns:a16="http://schemas.microsoft.com/office/drawing/2014/main" id="{E0C129AC-2AAF-E743-7D83-025A56C0A471}"/>
            </a:ext>
          </a:extLst>
        </xdr:cNvPr>
        <xdr:cNvSpPr txBox="1"/>
      </xdr:nvSpPr>
      <xdr:spPr>
        <a:xfrm>
          <a:off x="142875" y="1247775"/>
          <a:ext cx="5128007" cy="2637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GB" sz="1100" u="sng">
              <a:solidFill>
                <a:schemeClr val="accent1"/>
              </a:solidFill>
              <a:latin typeface="Verdana" panose="020B0604030504040204" pitchFamily="34" charset="0"/>
              <a:ea typeface="Verdana" panose="020B0604030504040204" pitchFamily="34" charset="0"/>
            </a:rPr>
            <a:t>Please follow G&amp;R Code: Constraints &amp; Consultation (for FC staff use)</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942975</xdr:colOff>
      <xdr:row>0</xdr:row>
      <xdr:rowOff>149225</xdr:rowOff>
    </xdr:from>
    <xdr:to>
      <xdr:col>2</xdr:col>
      <xdr:colOff>3859356</xdr:colOff>
      <xdr:row>1</xdr:row>
      <xdr:rowOff>502061</xdr:rowOff>
    </xdr:to>
    <xdr:pic>
      <xdr:nvPicPr>
        <xdr:cNvPr id="6" name="Picture 5">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0" y="149225"/>
          <a:ext cx="2913206" cy="5369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xdr:colOff>
      <xdr:row>0</xdr:row>
      <xdr:rowOff>0</xdr:rowOff>
    </xdr:from>
    <xdr:to>
      <xdr:col>2</xdr:col>
      <xdr:colOff>433917</xdr:colOff>
      <xdr:row>1</xdr:row>
      <xdr:rowOff>74083</xdr:rowOff>
    </xdr:to>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1" y="0"/>
          <a:ext cx="5577416" cy="264583"/>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00">
              <a:solidFill>
                <a:schemeClr val="dk1"/>
              </a:solidFill>
              <a:effectLst/>
              <a:latin typeface="Verdana" panose="020B0604030504040204" pitchFamily="34" charset="0"/>
              <a:ea typeface="Verdana" panose="020B0604030504040204" pitchFamily="34" charset="0"/>
              <a:cs typeface="+mn-cs"/>
            </a:rPr>
            <a:t>Woodland</a:t>
          </a:r>
          <a:r>
            <a:rPr lang="en-GB" sz="900" baseline="0">
              <a:solidFill>
                <a:schemeClr val="dk1"/>
              </a:solidFill>
              <a:effectLst/>
              <a:latin typeface="Verdana" panose="020B0604030504040204" pitchFamily="34" charset="0"/>
              <a:ea typeface="Verdana" panose="020B0604030504040204" pitchFamily="34" charset="0"/>
              <a:cs typeface="+mn-cs"/>
            </a:rPr>
            <a:t> Creation Planning Grant Application and Plan (WCPG AAP) </a:t>
          </a:r>
          <a:r>
            <a:rPr lang="en-GB" sz="900">
              <a:solidFill>
                <a:schemeClr val="dk1"/>
              </a:solidFill>
              <a:effectLst/>
              <a:latin typeface="Verdana" panose="020B0604030504040204" pitchFamily="34" charset="0"/>
              <a:ea typeface="Verdana" panose="020B0604030504040204" pitchFamily="34" charset="0"/>
              <a:cs typeface="+mn-cs"/>
            </a:rPr>
            <a:t>| v2.2</a:t>
          </a:r>
          <a:r>
            <a:rPr lang="en-GB" sz="900" baseline="0">
              <a:solidFill>
                <a:schemeClr val="dk1"/>
              </a:solidFill>
              <a:effectLst/>
              <a:latin typeface="Verdana" panose="020B0604030504040204" pitchFamily="34" charset="0"/>
              <a:ea typeface="Verdana" panose="020B0604030504040204" pitchFamily="34" charset="0"/>
              <a:cs typeface="+mn-cs"/>
            </a:rPr>
            <a:t> 09/03/2026</a:t>
          </a:r>
          <a:endParaRPr lang="en-GB" sz="900">
            <a:effectLst/>
            <a:latin typeface="Verdana" panose="020B0604030504040204" pitchFamily="34" charset="0"/>
            <a:ea typeface="Verdana" panose="020B0604030504040204" pitchFamily="34" charset="0"/>
          </a:endParaRPr>
        </a:p>
      </xdr:txBody>
    </xdr:sp>
    <xdr:clientData/>
  </xdr:twoCellAnchor>
  <xdr:twoCellAnchor>
    <xdr:from>
      <xdr:col>1</xdr:col>
      <xdr:colOff>0</xdr:colOff>
      <xdr:row>10</xdr:row>
      <xdr:rowOff>0</xdr:rowOff>
    </xdr:from>
    <xdr:to>
      <xdr:col>16384</xdr:col>
      <xdr:colOff>428625</xdr:colOff>
      <xdr:row>17</xdr:row>
      <xdr:rowOff>77788</xdr:rowOff>
    </xdr:to>
    <xdr:sp macro="" textlink="">
      <xdr:nvSpPr>
        <xdr:cNvPr id="3" name="TextBox 2">
          <a:extLst>
            <a:ext uri="{FF2B5EF4-FFF2-40B4-BE49-F238E27FC236}">
              <a16:creationId xmlns:a16="http://schemas.microsoft.com/office/drawing/2014/main" id="{5ABC151C-FCA8-4C75-B369-D816EDE03B4C}"/>
            </a:ext>
          </a:extLst>
        </xdr:cNvPr>
        <xdr:cNvSpPr txBox="1"/>
      </xdr:nvSpPr>
      <xdr:spPr>
        <a:xfrm rot="19186860">
          <a:off x="285750" y="3690938"/>
          <a:ext cx="10406063" cy="22685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5000" b="1">
              <a:solidFill>
                <a:schemeClr val="tx1">
                  <a:alpha val="40000"/>
                </a:schemeClr>
              </a:solidFill>
              <a:latin typeface="Arial Black" panose="020B0A04020102020204" pitchFamily="34" charset="0"/>
            </a:rPr>
            <a:t>EXAMPLE</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85725</xdr:colOff>
      <xdr:row>0</xdr:row>
      <xdr:rowOff>254000</xdr:rowOff>
    </xdr:to>
    <xdr:sp macro="" textlink="">
      <xdr:nvSpPr>
        <xdr:cNvPr id="2" name="TextBox 1">
          <a:extLst>
            <a:ext uri="{FF2B5EF4-FFF2-40B4-BE49-F238E27FC236}">
              <a16:creationId xmlns:a16="http://schemas.microsoft.com/office/drawing/2014/main" id="{CAEF38BE-EC49-4974-B009-125131EB220F}"/>
            </a:ext>
          </a:extLst>
        </xdr:cNvPr>
        <xdr:cNvSpPr txBox="1"/>
      </xdr:nvSpPr>
      <xdr:spPr>
        <a:xfrm>
          <a:off x="0" y="0"/>
          <a:ext cx="6667500" cy="254000"/>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00">
              <a:ln>
                <a:noFill/>
              </a:ln>
              <a:latin typeface="Verdana" panose="020B0604030504040204" pitchFamily="34" charset="0"/>
              <a:ea typeface="Verdana" panose="020B0604030504040204" pitchFamily="34" charset="0"/>
            </a:rPr>
            <a:t>Woodland Creation Planning Grant Application and Plan (WCPG AAP) | v2.1 21/05/2025</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1597025</xdr:colOff>
      <xdr:row>0</xdr:row>
      <xdr:rowOff>82550</xdr:rowOff>
    </xdr:from>
    <xdr:to>
      <xdr:col>2</xdr:col>
      <xdr:colOff>4399106</xdr:colOff>
      <xdr:row>1</xdr:row>
      <xdr:rowOff>435386</xdr:rowOff>
    </xdr:to>
    <xdr:pic>
      <xdr:nvPicPr>
        <xdr:cNvPr id="5" name="Picture 4">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35600" y="82550"/>
          <a:ext cx="2916381" cy="5338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1</xdr:rowOff>
    </xdr:from>
    <xdr:to>
      <xdr:col>2</xdr:col>
      <xdr:colOff>1571624</xdr:colOff>
      <xdr:row>1</xdr:row>
      <xdr:rowOff>1</xdr:rowOff>
    </xdr:to>
    <xdr:sp macro="" textlink="">
      <xdr:nvSpPr>
        <xdr:cNvPr id="11" name="TextBox 10">
          <a:extLst>
            <a:ext uri="{FF2B5EF4-FFF2-40B4-BE49-F238E27FC236}">
              <a16:creationId xmlns:a16="http://schemas.microsoft.com/office/drawing/2014/main" id="{00000000-0008-0000-0200-00000B000000}"/>
            </a:ext>
          </a:extLst>
        </xdr:cNvPr>
        <xdr:cNvSpPr txBox="1"/>
      </xdr:nvSpPr>
      <xdr:spPr>
        <a:xfrm>
          <a:off x="0" y="1"/>
          <a:ext cx="5324474" cy="190500"/>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00">
              <a:ln>
                <a:noFill/>
              </a:ln>
              <a:latin typeface="Verdana" panose="020B0604030504040204" pitchFamily="34" charset="0"/>
              <a:ea typeface="Verdana" panose="020B0604030504040204" pitchFamily="34" charset="0"/>
            </a:rPr>
            <a:t>Woodland Creation Planning Grant Application and Plan (WCPG AAP) | v2.2 09/03/2026</a:t>
          </a:r>
        </a:p>
      </xdr:txBody>
    </xdr:sp>
    <xdr:clientData/>
  </xdr:twoCellAnchor>
  <xdr:twoCellAnchor>
    <xdr:from>
      <xdr:col>1</xdr:col>
      <xdr:colOff>3160784</xdr:colOff>
      <xdr:row>0</xdr:row>
      <xdr:rowOff>0</xdr:rowOff>
    </xdr:from>
    <xdr:to>
      <xdr:col>2</xdr:col>
      <xdr:colOff>1826737</xdr:colOff>
      <xdr:row>35</xdr:row>
      <xdr:rowOff>298202</xdr:rowOff>
    </xdr:to>
    <xdr:sp macro="" textlink="">
      <xdr:nvSpPr>
        <xdr:cNvPr id="3" name="TextBox 2">
          <a:extLst>
            <a:ext uri="{FF2B5EF4-FFF2-40B4-BE49-F238E27FC236}">
              <a16:creationId xmlns:a16="http://schemas.microsoft.com/office/drawing/2014/main" id="{C023E9C8-7D72-4502-8C64-60A8AD70FACE}"/>
            </a:ext>
          </a:extLst>
        </xdr:cNvPr>
        <xdr:cNvSpPr txBox="1"/>
      </xdr:nvSpPr>
      <xdr:spPr>
        <a:xfrm rot="18793517">
          <a:off x="-862090" y="4276874"/>
          <a:ext cx="10902702" cy="23489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5000" b="1">
              <a:solidFill>
                <a:schemeClr val="tx1">
                  <a:alpha val="40000"/>
                </a:schemeClr>
              </a:solidFill>
              <a:latin typeface="Arial Black" panose="020B0A04020102020204" pitchFamily="34" charset="0"/>
            </a:rPr>
            <a:t>EXAMPLE</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5867400</xdr:colOff>
      <xdr:row>0</xdr:row>
      <xdr:rowOff>104775</xdr:rowOff>
    </xdr:from>
    <xdr:to>
      <xdr:col>1</xdr:col>
      <xdr:colOff>8494856</xdr:colOff>
      <xdr:row>2</xdr:row>
      <xdr:rowOff>44450</xdr:rowOff>
    </xdr:to>
    <xdr:pic>
      <xdr:nvPicPr>
        <xdr:cNvPr id="4" name="Picture 3">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34100" y="104775"/>
          <a:ext cx="2913206"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1</xdr:col>
      <xdr:colOff>5114925</xdr:colOff>
      <xdr:row>1</xdr:row>
      <xdr:rowOff>9525</xdr:rowOff>
    </xdr:to>
    <xdr:sp macro="" textlink="">
      <xdr:nvSpPr>
        <xdr:cNvPr id="6" name="TextBox 5">
          <a:extLst>
            <a:ext uri="{FF2B5EF4-FFF2-40B4-BE49-F238E27FC236}">
              <a16:creationId xmlns:a16="http://schemas.microsoft.com/office/drawing/2014/main" id="{00000000-0008-0000-0300-000006000000}"/>
            </a:ext>
          </a:extLst>
        </xdr:cNvPr>
        <xdr:cNvSpPr txBox="1"/>
      </xdr:nvSpPr>
      <xdr:spPr>
        <a:xfrm>
          <a:off x="0" y="0"/>
          <a:ext cx="5372100" cy="190500"/>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00">
              <a:ln>
                <a:noFill/>
              </a:ln>
              <a:latin typeface="Verdana" panose="020B0604030504040204" pitchFamily="34" charset="0"/>
              <a:ea typeface="Verdana" panose="020B0604030504040204" pitchFamily="34" charset="0"/>
            </a:rPr>
            <a:t>Woodland Creation Planning Grant Application and Plan (WCPG AAP) | v2.2 09/03/2026</a:t>
          </a:r>
        </a:p>
      </xdr:txBody>
    </xdr:sp>
    <xdr:clientData/>
  </xdr:twoCellAnchor>
  <xdr:twoCellAnchor>
    <xdr:from>
      <xdr:col>1</xdr:col>
      <xdr:colOff>380159</xdr:colOff>
      <xdr:row>3</xdr:row>
      <xdr:rowOff>183825</xdr:rowOff>
    </xdr:from>
    <xdr:to>
      <xdr:col>1</xdr:col>
      <xdr:colOff>8763272</xdr:colOff>
      <xdr:row>13</xdr:row>
      <xdr:rowOff>103626</xdr:rowOff>
    </xdr:to>
    <xdr:sp macro="" textlink="">
      <xdr:nvSpPr>
        <xdr:cNvPr id="2" name="TextBox 1">
          <a:extLst>
            <a:ext uri="{FF2B5EF4-FFF2-40B4-BE49-F238E27FC236}">
              <a16:creationId xmlns:a16="http://schemas.microsoft.com/office/drawing/2014/main" id="{786CFBFC-E751-434A-ABFF-40DADC0CF548}"/>
            </a:ext>
          </a:extLst>
        </xdr:cNvPr>
        <xdr:cNvSpPr txBox="1"/>
      </xdr:nvSpPr>
      <xdr:spPr>
        <a:xfrm rot="20058508">
          <a:off x="646859" y="945825"/>
          <a:ext cx="8383113" cy="2882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2000" b="1">
              <a:solidFill>
                <a:schemeClr val="tx1">
                  <a:alpha val="40000"/>
                </a:schemeClr>
              </a:solidFill>
              <a:latin typeface="Arial Black" panose="020B0A04020102020204" pitchFamily="34" charset="0"/>
            </a:rPr>
            <a:t>EXAMPLE</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4057650</xdr:colOff>
      <xdr:row>1</xdr:row>
      <xdr:rowOff>9525</xdr:rowOff>
    </xdr:from>
    <xdr:to>
      <xdr:col>5</xdr:col>
      <xdr:colOff>941531</xdr:colOff>
      <xdr:row>2</xdr:row>
      <xdr:rowOff>76611</xdr:rowOff>
    </xdr:to>
    <xdr:pic>
      <xdr:nvPicPr>
        <xdr:cNvPr id="3" name="Picture 2">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830300" y="190500"/>
          <a:ext cx="2913206" cy="5338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9525</xdr:colOff>
      <xdr:row>0</xdr:row>
      <xdr:rowOff>0</xdr:rowOff>
    </xdr:from>
    <xdr:to>
      <xdr:col>2</xdr:col>
      <xdr:colOff>1301750</xdr:colOff>
      <xdr:row>1</xdr:row>
      <xdr:rowOff>31750</xdr:rowOff>
    </xdr:to>
    <xdr:sp macro="" textlink="">
      <xdr:nvSpPr>
        <xdr:cNvPr id="4" name="TextBox 3">
          <a:extLst>
            <a:ext uri="{FF2B5EF4-FFF2-40B4-BE49-F238E27FC236}">
              <a16:creationId xmlns:a16="http://schemas.microsoft.com/office/drawing/2014/main" id="{00000000-0008-0000-0400-000004000000}"/>
            </a:ext>
          </a:extLst>
        </xdr:cNvPr>
        <xdr:cNvSpPr txBox="1"/>
      </xdr:nvSpPr>
      <xdr:spPr>
        <a:xfrm>
          <a:off x="9525" y="0"/>
          <a:ext cx="5271558" cy="222250"/>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00">
              <a:ln>
                <a:noFill/>
              </a:ln>
              <a:latin typeface="Verdana" panose="020B0604030504040204" pitchFamily="34" charset="0"/>
              <a:ea typeface="Verdana" panose="020B0604030504040204" pitchFamily="34" charset="0"/>
            </a:rPr>
            <a:t>Woodland Creation Planning Grant Application and Plan (WCPG AAP) | v2.2 09/03/2026</a:t>
          </a:r>
        </a:p>
      </xdr:txBody>
    </xdr:sp>
    <xdr:clientData/>
  </xdr:twoCellAnchor>
  <xdr:oneCellAnchor>
    <xdr:from>
      <xdr:col>4</xdr:col>
      <xdr:colOff>504825</xdr:colOff>
      <xdr:row>9</xdr:row>
      <xdr:rowOff>47625</xdr:rowOff>
    </xdr:from>
    <xdr:ext cx="184731" cy="264560"/>
    <xdr:sp macro="" textlink="">
      <xdr:nvSpPr>
        <xdr:cNvPr id="7" name="TextBox 6">
          <a:extLst>
            <a:ext uri="{FF2B5EF4-FFF2-40B4-BE49-F238E27FC236}">
              <a16:creationId xmlns:a16="http://schemas.microsoft.com/office/drawing/2014/main" id="{00000000-0008-0000-0400-000007000000}"/>
            </a:ext>
          </a:extLst>
        </xdr:cNvPr>
        <xdr:cNvSpPr txBox="1"/>
      </xdr:nvSpPr>
      <xdr:spPr>
        <a:xfrm>
          <a:off x="9829800" y="339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twoCellAnchor>
    <xdr:from>
      <xdr:col>1</xdr:col>
      <xdr:colOff>2425700</xdr:colOff>
      <xdr:row>12</xdr:row>
      <xdr:rowOff>19049</xdr:rowOff>
    </xdr:from>
    <xdr:to>
      <xdr:col>4</xdr:col>
      <xdr:colOff>3217863</xdr:colOff>
      <xdr:row>17</xdr:row>
      <xdr:rowOff>126999</xdr:rowOff>
    </xdr:to>
    <xdr:sp macro="" textlink="">
      <xdr:nvSpPr>
        <xdr:cNvPr id="2" name="TextBox 1">
          <a:extLst>
            <a:ext uri="{FF2B5EF4-FFF2-40B4-BE49-F238E27FC236}">
              <a16:creationId xmlns:a16="http://schemas.microsoft.com/office/drawing/2014/main" id="{6AD07046-64BD-4088-A887-41DA66F4CBED}"/>
            </a:ext>
          </a:extLst>
        </xdr:cNvPr>
        <xdr:cNvSpPr txBox="1"/>
      </xdr:nvSpPr>
      <xdr:spPr>
        <a:xfrm rot="19190539">
          <a:off x="2616200" y="4314824"/>
          <a:ext cx="10374313" cy="2832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5000" b="1">
              <a:solidFill>
                <a:schemeClr val="tx1">
                  <a:alpha val="40000"/>
                </a:schemeClr>
              </a:solidFill>
              <a:latin typeface="Arial Black" panose="020B0A04020102020204" pitchFamily="34" charset="0"/>
            </a:rPr>
            <a:t>EXAMPLE</a:t>
          </a:r>
        </a:p>
      </xdr:txBody>
    </xdr:sp>
    <xdr:clientData/>
  </xdr:twoCellAnchor>
  <xdr:twoCellAnchor>
    <xdr:from>
      <xdr:col>1</xdr:col>
      <xdr:colOff>2425700</xdr:colOff>
      <xdr:row>34</xdr:row>
      <xdr:rowOff>161925</xdr:rowOff>
    </xdr:from>
    <xdr:to>
      <xdr:col>4</xdr:col>
      <xdr:colOff>3211513</xdr:colOff>
      <xdr:row>38</xdr:row>
      <xdr:rowOff>7938</xdr:rowOff>
    </xdr:to>
    <xdr:sp macro="" textlink="">
      <xdr:nvSpPr>
        <xdr:cNvPr id="5" name="TextBox 4">
          <a:extLst>
            <a:ext uri="{FF2B5EF4-FFF2-40B4-BE49-F238E27FC236}">
              <a16:creationId xmlns:a16="http://schemas.microsoft.com/office/drawing/2014/main" id="{B09BEC40-8FD5-4C7D-82D5-D44C0754719D}"/>
            </a:ext>
          </a:extLst>
        </xdr:cNvPr>
        <xdr:cNvSpPr txBox="1"/>
      </xdr:nvSpPr>
      <xdr:spPr>
        <a:xfrm rot="19149325">
          <a:off x="2616200" y="19507200"/>
          <a:ext cx="10367963" cy="22082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5000" b="1">
              <a:solidFill>
                <a:schemeClr val="tx1">
                  <a:alpha val="40000"/>
                </a:schemeClr>
              </a:solidFill>
              <a:latin typeface="Arial Black" panose="020B0A04020102020204" pitchFamily="34" charset="0"/>
            </a:rPr>
            <a:t>EXAMPLE</a:t>
          </a:r>
        </a:p>
      </xdr:txBody>
    </xdr:sp>
    <xdr:clientData/>
  </xdr:twoCellAnchor>
  <xdr:twoCellAnchor>
    <xdr:from>
      <xdr:col>1</xdr:col>
      <xdr:colOff>2425700</xdr:colOff>
      <xdr:row>45</xdr:row>
      <xdr:rowOff>415925</xdr:rowOff>
    </xdr:from>
    <xdr:to>
      <xdr:col>4</xdr:col>
      <xdr:colOff>3211513</xdr:colOff>
      <xdr:row>47</xdr:row>
      <xdr:rowOff>1601788</xdr:rowOff>
    </xdr:to>
    <xdr:sp macro="" textlink="">
      <xdr:nvSpPr>
        <xdr:cNvPr id="6" name="TextBox 5">
          <a:extLst>
            <a:ext uri="{FF2B5EF4-FFF2-40B4-BE49-F238E27FC236}">
              <a16:creationId xmlns:a16="http://schemas.microsoft.com/office/drawing/2014/main" id="{19781BE5-2D5B-4053-827F-402032B8B5EE}"/>
            </a:ext>
          </a:extLst>
        </xdr:cNvPr>
        <xdr:cNvSpPr txBox="1"/>
      </xdr:nvSpPr>
      <xdr:spPr>
        <a:xfrm rot="19182643">
          <a:off x="2616200" y="26943050"/>
          <a:ext cx="10367963" cy="22526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5000" b="1">
              <a:solidFill>
                <a:schemeClr val="tx1">
                  <a:alpha val="40000"/>
                </a:schemeClr>
              </a:solidFill>
              <a:latin typeface="Arial Black" panose="020B0A04020102020204" pitchFamily="34" charset="0"/>
            </a:rPr>
            <a:t>EXAMPLE</a:t>
          </a:r>
        </a:p>
      </xdr:txBody>
    </xdr:sp>
    <xdr:clientData/>
  </xdr:twoCellAnchor>
  <xdr:twoCellAnchor>
    <xdr:from>
      <xdr:col>1</xdr:col>
      <xdr:colOff>2286000</xdr:colOff>
      <xdr:row>23</xdr:row>
      <xdr:rowOff>123825</xdr:rowOff>
    </xdr:from>
    <xdr:to>
      <xdr:col>4</xdr:col>
      <xdr:colOff>3759200</xdr:colOff>
      <xdr:row>28</xdr:row>
      <xdr:rowOff>373063</xdr:rowOff>
    </xdr:to>
    <xdr:sp macro="" textlink="">
      <xdr:nvSpPr>
        <xdr:cNvPr id="8" name="TextBox 7">
          <a:extLst>
            <a:ext uri="{FF2B5EF4-FFF2-40B4-BE49-F238E27FC236}">
              <a16:creationId xmlns:a16="http://schemas.microsoft.com/office/drawing/2014/main" id="{C71D0136-46FC-4687-9C46-F36E6ADEBAF7}"/>
            </a:ext>
          </a:extLst>
        </xdr:cNvPr>
        <xdr:cNvSpPr txBox="1"/>
      </xdr:nvSpPr>
      <xdr:spPr>
        <a:xfrm rot="19174888">
          <a:off x="2476500" y="11791950"/>
          <a:ext cx="11055350" cy="22685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5000" b="1">
              <a:solidFill>
                <a:schemeClr val="tx1">
                  <a:alpha val="40000"/>
                </a:schemeClr>
              </a:solidFill>
              <a:latin typeface="Arial Black" panose="020B0A04020102020204" pitchFamily="34" charset="0"/>
            </a:rPr>
            <a:t>EXAMPLE</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3692525</xdr:colOff>
      <xdr:row>0</xdr:row>
      <xdr:rowOff>82550</xdr:rowOff>
    </xdr:from>
    <xdr:to>
      <xdr:col>5</xdr:col>
      <xdr:colOff>1217756</xdr:colOff>
      <xdr:row>2</xdr:row>
      <xdr:rowOff>25811</xdr:rowOff>
    </xdr:to>
    <xdr:pic>
      <xdr:nvPicPr>
        <xdr:cNvPr id="2" name="Picture 1">
          <a:extLst>
            <a:ext uri="{FF2B5EF4-FFF2-40B4-BE49-F238E27FC236}">
              <a16:creationId xmlns:a16="http://schemas.microsoft.com/office/drawing/2014/main" id="{B0BFCEBA-7327-42CE-A6B4-947F6332D4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026900" y="82550"/>
          <a:ext cx="2916381" cy="5465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2</xdr:col>
      <xdr:colOff>1905000</xdr:colOff>
      <xdr:row>1</xdr:row>
      <xdr:rowOff>57150</xdr:rowOff>
    </xdr:to>
    <xdr:sp macro="" textlink="">
      <xdr:nvSpPr>
        <xdr:cNvPr id="6" name="TextBox 5">
          <a:extLst>
            <a:ext uri="{FF2B5EF4-FFF2-40B4-BE49-F238E27FC236}">
              <a16:creationId xmlns:a16="http://schemas.microsoft.com/office/drawing/2014/main" id="{5616686D-BA07-428D-9207-9332A04686D5}"/>
            </a:ext>
          </a:extLst>
        </xdr:cNvPr>
        <xdr:cNvSpPr txBox="1"/>
      </xdr:nvSpPr>
      <xdr:spPr>
        <a:xfrm>
          <a:off x="0" y="0"/>
          <a:ext cx="5543550" cy="247650"/>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00">
              <a:solidFill>
                <a:schemeClr val="dk1"/>
              </a:solidFill>
              <a:effectLst/>
              <a:latin typeface="Verdana" panose="020B0604030504040204" pitchFamily="34" charset="0"/>
              <a:ea typeface="Verdana" panose="020B0604030504040204" pitchFamily="34" charset="0"/>
              <a:cs typeface="+mn-cs"/>
            </a:rPr>
            <a:t>Woodland</a:t>
          </a:r>
          <a:r>
            <a:rPr lang="en-GB" sz="900" baseline="0">
              <a:solidFill>
                <a:schemeClr val="dk1"/>
              </a:solidFill>
              <a:effectLst/>
              <a:latin typeface="Verdana" panose="020B0604030504040204" pitchFamily="34" charset="0"/>
              <a:ea typeface="Verdana" panose="020B0604030504040204" pitchFamily="34" charset="0"/>
              <a:cs typeface="+mn-cs"/>
            </a:rPr>
            <a:t> Creation Planning Grant Application and Plan (WCPG AAP) </a:t>
          </a:r>
          <a:r>
            <a:rPr lang="en-GB" sz="900">
              <a:solidFill>
                <a:schemeClr val="dk1"/>
              </a:solidFill>
              <a:effectLst/>
              <a:latin typeface="Verdana" panose="020B0604030504040204" pitchFamily="34" charset="0"/>
              <a:ea typeface="Verdana" panose="020B0604030504040204" pitchFamily="34" charset="0"/>
              <a:cs typeface="+mn-cs"/>
            </a:rPr>
            <a:t>| v2.2</a:t>
          </a:r>
          <a:r>
            <a:rPr lang="en-GB" sz="900" baseline="0">
              <a:solidFill>
                <a:schemeClr val="dk1"/>
              </a:solidFill>
              <a:effectLst/>
              <a:latin typeface="Verdana" panose="020B0604030504040204" pitchFamily="34" charset="0"/>
              <a:ea typeface="Verdana" panose="020B0604030504040204" pitchFamily="34" charset="0"/>
              <a:cs typeface="+mn-cs"/>
            </a:rPr>
            <a:t> 09/03/2026</a:t>
          </a:r>
          <a:endParaRPr lang="en-GB" sz="900">
            <a:effectLst/>
            <a:latin typeface="Verdana" panose="020B0604030504040204" pitchFamily="34" charset="0"/>
            <a:ea typeface="Verdana" panose="020B0604030504040204" pitchFamily="34" charset="0"/>
          </a:endParaRPr>
        </a:p>
      </xdr:txBody>
    </xdr:sp>
    <xdr:clientData/>
  </xdr:twoCellAnchor>
  <xdr:twoCellAnchor>
    <xdr:from>
      <xdr:col>1</xdr:col>
      <xdr:colOff>1601787</xdr:colOff>
      <xdr:row>18</xdr:row>
      <xdr:rowOff>231770</xdr:rowOff>
    </xdr:from>
    <xdr:to>
      <xdr:col>4</xdr:col>
      <xdr:colOff>3429000</xdr:colOff>
      <xdr:row>22</xdr:row>
      <xdr:rowOff>288921</xdr:rowOff>
    </xdr:to>
    <xdr:sp macro="" textlink="">
      <xdr:nvSpPr>
        <xdr:cNvPr id="4" name="TextBox 3">
          <a:extLst>
            <a:ext uri="{FF2B5EF4-FFF2-40B4-BE49-F238E27FC236}">
              <a16:creationId xmlns:a16="http://schemas.microsoft.com/office/drawing/2014/main" id="{22373291-60FB-425F-A9F7-7E1C8DED43EB}"/>
            </a:ext>
          </a:extLst>
        </xdr:cNvPr>
        <xdr:cNvSpPr txBox="1"/>
      </xdr:nvSpPr>
      <xdr:spPr>
        <a:xfrm rot="18900000">
          <a:off x="1744662" y="11304583"/>
          <a:ext cx="10399713" cy="22717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5000" b="1">
              <a:solidFill>
                <a:schemeClr val="tx1">
                  <a:alpha val="40000"/>
                </a:schemeClr>
              </a:solidFill>
              <a:latin typeface="Arial Black" panose="020B0A04020102020204" pitchFamily="34" charset="0"/>
            </a:rPr>
            <a:t>EXAMPLE</a:t>
          </a:r>
        </a:p>
      </xdr:txBody>
    </xdr:sp>
    <xdr:clientData/>
  </xdr:twoCellAnchor>
  <xdr:twoCellAnchor>
    <xdr:from>
      <xdr:col>1</xdr:col>
      <xdr:colOff>1589087</xdr:colOff>
      <xdr:row>9</xdr:row>
      <xdr:rowOff>112728</xdr:rowOff>
    </xdr:from>
    <xdr:to>
      <xdr:col>4</xdr:col>
      <xdr:colOff>3649662</xdr:colOff>
      <xdr:row>15</xdr:row>
      <xdr:rowOff>819166</xdr:rowOff>
    </xdr:to>
    <xdr:sp macro="" textlink="">
      <xdr:nvSpPr>
        <xdr:cNvPr id="5" name="TextBox 4">
          <a:extLst>
            <a:ext uri="{FF2B5EF4-FFF2-40B4-BE49-F238E27FC236}">
              <a16:creationId xmlns:a16="http://schemas.microsoft.com/office/drawing/2014/main" id="{63968D86-236E-4340-818E-4FA31CE8BC01}"/>
            </a:ext>
          </a:extLst>
        </xdr:cNvPr>
        <xdr:cNvSpPr txBox="1"/>
      </xdr:nvSpPr>
      <xdr:spPr>
        <a:xfrm rot="18900000">
          <a:off x="1731962" y="3446478"/>
          <a:ext cx="10633075" cy="22780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5000" b="1">
              <a:solidFill>
                <a:schemeClr val="tx1">
                  <a:alpha val="40000"/>
                </a:schemeClr>
              </a:solidFill>
              <a:latin typeface="Arial Black" panose="020B0A04020102020204" pitchFamily="34" charset="0"/>
            </a:rPr>
            <a:t>EXAMPLE</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3721100</xdr:colOff>
      <xdr:row>0</xdr:row>
      <xdr:rowOff>63500</xdr:rowOff>
    </xdr:from>
    <xdr:to>
      <xdr:col>6</xdr:col>
      <xdr:colOff>17606</xdr:colOff>
      <xdr:row>2</xdr:row>
      <xdr:rowOff>9936</xdr:rowOff>
    </xdr:to>
    <xdr:pic>
      <xdr:nvPicPr>
        <xdr:cNvPr id="2" name="Picture 1">
          <a:extLst>
            <a:ext uri="{FF2B5EF4-FFF2-40B4-BE49-F238E27FC236}">
              <a16:creationId xmlns:a16="http://schemas.microsoft.com/office/drawing/2014/main" id="{6DEFE4EC-2EE4-422A-9F84-5FAB08302C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055475" y="63500"/>
          <a:ext cx="2916381" cy="5465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2</xdr:col>
      <xdr:colOff>1905000</xdr:colOff>
      <xdr:row>1</xdr:row>
      <xdr:rowOff>57150</xdr:rowOff>
    </xdr:to>
    <xdr:sp macro="" textlink="">
      <xdr:nvSpPr>
        <xdr:cNvPr id="3" name="TextBox 2">
          <a:extLst>
            <a:ext uri="{FF2B5EF4-FFF2-40B4-BE49-F238E27FC236}">
              <a16:creationId xmlns:a16="http://schemas.microsoft.com/office/drawing/2014/main" id="{00A07EA8-116E-468D-B3B2-CE576CDDA168}"/>
            </a:ext>
          </a:extLst>
        </xdr:cNvPr>
        <xdr:cNvSpPr txBox="1"/>
      </xdr:nvSpPr>
      <xdr:spPr>
        <a:xfrm>
          <a:off x="0" y="0"/>
          <a:ext cx="5543550" cy="247650"/>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00">
              <a:solidFill>
                <a:schemeClr val="dk1"/>
              </a:solidFill>
              <a:effectLst/>
              <a:latin typeface="Verdana" panose="020B0604030504040204" pitchFamily="34" charset="0"/>
              <a:ea typeface="Verdana" panose="020B0604030504040204" pitchFamily="34" charset="0"/>
              <a:cs typeface="+mn-cs"/>
            </a:rPr>
            <a:t>Woodland</a:t>
          </a:r>
          <a:r>
            <a:rPr lang="en-GB" sz="900" baseline="0">
              <a:solidFill>
                <a:schemeClr val="dk1"/>
              </a:solidFill>
              <a:effectLst/>
              <a:latin typeface="Verdana" panose="020B0604030504040204" pitchFamily="34" charset="0"/>
              <a:ea typeface="Verdana" panose="020B0604030504040204" pitchFamily="34" charset="0"/>
              <a:cs typeface="+mn-cs"/>
            </a:rPr>
            <a:t> Creation Planning Grant Application and Plan (WCPG AAP) </a:t>
          </a:r>
          <a:r>
            <a:rPr lang="en-GB" sz="900">
              <a:solidFill>
                <a:schemeClr val="dk1"/>
              </a:solidFill>
              <a:effectLst/>
              <a:latin typeface="Verdana" panose="020B0604030504040204" pitchFamily="34" charset="0"/>
              <a:ea typeface="Verdana" panose="020B0604030504040204" pitchFamily="34" charset="0"/>
              <a:cs typeface="+mn-cs"/>
            </a:rPr>
            <a:t>| v2.2 09/03/2026</a:t>
          </a:r>
          <a:endParaRPr lang="en-GB" sz="900">
            <a:effectLst/>
            <a:latin typeface="Verdana" panose="020B0604030504040204" pitchFamily="34" charset="0"/>
            <a:ea typeface="Verdana" panose="020B0604030504040204" pitchFamily="34" charset="0"/>
          </a:endParaRPr>
        </a:p>
      </xdr:txBody>
    </xdr:sp>
    <xdr:clientData/>
  </xdr:twoCellAnchor>
  <xdr:twoCellAnchor>
    <xdr:from>
      <xdr:col>1</xdr:col>
      <xdr:colOff>1266824</xdr:colOff>
      <xdr:row>39</xdr:row>
      <xdr:rowOff>57150</xdr:rowOff>
    </xdr:from>
    <xdr:to>
      <xdr:col>4</xdr:col>
      <xdr:colOff>3457575</xdr:colOff>
      <xdr:row>44</xdr:row>
      <xdr:rowOff>192088</xdr:rowOff>
    </xdr:to>
    <xdr:sp macro="" textlink="">
      <xdr:nvSpPr>
        <xdr:cNvPr id="4" name="TextBox 3">
          <a:extLst>
            <a:ext uri="{FF2B5EF4-FFF2-40B4-BE49-F238E27FC236}">
              <a16:creationId xmlns:a16="http://schemas.microsoft.com/office/drawing/2014/main" id="{B90CF549-A082-495B-9D7A-7DD8E5863332}"/>
            </a:ext>
          </a:extLst>
        </xdr:cNvPr>
        <xdr:cNvSpPr txBox="1"/>
      </xdr:nvSpPr>
      <xdr:spPr>
        <a:xfrm rot="18900000">
          <a:off x="1425574" y="18535650"/>
          <a:ext cx="10604501" cy="2293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5000" b="1">
              <a:solidFill>
                <a:schemeClr val="tx1">
                  <a:alpha val="40000"/>
                </a:schemeClr>
              </a:solidFill>
              <a:latin typeface="Arial Black" panose="020B0A04020102020204" pitchFamily="34" charset="0"/>
            </a:rPr>
            <a:t>EXAMPLE</a:t>
          </a:r>
        </a:p>
      </xdr:txBody>
    </xdr:sp>
    <xdr:clientData/>
  </xdr:twoCellAnchor>
  <xdr:twoCellAnchor>
    <xdr:from>
      <xdr:col>1</xdr:col>
      <xdr:colOff>1266824</xdr:colOff>
      <xdr:row>24</xdr:row>
      <xdr:rowOff>428625</xdr:rowOff>
    </xdr:from>
    <xdr:to>
      <xdr:col>4</xdr:col>
      <xdr:colOff>3265487</xdr:colOff>
      <xdr:row>28</xdr:row>
      <xdr:rowOff>80963</xdr:rowOff>
    </xdr:to>
    <xdr:sp macro="" textlink="">
      <xdr:nvSpPr>
        <xdr:cNvPr id="5" name="TextBox 4">
          <a:extLst>
            <a:ext uri="{FF2B5EF4-FFF2-40B4-BE49-F238E27FC236}">
              <a16:creationId xmlns:a16="http://schemas.microsoft.com/office/drawing/2014/main" id="{EE782827-39D6-4B4A-AA1A-CAFB77D255F0}"/>
            </a:ext>
          </a:extLst>
        </xdr:cNvPr>
        <xdr:cNvSpPr txBox="1"/>
      </xdr:nvSpPr>
      <xdr:spPr>
        <a:xfrm rot="18900000">
          <a:off x="1425574" y="11255375"/>
          <a:ext cx="10412413" cy="22558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5000" b="1">
              <a:solidFill>
                <a:schemeClr val="tx1">
                  <a:alpha val="40000"/>
                </a:schemeClr>
              </a:solidFill>
              <a:latin typeface="Arial Black" panose="020B0A04020102020204" pitchFamily="34" charset="0"/>
            </a:rPr>
            <a:t>EXAMPLE</a:t>
          </a:r>
        </a:p>
      </xdr:txBody>
    </xdr:sp>
    <xdr:clientData/>
  </xdr:twoCellAnchor>
  <xdr:twoCellAnchor>
    <xdr:from>
      <xdr:col>1</xdr:col>
      <xdr:colOff>1269999</xdr:colOff>
      <xdr:row>9</xdr:row>
      <xdr:rowOff>187325</xdr:rowOff>
    </xdr:from>
    <xdr:to>
      <xdr:col>4</xdr:col>
      <xdr:colOff>3268662</xdr:colOff>
      <xdr:row>16</xdr:row>
      <xdr:rowOff>207963</xdr:rowOff>
    </xdr:to>
    <xdr:sp macro="" textlink="">
      <xdr:nvSpPr>
        <xdr:cNvPr id="6" name="TextBox 5">
          <a:extLst>
            <a:ext uri="{FF2B5EF4-FFF2-40B4-BE49-F238E27FC236}">
              <a16:creationId xmlns:a16="http://schemas.microsoft.com/office/drawing/2014/main" id="{F7833ABE-2894-4F2D-9B12-844B0BD7B357}"/>
            </a:ext>
          </a:extLst>
        </xdr:cNvPr>
        <xdr:cNvSpPr txBox="1"/>
      </xdr:nvSpPr>
      <xdr:spPr>
        <a:xfrm rot="18900000">
          <a:off x="1428749" y="3552825"/>
          <a:ext cx="10412413" cy="22431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5000" b="1">
              <a:solidFill>
                <a:schemeClr val="tx1">
                  <a:alpha val="40000"/>
                </a:schemeClr>
              </a:solidFill>
              <a:latin typeface="Arial Black" panose="020B0A04020102020204" pitchFamily="34" charset="0"/>
            </a:rPr>
            <a:t>EXAMPLE</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3238500</xdr:colOff>
      <xdr:row>0</xdr:row>
      <xdr:rowOff>57150</xdr:rowOff>
    </xdr:from>
    <xdr:to>
      <xdr:col>5</xdr:col>
      <xdr:colOff>1020906</xdr:colOff>
      <xdr:row>2</xdr:row>
      <xdr:rowOff>9936</xdr:rowOff>
    </xdr:to>
    <xdr:pic>
      <xdr:nvPicPr>
        <xdr:cNvPr id="4" name="Picture 3">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077700" y="57150"/>
          <a:ext cx="2840181" cy="5338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2</xdr:col>
      <xdr:colOff>1533525</xdr:colOff>
      <xdr:row>1</xdr:row>
      <xdr:rowOff>19050</xdr:rowOff>
    </xdr:to>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0" y="0"/>
          <a:ext cx="5295900" cy="209550"/>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00">
              <a:ln>
                <a:noFill/>
              </a:ln>
              <a:latin typeface="Verdana" panose="020B0604030504040204" pitchFamily="34" charset="0"/>
              <a:ea typeface="Verdana" panose="020B0604030504040204" pitchFamily="34" charset="0"/>
            </a:rPr>
            <a:t>Woodland</a:t>
          </a:r>
          <a:r>
            <a:rPr lang="en-GB" sz="900" baseline="0">
              <a:ln>
                <a:noFill/>
              </a:ln>
              <a:latin typeface="Verdana" panose="020B0604030504040204" pitchFamily="34" charset="0"/>
              <a:ea typeface="Verdana" panose="020B0604030504040204" pitchFamily="34" charset="0"/>
            </a:rPr>
            <a:t> Creation Planning Grant Application and Plan (WCPG AAP)</a:t>
          </a:r>
          <a:r>
            <a:rPr lang="en-GB" sz="900">
              <a:ln>
                <a:noFill/>
              </a:ln>
              <a:latin typeface="Verdana" panose="020B0604030504040204" pitchFamily="34" charset="0"/>
              <a:ea typeface="Verdana" panose="020B0604030504040204" pitchFamily="34" charset="0"/>
            </a:rPr>
            <a:t>| v2.2 09/03/2026</a:t>
          </a:r>
          <a:endParaRPr lang="en-GB" sz="900" baseline="0">
            <a:ln>
              <a:noFill/>
            </a:ln>
            <a:latin typeface="Verdana" panose="020B0604030504040204" pitchFamily="34" charset="0"/>
            <a:ea typeface="Verdana" panose="020B0604030504040204" pitchFamily="34" charset="0"/>
          </a:endParaRPr>
        </a:p>
      </xdr:txBody>
    </xdr:sp>
    <xdr:clientData/>
  </xdr:twoCellAnchor>
  <xdr:twoCellAnchor>
    <xdr:from>
      <xdr:col>1</xdr:col>
      <xdr:colOff>2476499</xdr:colOff>
      <xdr:row>17</xdr:row>
      <xdr:rowOff>288917</xdr:rowOff>
    </xdr:from>
    <xdr:to>
      <xdr:col>4</xdr:col>
      <xdr:colOff>4146549</xdr:colOff>
      <xdr:row>18</xdr:row>
      <xdr:rowOff>455605</xdr:rowOff>
    </xdr:to>
    <xdr:sp macro="" textlink="">
      <xdr:nvSpPr>
        <xdr:cNvPr id="3" name="TextBox 2">
          <a:extLst>
            <a:ext uri="{FF2B5EF4-FFF2-40B4-BE49-F238E27FC236}">
              <a16:creationId xmlns:a16="http://schemas.microsoft.com/office/drawing/2014/main" id="{B4A84666-9346-4240-9460-2689E0777EDD}"/>
            </a:ext>
          </a:extLst>
        </xdr:cNvPr>
        <xdr:cNvSpPr txBox="1"/>
      </xdr:nvSpPr>
      <xdr:spPr>
        <a:xfrm rot="18900000">
          <a:off x="2738437" y="12147542"/>
          <a:ext cx="10671175" cy="1976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5000" b="1">
              <a:solidFill>
                <a:schemeClr val="tx1">
                  <a:alpha val="40000"/>
                </a:schemeClr>
              </a:solidFill>
              <a:latin typeface="Arial Black" panose="020B0A04020102020204" pitchFamily="34" charset="0"/>
            </a:rPr>
            <a:t>EXAMPLE</a:t>
          </a:r>
        </a:p>
      </xdr:txBody>
    </xdr:sp>
    <xdr:clientData/>
  </xdr:twoCellAnchor>
  <xdr:twoCellAnchor>
    <xdr:from>
      <xdr:col>1</xdr:col>
      <xdr:colOff>2476499</xdr:colOff>
      <xdr:row>11</xdr:row>
      <xdr:rowOff>82561</xdr:rowOff>
    </xdr:from>
    <xdr:to>
      <xdr:col>4</xdr:col>
      <xdr:colOff>3878262</xdr:colOff>
      <xdr:row>13</xdr:row>
      <xdr:rowOff>1846274</xdr:rowOff>
    </xdr:to>
    <xdr:sp macro="" textlink="">
      <xdr:nvSpPr>
        <xdr:cNvPr id="5" name="TextBox 4">
          <a:extLst>
            <a:ext uri="{FF2B5EF4-FFF2-40B4-BE49-F238E27FC236}">
              <a16:creationId xmlns:a16="http://schemas.microsoft.com/office/drawing/2014/main" id="{9EC79C39-C6C8-480C-AE36-93D814C482BA}"/>
            </a:ext>
          </a:extLst>
        </xdr:cNvPr>
        <xdr:cNvSpPr txBox="1"/>
      </xdr:nvSpPr>
      <xdr:spPr>
        <a:xfrm rot="18900000">
          <a:off x="2738437" y="4035436"/>
          <a:ext cx="10402888" cy="22875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5000" b="1">
              <a:solidFill>
                <a:schemeClr val="tx1">
                  <a:alpha val="40000"/>
                </a:schemeClr>
              </a:solidFill>
              <a:latin typeface="Arial Black" panose="020B0A04020102020204" pitchFamily="34" charset="0"/>
            </a:rPr>
            <a:t>EXAMPLE</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3505200</xdr:colOff>
      <xdr:row>0</xdr:row>
      <xdr:rowOff>66675</xdr:rowOff>
    </xdr:from>
    <xdr:to>
      <xdr:col>5</xdr:col>
      <xdr:colOff>1436831</xdr:colOff>
      <xdr:row>2</xdr:row>
      <xdr:rowOff>9936</xdr:rowOff>
    </xdr:to>
    <xdr:pic>
      <xdr:nvPicPr>
        <xdr:cNvPr id="3" name="Picture 2">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791950" y="66675"/>
          <a:ext cx="2789381" cy="5338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2</xdr:col>
      <xdr:colOff>1657350</xdr:colOff>
      <xdr:row>1</xdr:row>
      <xdr:rowOff>9525</xdr:rowOff>
    </xdr:to>
    <xdr:sp macro="" textlink="">
      <xdr:nvSpPr>
        <xdr:cNvPr id="4" name="TextBox 3">
          <a:extLst>
            <a:ext uri="{FF2B5EF4-FFF2-40B4-BE49-F238E27FC236}">
              <a16:creationId xmlns:a16="http://schemas.microsoft.com/office/drawing/2014/main" id="{00000000-0008-0000-0700-000004000000}"/>
            </a:ext>
          </a:extLst>
        </xdr:cNvPr>
        <xdr:cNvSpPr txBox="1"/>
      </xdr:nvSpPr>
      <xdr:spPr>
        <a:xfrm>
          <a:off x="0" y="0"/>
          <a:ext cx="5391150" cy="200025"/>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00">
              <a:ln>
                <a:noFill/>
              </a:ln>
              <a:latin typeface="Verdana" panose="020B0604030504040204" pitchFamily="34" charset="0"/>
              <a:ea typeface="Verdana" panose="020B0604030504040204" pitchFamily="34" charset="0"/>
            </a:rPr>
            <a:t>Woodland</a:t>
          </a:r>
          <a:r>
            <a:rPr lang="en-GB" sz="900" baseline="0">
              <a:ln>
                <a:noFill/>
              </a:ln>
              <a:latin typeface="Verdana" panose="020B0604030504040204" pitchFamily="34" charset="0"/>
              <a:ea typeface="Verdana" panose="020B0604030504040204" pitchFamily="34" charset="0"/>
            </a:rPr>
            <a:t> Creation Planning Grant Application and Plan (WCPG AAP) </a:t>
          </a:r>
          <a:r>
            <a:rPr lang="en-GB" sz="900">
              <a:ln>
                <a:noFill/>
              </a:ln>
              <a:latin typeface="Verdana" panose="020B0604030504040204" pitchFamily="34" charset="0"/>
              <a:ea typeface="Verdana" panose="020B0604030504040204" pitchFamily="34" charset="0"/>
            </a:rPr>
            <a:t>| v2.2 09/03/2026</a:t>
          </a:r>
          <a:endParaRPr lang="en-GB" sz="900" baseline="0">
            <a:ln>
              <a:noFill/>
            </a:ln>
            <a:latin typeface="Verdana" panose="020B0604030504040204" pitchFamily="34" charset="0"/>
            <a:ea typeface="Verdana" panose="020B0604030504040204" pitchFamily="34" charset="0"/>
          </a:endParaRPr>
        </a:p>
      </xdr:txBody>
    </xdr:sp>
    <xdr:clientData/>
  </xdr:twoCellAnchor>
  <xdr:twoCellAnchor>
    <xdr:from>
      <xdr:col>1</xdr:col>
      <xdr:colOff>2482852</xdr:colOff>
      <xdr:row>8</xdr:row>
      <xdr:rowOff>342905</xdr:rowOff>
    </xdr:from>
    <xdr:to>
      <xdr:col>4</xdr:col>
      <xdr:colOff>4275140</xdr:colOff>
      <xdr:row>14</xdr:row>
      <xdr:rowOff>152405</xdr:rowOff>
    </xdr:to>
    <xdr:sp macro="" textlink="">
      <xdr:nvSpPr>
        <xdr:cNvPr id="2" name="TextBox 1">
          <a:extLst>
            <a:ext uri="{FF2B5EF4-FFF2-40B4-BE49-F238E27FC236}">
              <a16:creationId xmlns:a16="http://schemas.microsoft.com/office/drawing/2014/main" id="{1DE449E8-0D40-4A4F-AFEB-2600A6F6559F}"/>
            </a:ext>
          </a:extLst>
        </xdr:cNvPr>
        <xdr:cNvSpPr txBox="1"/>
      </xdr:nvSpPr>
      <xdr:spPr>
        <a:xfrm rot="18900000">
          <a:off x="2720977" y="3414718"/>
          <a:ext cx="10412413" cy="1833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5000" b="1">
              <a:solidFill>
                <a:schemeClr val="tx1">
                  <a:alpha val="40000"/>
                </a:schemeClr>
              </a:solidFill>
              <a:latin typeface="Arial Black" panose="020B0A04020102020204" pitchFamily="34" charset="0"/>
            </a:rPr>
            <a:t>EXAMPLE</a:t>
          </a:r>
        </a:p>
      </xdr:txBody>
    </xdr:sp>
    <xdr:clientData/>
  </xdr:twoCellAnchor>
  <xdr:twoCellAnchor>
    <xdr:from>
      <xdr:col>1</xdr:col>
      <xdr:colOff>2493954</xdr:colOff>
      <xdr:row>35</xdr:row>
      <xdr:rowOff>684209</xdr:rowOff>
    </xdr:from>
    <xdr:to>
      <xdr:col>4</xdr:col>
      <xdr:colOff>4260842</xdr:colOff>
      <xdr:row>41</xdr:row>
      <xdr:rowOff>74610</xdr:rowOff>
    </xdr:to>
    <xdr:sp macro="" textlink="">
      <xdr:nvSpPr>
        <xdr:cNvPr id="5" name="TextBox 4">
          <a:extLst>
            <a:ext uri="{FF2B5EF4-FFF2-40B4-BE49-F238E27FC236}">
              <a16:creationId xmlns:a16="http://schemas.microsoft.com/office/drawing/2014/main" id="{052F0236-3EAC-423F-9E1A-708BFED06E59}"/>
            </a:ext>
          </a:extLst>
        </xdr:cNvPr>
        <xdr:cNvSpPr txBox="1"/>
      </xdr:nvSpPr>
      <xdr:spPr>
        <a:xfrm rot="18900000">
          <a:off x="2732079" y="17567272"/>
          <a:ext cx="10387013" cy="22717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5000" b="1">
              <a:solidFill>
                <a:schemeClr val="tx1">
                  <a:alpha val="40000"/>
                </a:schemeClr>
              </a:solidFill>
              <a:latin typeface="Arial Black" panose="020B0A04020102020204" pitchFamily="34" charset="0"/>
            </a:rPr>
            <a:t>EXAMPLE</a:t>
          </a:r>
        </a:p>
      </xdr:txBody>
    </xdr:sp>
    <xdr:clientData/>
  </xdr:twoCellAnchor>
  <xdr:twoCellAnchor>
    <xdr:from>
      <xdr:col>1</xdr:col>
      <xdr:colOff>2506660</xdr:colOff>
      <xdr:row>23</xdr:row>
      <xdr:rowOff>612792</xdr:rowOff>
    </xdr:from>
    <xdr:to>
      <xdr:col>4</xdr:col>
      <xdr:colOff>4298948</xdr:colOff>
      <xdr:row>26</xdr:row>
      <xdr:rowOff>1319230</xdr:rowOff>
    </xdr:to>
    <xdr:sp macro="" textlink="">
      <xdr:nvSpPr>
        <xdr:cNvPr id="6" name="TextBox 5">
          <a:extLst>
            <a:ext uri="{FF2B5EF4-FFF2-40B4-BE49-F238E27FC236}">
              <a16:creationId xmlns:a16="http://schemas.microsoft.com/office/drawing/2014/main" id="{D9533381-D337-4774-8960-C4044C785B81}"/>
            </a:ext>
          </a:extLst>
        </xdr:cNvPr>
        <xdr:cNvSpPr txBox="1"/>
      </xdr:nvSpPr>
      <xdr:spPr>
        <a:xfrm rot="18900000">
          <a:off x="2744785" y="10566417"/>
          <a:ext cx="10412413" cy="22780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5000" b="1">
              <a:solidFill>
                <a:schemeClr val="tx1">
                  <a:alpha val="40000"/>
                </a:schemeClr>
              </a:solidFill>
              <a:latin typeface="Arial Black" panose="020B0A04020102020204" pitchFamily="34" charset="0"/>
            </a:rPr>
            <a:t>EXAMPLE</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vicki.howlett\Downloads\EWCO%20Application%20Form%20v2.4%20Published%2001.11.2023.xlsm" TargetMode="External"/><Relationship Id="rId1" Type="http://schemas.openxmlformats.org/officeDocument/2006/relationships/externalLinkPath" Target="https://forestryengland.sharepoint.com/Users/vicki.howlett/Downloads/EWCO%20Application%20Form%20v2.4%20Published%2001.11.2023.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forestryengland.sharepoint.com/sites/FS-NGR-Teams-DM-ID/EWCO/01%20Scheme%20Documentation/02%20External/02%20Working%20Versions/EWCO%20Application%20Form%20v2.0%20WORKING.xlsm" TargetMode="External"/><Relationship Id="rId1" Type="http://schemas.openxmlformats.org/officeDocument/2006/relationships/externalLinkPath" Target="https://forestryengland.sharepoint.com/sites/FS-NGR-Teams-DM-ID/EWCO/01%20Scheme%20Documentation/02%20External/02%20Working%20Versions/EWCO%20Application%20Form%20v2.0%20WORKING.xlsm"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forestryengland.sharepoint.com/sites/FS-NGR-Teams-DM-ID/WCPG/02%20WCPG%20Reviews%20&amp;%20Feedback/Phase%202/Documents%20(working)/Application%20&amp;%20Plan/Tabs%20only%20-%20CCLPs-TSBC-EIAs-working-version.xlsx" TargetMode="External"/><Relationship Id="rId1" Type="http://schemas.openxmlformats.org/officeDocument/2006/relationships/externalLinkPath" Target="https://forestryengland.sharepoint.com/sites/FS-NGR-Teams-DM-ID/WCPG/02%20WCPG%20Reviews%20&amp;%20Feedback/Phase%202%20Dec%2024/Documents%20to%20publish%20(final)/Forms/Tabs%20only%20-%20CCLPs-TSBC-EIAs-working-version.xlsx" TargetMode="External"/></Relationships>
</file>

<file path=xl/externalLinks/_rels/externalLink4.xml.rels><?xml version="1.0" encoding="UTF-8" standalone="yes"?>
<Relationships xmlns="http://schemas.openxmlformats.org/package/2006/relationships"><Relationship Id="rId3" Type="http://schemas.openxmlformats.org/officeDocument/2006/relationships/externalLinkPath" Target="https://forestryengland.sharepoint.com/sites/FS-NGR-Teams-DM-ID/WCPG/02%20WCPG%20Reviews%20&amp;%20Feedback/Phase%202/Documents%20(working)/Application%20&amp;%20Plan/Suggestions%20for%20WCPG%20AAP%20December%202024%20Review/Updating%20Landscape-related%20details%20in%20AAP/WCPG_Application_Plan_v2.0_landscape-edits.xlsx" TargetMode="External"/><Relationship Id="rId2" Type="http://schemas.microsoft.com/office/2019/04/relationships/externalLinkLongPath" Target="https://forestryengland.sharepoint.com/sites/FS-NGR-Teams-DM-ID/WCPG/02%20WCPG%20Reviews%20&amp;%20Feedback/Phase%202%20Dec%2024/Documents%20to%20publish%20(final)/Forms/Suggestions%20for%20WCPG%20AAP%20December%202024%20Review/Updating%20Landscape-related%20details%20in%20AAP/WCPG_Application_Plan_v2.0_landscape-edits.xlsx?80896EB1" TargetMode="External"/><Relationship Id="rId1" Type="http://schemas.openxmlformats.org/officeDocument/2006/relationships/externalLinkPath" Target="file:///\\80896EB1\WCPG_Application_Plan_v2.0_landscape-edit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forestryengland.sharepoint.com/sites/CS-EWCO/Shared%20Documents/EWCG%20(late%20spring%202021)/Rachels%20%20and%20%20Ava%20Working%20docs/Ava/UNLOCKED%20CS%20WCM%20application%20form%20annex%20(CS03c)%20v5.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2vmfil001\group\CS\2017%20Development\Woodland\HT%20Negotiation%20Schedule%20Template%20(Annex%202)%202017%20DRAFT%20220217%20v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tion"/>
      <sheetName val="1 - Site Details"/>
      <sheetName val="2 - Applicant Details"/>
      <sheetName val="3 - Land Summary"/>
      <sheetName val="WCP 1 - Outline"/>
      <sheetName val="WCP 2 - Objectives &amp; Threats"/>
      <sheetName val="WCP 3 - Constraints"/>
      <sheetName val="WCP 4 - Envt Checks"/>
      <sheetName val="WCP 5 - Contacts"/>
      <sheetName val="Species List"/>
      <sheetName val="4 - Species Breakdown"/>
      <sheetName val="5 - Composition &amp; ACs"/>
      <sheetName val="6 - Standard Cost Items"/>
      <sheetName val="7 - Operational Plan"/>
      <sheetName val="8 - Infrastructure"/>
      <sheetName val="9 - Scoring"/>
      <sheetName val="10 - Grant Values (£)"/>
      <sheetName val="WCC Summary"/>
      <sheetName val="Tree Procurement Summary "/>
      <sheetName val="Look Up 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tion"/>
      <sheetName val="1 - Site Details"/>
      <sheetName val="2 - Applicant Details"/>
      <sheetName val="3 - Land Summary"/>
      <sheetName val="WCP 1 - Outline"/>
      <sheetName val="WCP 2 - Objectives &amp; Threats"/>
      <sheetName val="WCP 3 - Constraints"/>
      <sheetName val="WCP 4 - Envt Checks"/>
      <sheetName val="WCP 5 - Contacts"/>
      <sheetName val="Species List"/>
      <sheetName val="4 - Species Breakdown"/>
      <sheetName val="5 - Composition &amp; ACs"/>
      <sheetName val="6 - Standard Cost Items"/>
      <sheetName val="7 - Operational Plan"/>
      <sheetName val="8 - Infrastructure"/>
      <sheetName val="9 - Scoring"/>
      <sheetName val="10 - Grant Values (£)"/>
      <sheetName val="WCC Summary"/>
      <sheetName val="Tree Procurement Summary "/>
      <sheetName val="Look Up 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tion"/>
      <sheetName val="Site Details"/>
      <sheetName val="Applicant Details"/>
      <sheetName val="Objectives"/>
      <sheetName val="Biodiversity &amp; Geology"/>
      <sheetName val="Landscape &amp; Water"/>
      <sheetName val="Historic Environment"/>
      <sheetName val="Silviculture, Soil &amp; Climate"/>
      <sheetName val="Access &amp; Local Interests"/>
      <sheetName val="Stage 1 Assessment &amp; Summary"/>
      <sheetName val="Survey &amp; Analysis"/>
      <sheetName val="EPS assessment"/>
      <sheetName val="Design Concept Development"/>
      <sheetName val="Stakeholder Engagement"/>
      <sheetName val="Final Design Plan"/>
      <sheetName val="Species Breakdown"/>
      <sheetName val="Species List"/>
      <sheetName val="Tree Procurement Summary "/>
      <sheetName val="EIAs Applicant"/>
      <sheetName val="EIAs-Checklist-10A"/>
      <sheetName val="EIAs-Checklist-10B"/>
      <sheetName val="EIAs Project Thresholds"/>
      <sheetName val="CCLPs-v1"/>
      <sheetName val="EIAs-Applicant-v1"/>
      <sheetName val="EIAs-Checklist-10A-v1"/>
      <sheetName val="EIAs-Checklist-10B-v1"/>
      <sheetName val="EIAs Project Thresholds-v1"/>
      <sheetName val="Data (hidd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Introduction"/>
      <sheetName val="Site Details"/>
      <sheetName val="Applicant Details"/>
      <sheetName val="Objectives"/>
      <sheetName val="Biodiversity &amp; Geology"/>
      <sheetName val="Landscape"/>
      <sheetName val="(v2.0)Landscape &amp; Water"/>
      <sheetName val="Water"/>
      <sheetName val="Historic Environment"/>
      <sheetName val="Silviculture, Soil &amp; Climate"/>
      <sheetName val="Access &amp; Local Interests"/>
      <sheetName val="Stage 1 Assessment &amp; Summary"/>
      <sheetName val="Survey &amp; Analysis"/>
      <sheetName val="EPS assessment"/>
      <sheetName val="Design Concept Development"/>
      <sheetName val="Stakeholder Engagement"/>
      <sheetName val="Final Design Plan"/>
      <sheetName val="Species Breakdown"/>
      <sheetName val="Species List"/>
      <sheetName val="Tree Procurement Summary "/>
      <sheetName val="Data (hidd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HERE"/>
      <sheetName val="a. Land Summary"/>
      <sheetName val="b. WCP Outline"/>
      <sheetName val="c. WCP Objectives"/>
      <sheetName val="d. WCP Constraints"/>
      <sheetName val="e. WCP Contacts"/>
      <sheetName val="f. WCP - Envt Checks"/>
      <sheetName val="Species List"/>
      <sheetName val="j. Scoring"/>
      <sheetName val="g. WCP Item Detail"/>
      <sheetName val="h. Creation Items"/>
      <sheetName val="i. Capital item FY2"/>
      <sheetName val="Summary"/>
      <sheetName val="Data"/>
    </sheetNames>
    <sheetDataSet>
      <sheetData sheetId="0"/>
      <sheetData sheetId="1">
        <row r="11">
          <cell r="L11" t="str">
            <v>For use in Annex 2e drop down</v>
          </cell>
        </row>
        <row r="12">
          <cell r="L12" t="str">
            <v>ParcelList ID</v>
          </cell>
        </row>
        <row r="14">
          <cell r="L14" t="str">
            <v/>
          </cell>
        </row>
        <row r="15">
          <cell r="L15" t="str">
            <v/>
          </cell>
        </row>
        <row r="16">
          <cell r="L16" t="str">
            <v/>
          </cell>
        </row>
        <row r="17">
          <cell r="L17" t="str">
            <v/>
          </cell>
        </row>
        <row r="18">
          <cell r="L18" t="str">
            <v/>
          </cell>
        </row>
        <row r="19">
          <cell r="L19" t="str">
            <v/>
          </cell>
        </row>
        <row r="20">
          <cell r="L20" t="str">
            <v/>
          </cell>
        </row>
        <row r="21">
          <cell r="L21" t="str">
            <v/>
          </cell>
        </row>
        <row r="22">
          <cell r="L22" t="str">
            <v/>
          </cell>
        </row>
        <row r="23">
          <cell r="L23" t="str">
            <v/>
          </cell>
        </row>
        <row r="24">
          <cell r="L24" t="str">
            <v/>
          </cell>
        </row>
        <row r="25">
          <cell r="L25" t="str">
            <v/>
          </cell>
        </row>
        <row r="26">
          <cell r="L26" t="str">
            <v/>
          </cell>
        </row>
        <row r="27">
          <cell r="L27" t="str">
            <v/>
          </cell>
        </row>
        <row r="28">
          <cell r="L28" t="str">
            <v/>
          </cell>
        </row>
        <row r="29">
          <cell r="L29" t="str">
            <v/>
          </cell>
        </row>
        <row r="30">
          <cell r="L30" t="str">
            <v/>
          </cell>
        </row>
        <row r="31">
          <cell r="L31" t="str">
            <v/>
          </cell>
        </row>
        <row r="32">
          <cell r="L32" t="str">
            <v/>
          </cell>
        </row>
        <row r="33">
          <cell r="L33" t="str">
            <v/>
          </cell>
        </row>
        <row r="34">
          <cell r="L34" t="str">
            <v/>
          </cell>
        </row>
        <row r="35">
          <cell r="L35" t="str">
            <v/>
          </cell>
        </row>
        <row r="36">
          <cell r="L36" t="str">
            <v/>
          </cell>
        </row>
        <row r="37">
          <cell r="L37" t="str">
            <v/>
          </cell>
        </row>
        <row r="38">
          <cell r="L38" t="str">
            <v/>
          </cell>
        </row>
        <row r="39">
          <cell r="L39" t="str">
            <v/>
          </cell>
        </row>
        <row r="40">
          <cell r="L40" t="str">
            <v/>
          </cell>
        </row>
        <row r="41">
          <cell r="L41" t="str">
            <v/>
          </cell>
        </row>
        <row r="42">
          <cell r="L42" t="str">
            <v/>
          </cell>
        </row>
        <row r="43">
          <cell r="L43" t="str">
            <v/>
          </cell>
        </row>
        <row r="44">
          <cell r="L44" t="str">
            <v/>
          </cell>
        </row>
        <row r="45">
          <cell r="L45" t="str">
            <v/>
          </cell>
        </row>
        <row r="46">
          <cell r="L46" t="str">
            <v/>
          </cell>
        </row>
        <row r="47">
          <cell r="L47" t="str">
            <v/>
          </cell>
        </row>
        <row r="48">
          <cell r="L48" t="str">
            <v/>
          </cell>
        </row>
        <row r="49">
          <cell r="L49" t="str">
            <v/>
          </cell>
        </row>
        <row r="50">
          <cell r="L50" t="str">
            <v/>
          </cell>
        </row>
        <row r="51">
          <cell r="L51" t="str">
            <v/>
          </cell>
        </row>
        <row r="52">
          <cell r="L52" t="str">
            <v/>
          </cell>
        </row>
        <row r="53">
          <cell r="L53" t="str">
            <v/>
          </cell>
        </row>
        <row r="54">
          <cell r="L54" t="str">
            <v/>
          </cell>
        </row>
        <row r="55">
          <cell r="L55" t="str">
            <v/>
          </cell>
        </row>
        <row r="56">
          <cell r="L56" t="str">
            <v/>
          </cell>
        </row>
        <row r="57">
          <cell r="L57" t="str">
            <v/>
          </cell>
        </row>
        <row r="58">
          <cell r="L58" t="str">
            <v/>
          </cell>
        </row>
        <row r="59">
          <cell r="L59" t="str">
            <v/>
          </cell>
        </row>
        <row r="60">
          <cell r="L60" t="str">
            <v/>
          </cell>
        </row>
        <row r="61">
          <cell r="L61" t="str">
            <v/>
          </cell>
        </row>
        <row r="62">
          <cell r="L62" t="str">
            <v/>
          </cell>
        </row>
        <row r="63">
          <cell r="L63" t="str">
            <v/>
          </cell>
        </row>
        <row r="64">
          <cell r="L64" t="str">
            <v/>
          </cell>
        </row>
        <row r="65">
          <cell r="L65" t="str">
            <v/>
          </cell>
        </row>
        <row r="66">
          <cell r="L66" t="str">
            <v/>
          </cell>
        </row>
        <row r="67">
          <cell r="L67" t="str">
            <v/>
          </cell>
        </row>
        <row r="68">
          <cell r="L68" t="str">
            <v/>
          </cell>
        </row>
        <row r="69">
          <cell r="L69" t="str">
            <v/>
          </cell>
        </row>
        <row r="70">
          <cell r="L70" t="str">
            <v/>
          </cell>
        </row>
        <row r="71">
          <cell r="L71" t="str">
            <v/>
          </cell>
        </row>
        <row r="72">
          <cell r="L72" t="str">
            <v/>
          </cell>
        </row>
        <row r="73">
          <cell r="L73" t="str">
            <v/>
          </cell>
        </row>
        <row r="74">
          <cell r="L74" t="str">
            <v/>
          </cell>
        </row>
        <row r="75">
          <cell r="L75" t="str">
            <v/>
          </cell>
        </row>
        <row r="76">
          <cell r="L76" t="str">
            <v/>
          </cell>
        </row>
        <row r="77">
          <cell r="L77" t="str">
            <v/>
          </cell>
        </row>
        <row r="78">
          <cell r="L78" t="str">
            <v/>
          </cell>
        </row>
        <row r="79">
          <cell r="L79" t="str">
            <v/>
          </cell>
        </row>
        <row r="80">
          <cell r="L80" t="str">
            <v/>
          </cell>
        </row>
        <row r="81">
          <cell r="L81" t="str">
            <v/>
          </cell>
        </row>
        <row r="82">
          <cell r="L82" t="str">
            <v/>
          </cell>
        </row>
        <row r="83">
          <cell r="L83" t="str">
            <v/>
          </cell>
        </row>
        <row r="84">
          <cell r="L84" t="str">
            <v/>
          </cell>
        </row>
        <row r="85">
          <cell r="L85" t="str">
            <v/>
          </cell>
        </row>
        <row r="86">
          <cell r="L86" t="str">
            <v/>
          </cell>
        </row>
        <row r="87">
          <cell r="L87" t="str">
            <v/>
          </cell>
        </row>
        <row r="88">
          <cell r="L88" t="str">
            <v/>
          </cell>
        </row>
        <row r="89">
          <cell r="L89" t="str">
            <v/>
          </cell>
        </row>
        <row r="90">
          <cell r="L90" t="str">
            <v/>
          </cell>
        </row>
        <row r="91">
          <cell r="L91" t="str">
            <v/>
          </cell>
        </row>
        <row r="92">
          <cell r="L92" t="str">
            <v/>
          </cell>
        </row>
        <row r="93">
          <cell r="L93" t="str">
            <v/>
          </cell>
        </row>
        <row r="94">
          <cell r="L94" t="str">
            <v/>
          </cell>
        </row>
        <row r="95">
          <cell r="L95" t="str">
            <v/>
          </cell>
        </row>
        <row r="96">
          <cell r="L96" t="str">
            <v/>
          </cell>
        </row>
        <row r="97">
          <cell r="L97" t="str">
            <v/>
          </cell>
        </row>
        <row r="98">
          <cell r="L98" t="str">
            <v/>
          </cell>
        </row>
        <row r="99">
          <cell r="L99" t="str">
            <v/>
          </cell>
        </row>
        <row r="100">
          <cell r="L100" t="str">
            <v/>
          </cell>
        </row>
        <row r="101">
          <cell r="L101" t="str">
            <v/>
          </cell>
        </row>
        <row r="102">
          <cell r="L102" t="str">
            <v/>
          </cell>
        </row>
        <row r="103">
          <cell r="L103" t="str">
            <v/>
          </cell>
        </row>
        <row r="104">
          <cell r="L104" t="str">
            <v/>
          </cell>
        </row>
        <row r="105">
          <cell r="L105" t="str">
            <v/>
          </cell>
        </row>
        <row r="106">
          <cell r="L106" t="str">
            <v/>
          </cell>
        </row>
        <row r="107">
          <cell r="L107" t="str">
            <v/>
          </cell>
        </row>
        <row r="108">
          <cell r="L108" t="str">
            <v/>
          </cell>
        </row>
        <row r="109">
          <cell r="L109" t="str">
            <v/>
          </cell>
        </row>
        <row r="110">
          <cell r="L110" t="str">
            <v/>
          </cell>
        </row>
        <row r="111">
          <cell r="L111" t="str">
            <v/>
          </cell>
        </row>
        <row r="112">
          <cell r="L112" t="str">
            <v/>
          </cell>
        </row>
        <row r="113">
          <cell r="L113" t="str">
            <v/>
          </cell>
        </row>
        <row r="114">
          <cell r="L114" t="str">
            <v/>
          </cell>
        </row>
        <row r="115">
          <cell r="L115" t="str">
            <v/>
          </cell>
        </row>
        <row r="116">
          <cell r="L116" t="str">
            <v/>
          </cell>
        </row>
        <row r="117">
          <cell r="L117" t="str">
            <v/>
          </cell>
        </row>
        <row r="118">
          <cell r="L118" t="str">
            <v/>
          </cell>
        </row>
        <row r="119">
          <cell r="L119" t="str">
            <v/>
          </cell>
        </row>
        <row r="120">
          <cell r="L120" t="str">
            <v/>
          </cell>
        </row>
        <row r="121">
          <cell r="L121" t="str">
            <v/>
          </cell>
        </row>
        <row r="122">
          <cell r="L122" t="str">
            <v/>
          </cell>
        </row>
        <row r="123">
          <cell r="L123" t="str">
            <v/>
          </cell>
        </row>
        <row r="124">
          <cell r="L124" t="str">
            <v/>
          </cell>
        </row>
        <row r="125">
          <cell r="L125" t="str">
            <v/>
          </cell>
        </row>
        <row r="126">
          <cell r="L126" t="str">
            <v/>
          </cell>
        </row>
        <row r="127">
          <cell r="L127" t="str">
            <v/>
          </cell>
        </row>
        <row r="128">
          <cell r="L128" t="str">
            <v/>
          </cell>
        </row>
        <row r="129">
          <cell r="L129" t="str">
            <v/>
          </cell>
        </row>
        <row r="130">
          <cell r="L130" t="str">
            <v/>
          </cell>
        </row>
        <row r="131">
          <cell r="L131" t="str">
            <v/>
          </cell>
        </row>
        <row r="132">
          <cell r="L132" t="str">
            <v/>
          </cell>
        </row>
        <row r="133">
          <cell r="L133" t="str">
            <v/>
          </cell>
        </row>
        <row r="134">
          <cell r="L134" t="str">
            <v/>
          </cell>
        </row>
        <row r="135">
          <cell r="L135" t="str">
            <v/>
          </cell>
        </row>
        <row r="136">
          <cell r="L136" t="str">
            <v/>
          </cell>
        </row>
        <row r="137">
          <cell r="L137" t="str">
            <v/>
          </cell>
        </row>
        <row r="138">
          <cell r="L138" t="str">
            <v/>
          </cell>
        </row>
        <row r="139">
          <cell r="L139" t="str">
            <v/>
          </cell>
        </row>
        <row r="140">
          <cell r="L140" t="str">
            <v/>
          </cell>
        </row>
        <row r="141">
          <cell r="L141" t="str">
            <v/>
          </cell>
        </row>
        <row r="142">
          <cell r="L142" t="str">
            <v/>
          </cell>
        </row>
        <row r="143">
          <cell r="L143" t="str">
            <v/>
          </cell>
        </row>
        <row r="144">
          <cell r="L144" t="str">
            <v/>
          </cell>
        </row>
        <row r="145">
          <cell r="L145" t="str">
            <v/>
          </cell>
        </row>
        <row r="146">
          <cell r="L146" t="str">
            <v/>
          </cell>
        </row>
        <row r="147">
          <cell r="L147" t="str">
            <v/>
          </cell>
        </row>
        <row r="148">
          <cell r="L148" t="str">
            <v/>
          </cell>
        </row>
        <row r="149">
          <cell r="L149" t="str">
            <v/>
          </cell>
        </row>
        <row r="150">
          <cell r="L150" t="str">
            <v/>
          </cell>
        </row>
        <row r="151">
          <cell r="L151" t="str">
            <v/>
          </cell>
        </row>
        <row r="152">
          <cell r="L152" t="str">
            <v/>
          </cell>
        </row>
        <row r="153">
          <cell r="L153" t="str">
            <v/>
          </cell>
        </row>
        <row r="154">
          <cell r="L154" t="str">
            <v/>
          </cell>
        </row>
        <row r="155">
          <cell r="L155" t="str">
            <v/>
          </cell>
        </row>
        <row r="156">
          <cell r="L156" t="str">
            <v/>
          </cell>
        </row>
        <row r="157">
          <cell r="L157" t="str">
            <v/>
          </cell>
        </row>
        <row r="158">
          <cell r="L158" t="str">
            <v/>
          </cell>
        </row>
        <row r="159">
          <cell r="L159" t="str">
            <v/>
          </cell>
        </row>
        <row r="160">
          <cell r="L160" t="str">
            <v/>
          </cell>
        </row>
        <row r="161">
          <cell r="L161" t="str">
            <v/>
          </cell>
        </row>
        <row r="162">
          <cell r="L162" t="str">
            <v/>
          </cell>
        </row>
        <row r="163">
          <cell r="L163" t="str">
            <v/>
          </cell>
        </row>
        <row r="164">
          <cell r="L164" t="str">
            <v/>
          </cell>
        </row>
        <row r="165">
          <cell r="L165" t="str">
            <v/>
          </cell>
        </row>
        <row r="166">
          <cell r="L166" t="str">
            <v/>
          </cell>
        </row>
        <row r="167">
          <cell r="L167" t="str">
            <v/>
          </cell>
        </row>
        <row r="168">
          <cell r="L168" t="str">
            <v/>
          </cell>
        </row>
        <row r="169">
          <cell r="L169" t="str">
            <v/>
          </cell>
        </row>
        <row r="170">
          <cell r="L170" t="str">
            <v/>
          </cell>
        </row>
        <row r="171">
          <cell r="L171" t="str">
            <v/>
          </cell>
        </row>
        <row r="172">
          <cell r="L172" t="str">
            <v/>
          </cell>
        </row>
        <row r="173">
          <cell r="L173" t="str">
            <v/>
          </cell>
        </row>
        <row r="174">
          <cell r="L174" t="str">
            <v/>
          </cell>
        </row>
        <row r="175">
          <cell r="L175" t="str">
            <v/>
          </cell>
        </row>
        <row r="176">
          <cell r="L176" t="str">
            <v/>
          </cell>
        </row>
        <row r="177">
          <cell r="L177" t="str">
            <v/>
          </cell>
        </row>
        <row r="178">
          <cell r="L178" t="str">
            <v/>
          </cell>
        </row>
        <row r="179">
          <cell r="L179" t="str">
            <v/>
          </cell>
        </row>
        <row r="180">
          <cell r="L180" t="str">
            <v/>
          </cell>
        </row>
        <row r="181">
          <cell r="L181" t="str">
            <v/>
          </cell>
        </row>
        <row r="182">
          <cell r="L182" t="str">
            <v/>
          </cell>
        </row>
        <row r="183">
          <cell r="L183" t="str">
            <v/>
          </cell>
        </row>
        <row r="184">
          <cell r="L184" t="str">
            <v/>
          </cell>
        </row>
        <row r="185">
          <cell r="L185" t="str">
            <v/>
          </cell>
        </row>
        <row r="186">
          <cell r="L186" t="str">
            <v/>
          </cell>
        </row>
        <row r="187">
          <cell r="L187" t="str">
            <v/>
          </cell>
        </row>
        <row r="188">
          <cell r="L188" t="str">
            <v/>
          </cell>
        </row>
        <row r="189">
          <cell r="L189" t="str">
            <v/>
          </cell>
        </row>
        <row r="190">
          <cell r="L190" t="str">
            <v/>
          </cell>
        </row>
        <row r="191">
          <cell r="L191" t="str">
            <v/>
          </cell>
        </row>
        <row r="192">
          <cell r="L192" t="str">
            <v/>
          </cell>
        </row>
        <row r="193">
          <cell r="L193" t="str">
            <v/>
          </cell>
        </row>
        <row r="194">
          <cell r="L194" t="str">
            <v/>
          </cell>
        </row>
        <row r="195">
          <cell r="L195" t="str">
            <v/>
          </cell>
        </row>
        <row r="196">
          <cell r="L196" t="str">
            <v/>
          </cell>
        </row>
        <row r="197">
          <cell r="L197" t="str">
            <v/>
          </cell>
        </row>
        <row r="198">
          <cell r="L198" t="str">
            <v/>
          </cell>
        </row>
        <row r="199">
          <cell r="L199" t="str">
            <v/>
          </cell>
        </row>
        <row r="200">
          <cell r="L200" t="str">
            <v/>
          </cell>
        </row>
        <row r="201">
          <cell r="L201" t="str">
            <v/>
          </cell>
        </row>
        <row r="202">
          <cell r="L202" t="str">
            <v/>
          </cell>
        </row>
        <row r="203">
          <cell r="L203" t="str">
            <v/>
          </cell>
        </row>
        <row r="204">
          <cell r="L204" t="str">
            <v/>
          </cell>
        </row>
        <row r="205">
          <cell r="L205" t="str">
            <v/>
          </cell>
        </row>
        <row r="206">
          <cell r="L206" t="str">
            <v/>
          </cell>
        </row>
        <row r="207">
          <cell r="L207" t="str">
            <v/>
          </cell>
        </row>
        <row r="208">
          <cell r="L208" t="str">
            <v/>
          </cell>
        </row>
        <row r="209">
          <cell r="L209" t="str">
            <v/>
          </cell>
        </row>
        <row r="210">
          <cell r="L210" t="str">
            <v/>
          </cell>
        </row>
        <row r="211">
          <cell r="L211" t="str">
            <v/>
          </cell>
        </row>
        <row r="212">
          <cell r="L212" t="str">
            <v/>
          </cell>
        </row>
        <row r="213">
          <cell r="L213" t="str">
            <v/>
          </cell>
        </row>
        <row r="214">
          <cell r="L214" t="str">
            <v/>
          </cell>
        </row>
        <row r="215">
          <cell r="L215" t="str">
            <v/>
          </cell>
        </row>
        <row r="216">
          <cell r="L216" t="str">
            <v/>
          </cell>
        </row>
        <row r="217">
          <cell r="L217" t="str">
            <v/>
          </cell>
        </row>
        <row r="218">
          <cell r="L218" t="str">
            <v/>
          </cell>
        </row>
        <row r="219">
          <cell r="L219" t="str">
            <v/>
          </cell>
        </row>
        <row r="220">
          <cell r="L220" t="str">
            <v/>
          </cell>
        </row>
        <row r="221">
          <cell r="L221" t="str">
            <v/>
          </cell>
        </row>
        <row r="222">
          <cell r="L222" t="str">
            <v/>
          </cell>
        </row>
        <row r="223">
          <cell r="L223" t="str">
            <v/>
          </cell>
        </row>
        <row r="224">
          <cell r="L224" t="str">
            <v/>
          </cell>
        </row>
        <row r="225">
          <cell r="L225" t="str">
            <v/>
          </cell>
        </row>
        <row r="226">
          <cell r="L226" t="str">
            <v/>
          </cell>
        </row>
        <row r="227">
          <cell r="L227" t="str">
            <v/>
          </cell>
        </row>
        <row r="228">
          <cell r="L228" t="str">
            <v/>
          </cell>
        </row>
        <row r="229">
          <cell r="L229" t="str">
            <v/>
          </cell>
        </row>
        <row r="230">
          <cell r="L230" t="str">
            <v/>
          </cell>
        </row>
        <row r="231">
          <cell r="L231" t="str">
            <v/>
          </cell>
        </row>
        <row r="232">
          <cell r="L232" t="str">
            <v/>
          </cell>
        </row>
        <row r="233">
          <cell r="L233" t="str">
            <v/>
          </cell>
        </row>
        <row r="234">
          <cell r="L234" t="str">
            <v/>
          </cell>
        </row>
        <row r="235">
          <cell r="L235" t="str">
            <v/>
          </cell>
        </row>
        <row r="236">
          <cell r="L236" t="str">
            <v/>
          </cell>
        </row>
        <row r="237">
          <cell r="L237" t="str">
            <v/>
          </cell>
        </row>
        <row r="238">
          <cell r="L238" t="str">
            <v/>
          </cell>
        </row>
        <row r="239">
          <cell r="L239" t="str">
            <v/>
          </cell>
        </row>
        <row r="240">
          <cell r="L240" t="str">
            <v/>
          </cell>
        </row>
        <row r="241">
          <cell r="L241" t="str">
            <v/>
          </cell>
        </row>
        <row r="242">
          <cell r="L242" t="str">
            <v/>
          </cell>
        </row>
        <row r="243">
          <cell r="L243" t="str">
            <v/>
          </cell>
        </row>
        <row r="244">
          <cell r="L244" t="str">
            <v/>
          </cell>
        </row>
        <row r="245">
          <cell r="L245" t="str">
            <v/>
          </cell>
        </row>
        <row r="246">
          <cell r="L246" t="str">
            <v/>
          </cell>
        </row>
        <row r="247">
          <cell r="L247" t="str">
            <v/>
          </cell>
        </row>
        <row r="248">
          <cell r="L248" t="str">
            <v/>
          </cell>
        </row>
        <row r="249">
          <cell r="L249" t="str">
            <v/>
          </cell>
        </row>
        <row r="250">
          <cell r="L250" t="str">
            <v/>
          </cell>
        </row>
        <row r="251">
          <cell r="L251" t="str">
            <v/>
          </cell>
        </row>
        <row r="252">
          <cell r="L252" t="str">
            <v/>
          </cell>
        </row>
        <row r="253">
          <cell r="L253" t="str">
            <v/>
          </cell>
        </row>
        <row r="254">
          <cell r="L254" t="str">
            <v/>
          </cell>
        </row>
        <row r="255">
          <cell r="L255" t="str">
            <v/>
          </cell>
        </row>
        <row r="256">
          <cell r="L256" t="str">
            <v/>
          </cell>
        </row>
        <row r="257">
          <cell r="L257" t="str">
            <v/>
          </cell>
        </row>
        <row r="258">
          <cell r="L258" t="str">
            <v/>
          </cell>
        </row>
        <row r="259">
          <cell r="L259" t="str">
            <v/>
          </cell>
        </row>
        <row r="260">
          <cell r="L260" t="str">
            <v/>
          </cell>
        </row>
        <row r="261">
          <cell r="L261" t="str">
            <v/>
          </cell>
        </row>
        <row r="262">
          <cell r="L262" t="str">
            <v/>
          </cell>
        </row>
        <row r="263">
          <cell r="L263" t="str">
            <v/>
          </cell>
        </row>
        <row r="264">
          <cell r="L264" t="str">
            <v/>
          </cell>
        </row>
        <row r="265">
          <cell r="L265" t="str">
            <v/>
          </cell>
        </row>
        <row r="266">
          <cell r="L266" t="str">
            <v/>
          </cell>
        </row>
        <row r="267">
          <cell r="L267" t="str">
            <v/>
          </cell>
        </row>
        <row r="268">
          <cell r="L268" t="str">
            <v/>
          </cell>
        </row>
        <row r="269">
          <cell r="L269" t="str">
            <v/>
          </cell>
        </row>
        <row r="270">
          <cell r="L270" t="str">
            <v/>
          </cell>
        </row>
        <row r="271">
          <cell r="L271" t="str">
            <v/>
          </cell>
        </row>
        <row r="272">
          <cell r="L272" t="str">
            <v/>
          </cell>
        </row>
        <row r="273">
          <cell r="L273" t="str">
            <v/>
          </cell>
        </row>
        <row r="274">
          <cell r="L274" t="str">
            <v/>
          </cell>
        </row>
        <row r="275">
          <cell r="L275" t="str">
            <v/>
          </cell>
        </row>
        <row r="276">
          <cell r="L276" t="str">
            <v/>
          </cell>
        </row>
        <row r="277">
          <cell r="L277" t="str">
            <v/>
          </cell>
        </row>
        <row r="278">
          <cell r="L278" t="str">
            <v/>
          </cell>
        </row>
        <row r="279">
          <cell r="L279" t="str">
            <v/>
          </cell>
        </row>
        <row r="280">
          <cell r="L280" t="str">
            <v/>
          </cell>
        </row>
        <row r="281">
          <cell r="L281" t="str">
            <v/>
          </cell>
        </row>
        <row r="282">
          <cell r="L282" t="str">
            <v/>
          </cell>
        </row>
        <row r="283">
          <cell r="L283" t="str">
            <v/>
          </cell>
        </row>
        <row r="284">
          <cell r="L284" t="str">
            <v/>
          </cell>
        </row>
        <row r="285">
          <cell r="L285" t="str">
            <v/>
          </cell>
        </row>
        <row r="286">
          <cell r="L286" t="str">
            <v/>
          </cell>
        </row>
        <row r="287">
          <cell r="L287" t="str">
            <v/>
          </cell>
        </row>
        <row r="288">
          <cell r="L288" t="str">
            <v/>
          </cell>
        </row>
        <row r="289">
          <cell r="L289" t="str">
            <v/>
          </cell>
        </row>
        <row r="290">
          <cell r="L290" t="str">
            <v/>
          </cell>
        </row>
        <row r="291">
          <cell r="L291" t="str">
            <v/>
          </cell>
        </row>
        <row r="292">
          <cell r="L292" t="str">
            <v/>
          </cell>
        </row>
        <row r="293">
          <cell r="L293" t="str">
            <v/>
          </cell>
        </row>
        <row r="294">
          <cell r="L294" t="str">
            <v/>
          </cell>
        </row>
        <row r="295">
          <cell r="L295" t="str">
            <v/>
          </cell>
        </row>
        <row r="296">
          <cell r="L296" t="str">
            <v/>
          </cell>
        </row>
        <row r="297">
          <cell r="L297" t="str">
            <v/>
          </cell>
        </row>
        <row r="298">
          <cell r="L298" t="str">
            <v/>
          </cell>
        </row>
        <row r="299">
          <cell r="L299" t="str">
            <v/>
          </cell>
        </row>
        <row r="300">
          <cell r="L300" t="str">
            <v/>
          </cell>
        </row>
        <row r="301">
          <cell r="L301" t="str">
            <v/>
          </cell>
        </row>
        <row r="302">
          <cell r="L302" t="str">
            <v/>
          </cell>
        </row>
        <row r="303">
          <cell r="L303" t="str">
            <v/>
          </cell>
        </row>
        <row r="304">
          <cell r="L304" t="str">
            <v/>
          </cell>
        </row>
        <row r="305">
          <cell r="L305" t="str">
            <v/>
          </cell>
        </row>
        <row r="306">
          <cell r="L306" t="str">
            <v/>
          </cell>
        </row>
        <row r="307">
          <cell r="L307" t="str">
            <v/>
          </cell>
        </row>
        <row r="308">
          <cell r="L308" t="str">
            <v/>
          </cell>
        </row>
        <row r="309">
          <cell r="L309" t="str">
            <v/>
          </cell>
        </row>
        <row r="310">
          <cell r="L310" t="str">
            <v/>
          </cell>
        </row>
        <row r="311">
          <cell r="L311" t="str">
            <v/>
          </cell>
        </row>
        <row r="312">
          <cell r="L312" t="str">
            <v/>
          </cell>
        </row>
        <row r="313">
          <cell r="L313" t="str">
            <v/>
          </cell>
        </row>
        <row r="314">
          <cell r="L314" t="str">
            <v/>
          </cell>
        </row>
        <row r="315">
          <cell r="L315" t="str">
            <v/>
          </cell>
        </row>
        <row r="316">
          <cell r="L316" t="str">
            <v/>
          </cell>
        </row>
        <row r="317">
          <cell r="L317" t="str">
            <v/>
          </cell>
        </row>
        <row r="318">
          <cell r="L318" t="str">
            <v/>
          </cell>
        </row>
        <row r="319">
          <cell r="L319" t="str">
            <v/>
          </cell>
        </row>
        <row r="320">
          <cell r="L320" t="str">
            <v/>
          </cell>
        </row>
        <row r="321">
          <cell r="L321" t="str">
            <v/>
          </cell>
        </row>
        <row r="322">
          <cell r="L322" t="str">
            <v/>
          </cell>
        </row>
        <row r="323">
          <cell r="L323" t="str">
            <v/>
          </cell>
        </row>
        <row r="324">
          <cell r="L324" t="str">
            <v/>
          </cell>
        </row>
        <row r="325">
          <cell r="L325" t="str">
            <v/>
          </cell>
        </row>
        <row r="326">
          <cell r="L326" t="str">
            <v/>
          </cell>
        </row>
        <row r="327">
          <cell r="L327" t="str">
            <v/>
          </cell>
        </row>
        <row r="328">
          <cell r="L328" t="str">
            <v/>
          </cell>
        </row>
        <row r="329">
          <cell r="L329" t="str">
            <v/>
          </cell>
        </row>
        <row r="330">
          <cell r="L330" t="str">
            <v/>
          </cell>
        </row>
        <row r="331">
          <cell r="L331" t="str">
            <v/>
          </cell>
        </row>
        <row r="332">
          <cell r="L332" t="str">
            <v/>
          </cell>
        </row>
        <row r="333">
          <cell r="L333" t="str">
            <v/>
          </cell>
        </row>
        <row r="334">
          <cell r="L334" t="str">
            <v/>
          </cell>
        </row>
        <row r="335">
          <cell r="L335" t="str">
            <v/>
          </cell>
        </row>
        <row r="336">
          <cell r="L336" t="str">
            <v/>
          </cell>
        </row>
        <row r="337">
          <cell r="L337" t="str">
            <v/>
          </cell>
        </row>
        <row r="338">
          <cell r="L338" t="str">
            <v/>
          </cell>
        </row>
        <row r="339">
          <cell r="L339" t="str">
            <v/>
          </cell>
        </row>
        <row r="340">
          <cell r="L340" t="str">
            <v/>
          </cell>
        </row>
        <row r="341">
          <cell r="L341" t="str">
            <v/>
          </cell>
        </row>
        <row r="342">
          <cell r="L342" t="str">
            <v/>
          </cell>
        </row>
        <row r="343">
          <cell r="L343" t="str">
            <v/>
          </cell>
        </row>
        <row r="344">
          <cell r="L344" t="str">
            <v/>
          </cell>
        </row>
        <row r="345">
          <cell r="L345" t="str">
            <v/>
          </cell>
        </row>
        <row r="346">
          <cell r="L346" t="str">
            <v/>
          </cell>
        </row>
        <row r="347">
          <cell r="L347" t="str">
            <v/>
          </cell>
        </row>
        <row r="348">
          <cell r="L348" t="str">
            <v/>
          </cell>
        </row>
        <row r="349">
          <cell r="L349" t="str">
            <v/>
          </cell>
        </row>
        <row r="350">
          <cell r="L350" t="str">
            <v/>
          </cell>
        </row>
        <row r="351">
          <cell r="L351" t="str">
            <v/>
          </cell>
        </row>
        <row r="352">
          <cell r="L352" t="str">
            <v/>
          </cell>
        </row>
        <row r="353">
          <cell r="L353" t="str">
            <v/>
          </cell>
        </row>
        <row r="354">
          <cell r="L354" t="str">
            <v/>
          </cell>
        </row>
        <row r="355">
          <cell r="L355" t="str">
            <v/>
          </cell>
        </row>
        <row r="356">
          <cell r="L356" t="str">
            <v/>
          </cell>
        </row>
        <row r="357">
          <cell r="L357" t="str">
            <v/>
          </cell>
        </row>
        <row r="358">
          <cell r="L358" t="str">
            <v/>
          </cell>
        </row>
        <row r="359">
          <cell r="L359" t="str">
            <v/>
          </cell>
        </row>
        <row r="360">
          <cell r="L360" t="str">
            <v/>
          </cell>
        </row>
        <row r="361">
          <cell r="L361" t="str">
            <v/>
          </cell>
        </row>
        <row r="362">
          <cell r="L362" t="str">
            <v/>
          </cell>
        </row>
        <row r="363">
          <cell r="L363" t="str">
            <v/>
          </cell>
        </row>
        <row r="364">
          <cell r="L364" t="str">
            <v/>
          </cell>
        </row>
        <row r="365">
          <cell r="L365" t="str">
            <v/>
          </cell>
        </row>
        <row r="366">
          <cell r="L366" t="str">
            <v/>
          </cell>
        </row>
        <row r="367">
          <cell r="L367" t="str">
            <v/>
          </cell>
        </row>
        <row r="368">
          <cell r="L368" t="str">
            <v/>
          </cell>
        </row>
        <row r="369">
          <cell r="L369" t="str">
            <v/>
          </cell>
        </row>
        <row r="370">
          <cell r="L370" t="str">
            <v/>
          </cell>
        </row>
        <row r="371">
          <cell r="L371" t="str">
            <v/>
          </cell>
        </row>
        <row r="372">
          <cell r="L372" t="str">
            <v/>
          </cell>
        </row>
        <row r="373">
          <cell r="L373" t="str">
            <v/>
          </cell>
        </row>
        <row r="374">
          <cell r="L374" t="str">
            <v/>
          </cell>
        </row>
        <row r="375">
          <cell r="L375" t="str">
            <v/>
          </cell>
        </row>
        <row r="376">
          <cell r="L376" t="str">
            <v/>
          </cell>
        </row>
        <row r="377">
          <cell r="L377" t="str">
            <v/>
          </cell>
        </row>
        <row r="378">
          <cell r="L378" t="str">
            <v/>
          </cell>
        </row>
        <row r="379">
          <cell r="L379" t="str">
            <v/>
          </cell>
        </row>
        <row r="380">
          <cell r="L380" t="str">
            <v/>
          </cell>
        </row>
        <row r="381">
          <cell r="L381" t="str">
            <v/>
          </cell>
        </row>
        <row r="382">
          <cell r="L382" t="str">
            <v/>
          </cell>
        </row>
        <row r="383">
          <cell r="L383" t="str">
            <v/>
          </cell>
        </row>
        <row r="384">
          <cell r="L384" t="str">
            <v/>
          </cell>
        </row>
        <row r="385">
          <cell r="L385" t="str">
            <v/>
          </cell>
        </row>
        <row r="386">
          <cell r="L386" t="str">
            <v/>
          </cell>
        </row>
        <row r="387">
          <cell r="L387" t="str">
            <v/>
          </cell>
        </row>
        <row r="388">
          <cell r="L388" t="str">
            <v/>
          </cell>
        </row>
        <row r="389">
          <cell r="L389" t="str">
            <v/>
          </cell>
        </row>
        <row r="390">
          <cell r="L390" t="str">
            <v/>
          </cell>
        </row>
        <row r="391">
          <cell r="L391" t="str">
            <v/>
          </cell>
        </row>
        <row r="392">
          <cell r="L392" t="str">
            <v/>
          </cell>
        </row>
        <row r="393">
          <cell r="L393" t="str">
            <v/>
          </cell>
        </row>
        <row r="394">
          <cell r="L394" t="str">
            <v/>
          </cell>
        </row>
        <row r="395">
          <cell r="L395" t="str">
            <v/>
          </cell>
        </row>
        <row r="396">
          <cell r="L396" t="str">
            <v/>
          </cell>
        </row>
        <row r="397">
          <cell r="L397" t="str">
            <v/>
          </cell>
        </row>
        <row r="398">
          <cell r="L398" t="str">
            <v/>
          </cell>
        </row>
        <row r="399">
          <cell r="L399" t="str">
            <v/>
          </cell>
        </row>
        <row r="400">
          <cell r="L400" t="str">
            <v/>
          </cell>
        </row>
        <row r="401">
          <cell r="L401" t="str">
            <v/>
          </cell>
        </row>
        <row r="402">
          <cell r="L402" t="str">
            <v/>
          </cell>
        </row>
        <row r="403">
          <cell r="L403" t="str">
            <v/>
          </cell>
        </row>
        <row r="404">
          <cell r="L404" t="str">
            <v/>
          </cell>
        </row>
        <row r="405">
          <cell r="L405" t="str">
            <v/>
          </cell>
        </row>
        <row r="406">
          <cell r="L406" t="str">
            <v/>
          </cell>
        </row>
        <row r="407">
          <cell r="L407" t="str">
            <v/>
          </cell>
        </row>
        <row r="408">
          <cell r="L408" t="str">
            <v/>
          </cell>
        </row>
        <row r="409">
          <cell r="L409" t="str">
            <v/>
          </cell>
        </row>
        <row r="410">
          <cell r="L410" t="str">
            <v/>
          </cell>
        </row>
        <row r="411">
          <cell r="L411" t="str">
            <v/>
          </cell>
        </row>
        <row r="412">
          <cell r="L412" t="str">
            <v/>
          </cell>
        </row>
        <row r="413">
          <cell r="L413" t="str">
            <v/>
          </cell>
        </row>
        <row r="414">
          <cell r="L414" t="str">
            <v/>
          </cell>
        </row>
        <row r="415">
          <cell r="L415" t="str">
            <v/>
          </cell>
        </row>
        <row r="416">
          <cell r="L416" t="str">
            <v/>
          </cell>
        </row>
        <row r="417">
          <cell r="L417" t="str">
            <v/>
          </cell>
        </row>
        <row r="418">
          <cell r="L418" t="str">
            <v/>
          </cell>
        </row>
        <row r="419">
          <cell r="L419" t="str">
            <v/>
          </cell>
        </row>
        <row r="420">
          <cell r="L420" t="str">
            <v/>
          </cell>
        </row>
        <row r="421">
          <cell r="L421" t="str">
            <v/>
          </cell>
        </row>
        <row r="422">
          <cell r="L422" t="str">
            <v/>
          </cell>
        </row>
        <row r="423">
          <cell r="L423" t="str">
            <v/>
          </cell>
        </row>
        <row r="424">
          <cell r="L424" t="str">
            <v/>
          </cell>
        </row>
        <row r="425">
          <cell r="L425" t="str">
            <v/>
          </cell>
        </row>
        <row r="426">
          <cell r="L426" t="str">
            <v/>
          </cell>
        </row>
        <row r="427">
          <cell r="L427" t="str">
            <v/>
          </cell>
        </row>
        <row r="428">
          <cell r="L428" t="str">
            <v/>
          </cell>
        </row>
        <row r="429">
          <cell r="L429" t="str">
            <v/>
          </cell>
        </row>
        <row r="430">
          <cell r="L430" t="str">
            <v/>
          </cell>
        </row>
        <row r="431">
          <cell r="L431" t="str">
            <v/>
          </cell>
        </row>
        <row r="432">
          <cell r="L432" t="str">
            <v/>
          </cell>
        </row>
        <row r="433">
          <cell r="L433" t="str">
            <v/>
          </cell>
        </row>
        <row r="434">
          <cell r="L434" t="str">
            <v/>
          </cell>
        </row>
        <row r="435">
          <cell r="L435" t="str">
            <v/>
          </cell>
        </row>
        <row r="436">
          <cell r="L436" t="str">
            <v/>
          </cell>
        </row>
        <row r="437">
          <cell r="L437" t="str">
            <v/>
          </cell>
        </row>
        <row r="438">
          <cell r="L438" t="str">
            <v/>
          </cell>
        </row>
        <row r="439">
          <cell r="L439" t="str">
            <v/>
          </cell>
        </row>
        <row r="440">
          <cell r="L440" t="str">
            <v/>
          </cell>
        </row>
        <row r="441">
          <cell r="L441" t="str">
            <v/>
          </cell>
        </row>
        <row r="442">
          <cell r="L442" t="str">
            <v/>
          </cell>
        </row>
        <row r="443">
          <cell r="L443" t="str">
            <v/>
          </cell>
        </row>
        <row r="444">
          <cell r="L444" t="str">
            <v/>
          </cell>
        </row>
        <row r="445">
          <cell r="L445" t="str">
            <v/>
          </cell>
        </row>
        <row r="446">
          <cell r="L446" t="str">
            <v/>
          </cell>
        </row>
        <row r="447">
          <cell r="L447" t="str">
            <v/>
          </cell>
        </row>
        <row r="448">
          <cell r="L448" t="str">
            <v/>
          </cell>
        </row>
        <row r="449">
          <cell r="L449" t="str">
            <v/>
          </cell>
        </row>
        <row r="450">
          <cell r="L450" t="str">
            <v/>
          </cell>
        </row>
        <row r="451">
          <cell r="L451" t="str">
            <v/>
          </cell>
        </row>
        <row r="452">
          <cell r="L452" t="str">
            <v/>
          </cell>
        </row>
        <row r="453">
          <cell r="L453" t="str">
            <v/>
          </cell>
        </row>
        <row r="454">
          <cell r="L454" t="str">
            <v/>
          </cell>
        </row>
        <row r="455">
          <cell r="L455" t="str">
            <v/>
          </cell>
        </row>
        <row r="456">
          <cell r="L456" t="str">
            <v/>
          </cell>
        </row>
        <row r="457">
          <cell r="L457" t="str">
            <v/>
          </cell>
        </row>
        <row r="458">
          <cell r="L458" t="str">
            <v/>
          </cell>
        </row>
        <row r="459">
          <cell r="L459" t="str">
            <v/>
          </cell>
        </row>
        <row r="460">
          <cell r="L460" t="str">
            <v/>
          </cell>
        </row>
        <row r="461">
          <cell r="L461" t="str">
            <v/>
          </cell>
        </row>
        <row r="462">
          <cell r="L462" t="str">
            <v/>
          </cell>
        </row>
        <row r="463">
          <cell r="L463" t="str">
            <v/>
          </cell>
        </row>
        <row r="464">
          <cell r="L464" t="str">
            <v/>
          </cell>
        </row>
        <row r="465">
          <cell r="L465" t="str">
            <v/>
          </cell>
        </row>
        <row r="466">
          <cell r="L466" t="str">
            <v/>
          </cell>
        </row>
        <row r="467">
          <cell r="L467" t="str">
            <v/>
          </cell>
        </row>
        <row r="468">
          <cell r="L468" t="str">
            <v/>
          </cell>
        </row>
        <row r="469">
          <cell r="L469" t="str">
            <v/>
          </cell>
        </row>
        <row r="470">
          <cell r="L470" t="str">
            <v/>
          </cell>
        </row>
        <row r="471">
          <cell r="L471" t="str">
            <v/>
          </cell>
        </row>
        <row r="472">
          <cell r="L472" t="str">
            <v/>
          </cell>
        </row>
        <row r="473">
          <cell r="L473" t="str">
            <v/>
          </cell>
        </row>
        <row r="474">
          <cell r="L474" t="str">
            <v/>
          </cell>
        </row>
        <row r="475">
          <cell r="L475" t="str">
            <v/>
          </cell>
        </row>
        <row r="476">
          <cell r="L476" t="str">
            <v/>
          </cell>
        </row>
        <row r="477">
          <cell r="L477" t="str">
            <v/>
          </cell>
        </row>
        <row r="478">
          <cell r="L478" t="str">
            <v/>
          </cell>
        </row>
        <row r="479">
          <cell r="L479" t="str">
            <v/>
          </cell>
        </row>
        <row r="480">
          <cell r="L480" t="str">
            <v/>
          </cell>
        </row>
        <row r="481">
          <cell r="L481" t="str">
            <v/>
          </cell>
        </row>
        <row r="482">
          <cell r="L482" t="str">
            <v/>
          </cell>
        </row>
        <row r="483">
          <cell r="L483" t="str">
            <v/>
          </cell>
        </row>
        <row r="484">
          <cell r="L484" t="str">
            <v/>
          </cell>
        </row>
        <row r="485">
          <cell r="L485" t="str">
            <v/>
          </cell>
        </row>
        <row r="486">
          <cell r="L486" t="str">
            <v/>
          </cell>
        </row>
        <row r="487">
          <cell r="L487" t="str">
            <v/>
          </cell>
        </row>
        <row r="488">
          <cell r="L488" t="str">
            <v/>
          </cell>
        </row>
        <row r="489">
          <cell r="L489" t="str">
            <v/>
          </cell>
        </row>
        <row r="490">
          <cell r="L490" t="str">
            <v/>
          </cell>
        </row>
        <row r="491">
          <cell r="L491" t="str">
            <v/>
          </cell>
        </row>
        <row r="492">
          <cell r="L492" t="str">
            <v/>
          </cell>
        </row>
        <row r="493">
          <cell r="L493" t="str">
            <v/>
          </cell>
        </row>
        <row r="494">
          <cell r="L494" t="str">
            <v/>
          </cell>
        </row>
        <row r="495">
          <cell r="L495" t="str">
            <v/>
          </cell>
        </row>
        <row r="496">
          <cell r="L496" t="str">
            <v/>
          </cell>
        </row>
        <row r="497">
          <cell r="L497" t="str">
            <v/>
          </cell>
        </row>
        <row r="498">
          <cell r="L498" t="str">
            <v/>
          </cell>
        </row>
        <row r="499">
          <cell r="L499" t="str">
            <v/>
          </cell>
        </row>
        <row r="500">
          <cell r="L500" t="str">
            <v/>
          </cell>
        </row>
        <row r="501">
          <cell r="L501" t="str">
            <v/>
          </cell>
        </row>
        <row r="502">
          <cell r="L502" t="str">
            <v/>
          </cell>
        </row>
        <row r="503">
          <cell r="L503" t="str">
            <v/>
          </cell>
        </row>
        <row r="504">
          <cell r="L504" t="str">
            <v/>
          </cell>
        </row>
        <row r="505">
          <cell r="L505" t="str">
            <v/>
          </cell>
        </row>
        <row r="506">
          <cell r="L506" t="str">
            <v/>
          </cell>
        </row>
        <row r="507">
          <cell r="L507" t="str">
            <v/>
          </cell>
        </row>
        <row r="508">
          <cell r="L508" t="str">
            <v/>
          </cell>
        </row>
        <row r="509">
          <cell r="L509" t="str">
            <v/>
          </cell>
        </row>
        <row r="510">
          <cell r="L510" t="str">
            <v/>
          </cell>
        </row>
        <row r="511">
          <cell r="L511" t="str">
            <v/>
          </cell>
        </row>
        <row r="512">
          <cell r="L512" t="str">
            <v/>
          </cell>
        </row>
        <row r="513">
          <cell r="L513" t="str">
            <v/>
          </cell>
        </row>
        <row r="514">
          <cell r="L514" t="str">
            <v/>
          </cell>
        </row>
        <row r="515">
          <cell r="L515" t="str">
            <v/>
          </cell>
        </row>
        <row r="516">
          <cell r="L516" t="str">
            <v/>
          </cell>
        </row>
        <row r="517">
          <cell r="L517" t="str">
            <v/>
          </cell>
        </row>
        <row r="518">
          <cell r="L518" t="str">
            <v/>
          </cell>
        </row>
        <row r="519">
          <cell r="L519" t="str">
            <v/>
          </cell>
        </row>
        <row r="520">
          <cell r="L520" t="str">
            <v/>
          </cell>
        </row>
        <row r="521">
          <cell r="L521" t="str">
            <v/>
          </cell>
        </row>
        <row r="522">
          <cell r="L522" t="str">
            <v/>
          </cell>
        </row>
        <row r="523">
          <cell r="L523" t="str">
            <v/>
          </cell>
        </row>
        <row r="524">
          <cell r="L524" t="str">
            <v/>
          </cell>
        </row>
        <row r="525">
          <cell r="L525" t="str">
            <v/>
          </cell>
        </row>
        <row r="526">
          <cell r="L526" t="str">
            <v/>
          </cell>
        </row>
        <row r="527">
          <cell r="L527" t="str">
            <v/>
          </cell>
        </row>
        <row r="528">
          <cell r="L528" t="str">
            <v/>
          </cell>
        </row>
        <row r="529">
          <cell r="L529" t="str">
            <v/>
          </cell>
        </row>
        <row r="530">
          <cell r="L530" t="str">
            <v/>
          </cell>
        </row>
        <row r="531">
          <cell r="L531" t="str">
            <v/>
          </cell>
        </row>
        <row r="532">
          <cell r="L532" t="str">
            <v/>
          </cell>
        </row>
        <row r="533">
          <cell r="L533" t="str">
            <v/>
          </cell>
        </row>
        <row r="534">
          <cell r="L534" t="str">
            <v/>
          </cell>
        </row>
        <row r="535">
          <cell r="L535" t="str">
            <v/>
          </cell>
        </row>
        <row r="536">
          <cell r="L536" t="str">
            <v/>
          </cell>
        </row>
        <row r="537">
          <cell r="L537" t="str">
            <v/>
          </cell>
        </row>
        <row r="538">
          <cell r="L538" t="str">
            <v/>
          </cell>
        </row>
        <row r="539">
          <cell r="L539" t="str">
            <v/>
          </cell>
        </row>
        <row r="540">
          <cell r="L540" t="str">
            <v/>
          </cell>
        </row>
        <row r="541">
          <cell r="L541" t="str">
            <v/>
          </cell>
        </row>
        <row r="542">
          <cell r="L542" t="str">
            <v/>
          </cell>
        </row>
        <row r="543">
          <cell r="L543" t="str">
            <v/>
          </cell>
        </row>
        <row r="544">
          <cell r="L544" t="str">
            <v/>
          </cell>
        </row>
        <row r="545">
          <cell r="L545" t="str">
            <v/>
          </cell>
        </row>
        <row r="546">
          <cell r="L546" t="str">
            <v/>
          </cell>
        </row>
        <row r="547">
          <cell r="L547" t="str">
            <v/>
          </cell>
        </row>
        <row r="548">
          <cell r="L548" t="str">
            <v/>
          </cell>
        </row>
        <row r="549">
          <cell r="L549" t="str">
            <v/>
          </cell>
        </row>
        <row r="550">
          <cell r="L550" t="str">
            <v/>
          </cell>
        </row>
        <row r="551">
          <cell r="L551" t="str">
            <v/>
          </cell>
        </row>
        <row r="552">
          <cell r="L552" t="str">
            <v/>
          </cell>
        </row>
        <row r="553">
          <cell r="L553" t="str">
            <v/>
          </cell>
        </row>
        <row r="554">
          <cell r="L554" t="str">
            <v/>
          </cell>
        </row>
        <row r="555">
          <cell r="L555" t="str">
            <v/>
          </cell>
        </row>
        <row r="556">
          <cell r="L556" t="str">
            <v/>
          </cell>
        </row>
        <row r="557">
          <cell r="L557" t="str">
            <v/>
          </cell>
        </row>
        <row r="558">
          <cell r="L558" t="str">
            <v/>
          </cell>
        </row>
        <row r="559">
          <cell r="L559" t="str">
            <v/>
          </cell>
        </row>
        <row r="560">
          <cell r="L560" t="str">
            <v/>
          </cell>
        </row>
        <row r="561">
          <cell r="L561" t="str">
            <v/>
          </cell>
        </row>
        <row r="562">
          <cell r="L562" t="str">
            <v/>
          </cell>
        </row>
        <row r="563">
          <cell r="L563" t="str">
            <v/>
          </cell>
        </row>
        <row r="564">
          <cell r="L564" t="str">
            <v/>
          </cell>
        </row>
        <row r="565">
          <cell r="L565" t="str">
            <v/>
          </cell>
        </row>
        <row r="566">
          <cell r="L566" t="str">
            <v/>
          </cell>
        </row>
        <row r="567">
          <cell r="L567" t="str">
            <v/>
          </cell>
        </row>
        <row r="568">
          <cell r="L568" t="str">
            <v/>
          </cell>
        </row>
        <row r="569">
          <cell r="L569" t="str">
            <v/>
          </cell>
        </row>
        <row r="570">
          <cell r="L570" t="str">
            <v/>
          </cell>
        </row>
        <row r="571">
          <cell r="L571" t="str">
            <v/>
          </cell>
        </row>
        <row r="572">
          <cell r="L572" t="str">
            <v/>
          </cell>
        </row>
        <row r="573">
          <cell r="L573" t="str">
            <v/>
          </cell>
        </row>
        <row r="574">
          <cell r="L574" t="str">
            <v/>
          </cell>
        </row>
        <row r="575">
          <cell r="L575" t="str">
            <v/>
          </cell>
        </row>
        <row r="576">
          <cell r="L576" t="str">
            <v/>
          </cell>
        </row>
        <row r="577">
          <cell r="L577" t="str">
            <v/>
          </cell>
        </row>
        <row r="578">
          <cell r="L578" t="str">
            <v/>
          </cell>
        </row>
        <row r="579">
          <cell r="L579" t="str">
            <v/>
          </cell>
        </row>
        <row r="580">
          <cell r="L580" t="str">
            <v/>
          </cell>
        </row>
        <row r="581">
          <cell r="L581" t="str">
            <v/>
          </cell>
        </row>
        <row r="582">
          <cell r="L582" t="str">
            <v/>
          </cell>
        </row>
        <row r="583">
          <cell r="L583" t="str">
            <v/>
          </cell>
        </row>
        <row r="584">
          <cell r="L584" t="str">
            <v/>
          </cell>
        </row>
        <row r="585">
          <cell r="L585" t="str">
            <v/>
          </cell>
        </row>
        <row r="586">
          <cell r="L586" t="str">
            <v/>
          </cell>
        </row>
        <row r="587">
          <cell r="L587" t="str">
            <v/>
          </cell>
        </row>
        <row r="588">
          <cell r="L588" t="str">
            <v/>
          </cell>
        </row>
        <row r="589">
          <cell r="L589" t="str">
            <v/>
          </cell>
        </row>
        <row r="590">
          <cell r="L590" t="str">
            <v/>
          </cell>
        </row>
        <row r="591">
          <cell r="L591" t="str">
            <v/>
          </cell>
        </row>
        <row r="592">
          <cell r="L592" t="str">
            <v/>
          </cell>
        </row>
        <row r="593">
          <cell r="L593" t="str">
            <v/>
          </cell>
        </row>
        <row r="594">
          <cell r="L594" t="str">
            <v/>
          </cell>
        </row>
        <row r="595">
          <cell r="L595" t="str">
            <v/>
          </cell>
        </row>
        <row r="596">
          <cell r="L596" t="str">
            <v/>
          </cell>
        </row>
        <row r="597">
          <cell r="L597" t="str">
            <v/>
          </cell>
        </row>
        <row r="598">
          <cell r="L598" t="str">
            <v/>
          </cell>
        </row>
        <row r="599">
          <cell r="L599" t="str">
            <v/>
          </cell>
        </row>
        <row r="600">
          <cell r="L600" t="str">
            <v/>
          </cell>
        </row>
        <row r="601">
          <cell r="L601" t="str">
            <v/>
          </cell>
        </row>
        <row r="602">
          <cell r="L602" t="str">
            <v/>
          </cell>
        </row>
        <row r="603">
          <cell r="L603" t="str">
            <v/>
          </cell>
        </row>
        <row r="604">
          <cell r="L604" t="str">
            <v/>
          </cell>
        </row>
        <row r="605">
          <cell r="L605" t="str">
            <v/>
          </cell>
        </row>
        <row r="606">
          <cell r="L606" t="str">
            <v/>
          </cell>
        </row>
        <row r="607">
          <cell r="L607" t="str">
            <v/>
          </cell>
        </row>
        <row r="608">
          <cell r="L608" t="str">
            <v/>
          </cell>
        </row>
        <row r="609">
          <cell r="L609" t="str">
            <v/>
          </cell>
        </row>
        <row r="610">
          <cell r="L610" t="str">
            <v/>
          </cell>
        </row>
        <row r="611">
          <cell r="L611" t="str">
            <v/>
          </cell>
        </row>
        <row r="612">
          <cell r="L612" t="str">
            <v/>
          </cell>
        </row>
        <row r="613">
          <cell r="L613" t="str">
            <v/>
          </cell>
        </row>
        <row r="614">
          <cell r="L614" t="str">
            <v/>
          </cell>
        </row>
        <row r="615">
          <cell r="L615" t="str">
            <v/>
          </cell>
        </row>
        <row r="616">
          <cell r="L616" t="str">
            <v/>
          </cell>
        </row>
        <row r="617">
          <cell r="L617" t="str">
            <v/>
          </cell>
        </row>
        <row r="618">
          <cell r="L618" t="str">
            <v/>
          </cell>
        </row>
        <row r="619">
          <cell r="L619" t="str">
            <v/>
          </cell>
        </row>
        <row r="620">
          <cell r="L620" t="str">
            <v/>
          </cell>
        </row>
        <row r="621">
          <cell r="L621" t="str">
            <v/>
          </cell>
        </row>
        <row r="622">
          <cell r="L622" t="str">
            <v/>
          </cell>
        </row>
        <row r="623">
          <cell r="L623" t="str">
            <v/>
          </cell>
        </row>
        <row r="624">
          <cell r="L624" t="str">
            <v/>
          </cell>
        </row>
        <row r="625">
          <cell r="L625" t="str">
            <v/>
          </cell>
        </row>
        <row r="626">
          <cell r="L626" t="str">
            <v/>
          </cell>
        </row>
        <row r="627">
          <cell r="L627" t="str">
            <v/>
          </cell>
        </row>
        <row r="628">
          <cell r="L628" t="str">
            <v/>
          </cell>
        </row>
        <row r="629">
          <cell r="L629" t="str">
            <v/>
          </cell>
        </row>
        <row r="630">
          <cell r="L630" t="str">
            <v/>
          </cell>
        </row>
        <row r="631">
          <cell r="L631" t="str">
            <v/>
          </cell>
        </row>
        <row r="632">
          <cell r="L632" t="str">
            <v/>
          </cell>
        </row>
        <row r="633">
          <cell r="L633" t="str">
            <v/>
          </cell>
        </row>
        <row r="634">
          <cell r="L634" t="str">
            <v/>
          </cell>
        </row>
        <row r="635">
          <cell r="L635" t="str">
            <v/>
          </cell>
        </row>
        <row r="636">
          <cell r="L636" t="str">
            <v/>
          </cell>
        </row>
        <row r="637">
          <cell r="L637" t="str">
            <v/>
          </cell>
        </row>
        <row r="638">
          <cell r="L638" t="str">
            <v/>
          </cell>
        </row>
        <row r="639">
          <cell r="L639" t="str">
            <v/>
          </cell>
        </row>
        <row r="640">
          <cell r="L640" t="str">
            <v/>
          </cell>
        </row>
        <row r="641">
          <cell r="L641" t="str">
            <v/>
          </cell>
        </row>
        <row r="642">
          <cell r="L642" t="str">
            <v/>
          </cell>
        </row>
        <row r="643">
          <cell r="L643" t="str">
            <v/>
          </cell>
        </row>
        <row r="644">
          <cell r="L644" t="str">
            <v/>
          </cell>
        </row>
        <row r="645">
          <cell r="L645" t="str">
            <v/>
          </cell>
        </row>
        <row r="646">
          <cell r="L646" t="str">
            <v/>
          </cell>
        </row>
        <row r="647">
          <cell r="L647" t="str">
            <v/>
          </cell>
        </row>
        <row r="648">
          <cell r="L648" t="str">
            <v/>
          </cell>
        </row>
        <row r="649">
          <cell r="L649" t="str">
            <v/>
          </cell>
        </row>
        <row r="650">
          <cell r="L650" t="str">
            <v/>
          </cell>
        </row>
        <row r="651">
          <cell r="L651" t="str">
            <v/>
          </cell>
        </row>
        <row r="652">
          <cell r="L652" t="str">
            <v/>
          </cell>
        </row>
        <row r="653">
          <cell r="L653" t="str">
            <v/>
          </cell>
        </row>
        <row r="654">
          <cell r="L654" t="str">
            <v/>
          </cell>
        </row>
        <row r="655">
          <cell r="L655" t="str">
            <v/>
          </cell>
        </row>
        <row r="656">
          <cell r="L656" t="str">
            <v/>
          </cell>
        </row>
        <row r="657">
          <cell r="L657" t="str">
            <v/>
          </cell>
        </row>
        <row r="658">
          <cell r="L658" t="str">
            <v/>
          </cell>
        </row>
        <row r="659">
          <cell r="L659" t="str">
            <v/>
          </cell>
        </row>
        <row r="660">
          <cell r="L660" t="str">
            <v/>
          </cell>
        </row>
        <row r="661">
          <cell r="L661" t="str">
            <v/>
          </cell>
        </row>
        <row r="662">
          <cell r="L662" t="str">
            <v/>
          </cell>
        </row>
        <row r="663">
          <cell r="L663" t="str">
            <v/>
          </cell>
        </row>
        <row r="664">
          <cell r="L664" t="str">
            <v/>
          </cell>
        </row>
        <row r="665">
          <cell r="L665" t="str">
            <v/>
          </cell>
        </row>
        <row r="666">
          <cell r="L666" t="str">
            <v/>
          </cell>
        </row>
        <row r="667">
          <cell r="L667" t="str">
            <v/>
          </cell>
        </row>
        <row r="668">
          <cell r="L668" t="str">
            <v/>
          </cell>
        </row>
        <row r="669">
          <cell r="L669" t="str">
            <v/>
          </cell>
        </row>
        <row r="670">
          <cell r="L670" t="str">
            <v/>
          </cell>
        </row>
        <row r="671">
          <cell r="L671" t="str">
            <v/>
          </cell>
        </row>
        <row r="672">
          <cell r="L672" t="str">
            <v/>
          </cell>
        </row>
        <row r="673">
          <cell r="L673" t="str">
            <v/>
          </cell>
        </row>
        <row r="674">
          <cell r="L674" t="str">
            <v/>
          </cell>
        </row>
        <row r="675">
          <cell r="L675" t="str">
            <v/>
          </cell>
        </row>
        <row r="676">
          <cell r="L676" t="str">
            <v/>
          </cell>
        </row>
        <row r="677">
          <cell r="L677" t="str">
            <v/>
          </cell>
        </row>
        <row r="678">
          <cell r="L678" t="str">
            <v/>
          </cell>
        </row>
        <row r="679">
          <cell r="L679" t="str">
            <v/>
          </cell>
        </row>
        <row r="680">
          <cell r="L680" t="str">
            <v/>
          </cell>
        </row>
        <row r="681">
          <cell r="L681" t="str">
            <v/>
          </cell>
        </row>
        <row r="682">
          <cell r="L682" t="str">
            <v/>
          </cell>
        </row>
        <row r="683">
          <cell r="L683" t="str">
            <v/>
          </cell>
        </row>
        <row r="684">
          <cell r="L684" t="str">
            <v/>
          </cell>
        </row>
        <row r="685">
          <cell r="L685" t="str">
            <v/>
          </cell>
        </row>
        <row r="686">
          <cell r="L686" t="str">
            <v/>
          </cell>
        </row>
        <row r="687">
          <cell r="L687" t="str">
            <v/>
          </cell>
        </row>
        <row r="688">
          <cell r="L688" t="str">
            <v/>
          </cell>
        </row>
        <row r="689">
          <cell r="L689" t="str">
            <v/>
          </cell>
        </row>
        <row r="690">
          <cell r="L690" t="str">
            <v/>
          </cell>
        </row>
        <row r="691">
          <cell r="L691" t="str">
            <v/>
          </cell>
        </row>
        <row r="692">
          <cell r="L692" t="str">
            <v/>
          </cell>
        </row>
        <row r="693">
          <cell r="L693" t="str">
            <v/>
          </cell>
        </row>
        <row r="694">
          <cell r="L694" t="str">
            <v/>
          </cell>
        </row>
        <row r="695">
          <cell r="L695" t="str">
            <v/>
          </cell>
        </row>
        <row r="696">
          <cell r="L696" t="str">
            <v/>
          </cell>
        </row>
        <row r="697">
          <cell r="L697" t="str">
            <v/>
          </cell>
        </row>
        <row r="698">
          <cell r="L698" t="str">
            <v/>
          </cell>
        </row>
        <row r="699">
          <cell r="L699" t="str">
            <v/>
          </cell>
        </row>
        <row r="700">
          <cell r="L700" t="str">
            <v/>
          </cell>
        </row>
        <row r="701">
          <cell r="L701" t="str">
            <v/>
          </cell>
        </row>
        <row r="702">
          <cell r="L702" t="str">
            <v/>
          </cell>
        </row>
        <row r="703">
          <cell r="L703" t="str">
            <v/>
          </cell>
        </row>
        <row r="704">
          <cell r="L704" t="str">
            <v/>
          </cell>
        </row>
        <row r="705">
          <cell r="L705" t="str">
            <v/>
          </cell>
        </row>
        <row r="706">
          <cell r="L706" t="str">
            <v/>
          </cell>
        </row>
        <row r="707">
          <cell r="L707" t="str">
            <v/>
          </cell>
        </row>
        <row r="708">
          <cell r="L708" t="str">
            <v/>
          </cell>
        </row>
        <row r="709">
          <cell r="L709" t="str">
            <v/>
          </cell>
        </row>
        <row r="710">
          <cell r="L710" t="str">
            <v/>
          </cell>
        </row>
        <row r="711">
          <cell r="L711" t="str">
            <v/>
          </cell>
        </row>
        <row r="712">
          <cell r="L712" t="str">
            <v/>
          </cell>
        </row>
        <row r="713">
          <cell r="L713" t="str">
            <v/>
          </cell>
        </row>
        <row r="714">
          <cell r="L714" t="str">
            <v/>
          </cell>
        </row>
        <row r="715">
          <cell r="L715" t="str">
            <v/>
          </cell>
        </row>
        <row r="716">
          <cell r="L716" t="str">
            <v/>
          </cell>
        </row>
        <row r="717">
          <cell r="L717" t="str">
            <v/>
          </cell>
        </row>
        <row r="718">
          <cell r="L718" t="str">
            <v/>
          </cell>
        </row>
        <row r="719">
          <cell r="L719" t="str">
            <v/>
          </cell>
        </row>
        <row r="720">
          <cell r="L720" t="str">
            <v/>
          </cell>
        </row>
        <row r="721">
          <cell r="L721" t="str">
            <v/>
          </cell>
        </row>
        <row r="722">
          <cell r="L722" t="str">
            <v/>
          </cell>
        </row>
        <row r="723">
          <cell r="L723" t="str">
            <v/>
          </cell>
        </row>
        <row r="724">
          <cell r="L724" t="str">
            <v/>
          </cell>
        </row>
        <row r="725">
          <cell r="L725" t="str">
            <v/>
          </cell>
        </row>
        <row r="726">
          <cell r="L726" t="str">
            <v/>
          </cell>
        </row>
        <row r="727">
          <cell r="L727" t="str">
            <v/>
          </cell>
        </row>
        <row r="728">
          <cell r="L728" t="str">
            <v/>
          </cell>
        </row>
        <row r="729">
          <cell r="L729" t="str">
            <v/>
          </cell>
        </row>
        <row r="730">
          <cell r="L730" t="str">
            <v/>
          </cell>
        </row>
        <row r="731">
          <cell r="L731" t="str">
            <v/>
          </cell>
        </row>
        <row r="732">
          <cell r="L732" t="str">
            <v/>
          </cell>
        </row>
        <row r="733">
          <cell r="L733" t="str">
            <v/>
          </cell>
        </row>
        <row r="734">
          <cell r="L734" t="str">
            <v/>
          </cell>
        </row>
        <row r="735">
          <cell r="L735" t="str">
            <v/>
          </cell>
        </row>
        <row r="736">
          <cell r="L736" t="str">
            <v/>
          </cell>
        </row>
        <row r="737">
          <cell r="L737" t="str">
            <v/>
          </cell>
        </row>
        <row r="738">
          <cell r="L738" t="str">
            <v/>
          </cell>
        </row>
        <row r="739">
          <cell r="L739" t="str">
            <v/>
          </cell>
        </row>
        <row r="740">
          <cell r="L740" t="str">
            <v/>
          </cell>
        </row>
        <row r="741">
          <cell r="L741" t="str">
            <v/>
          </cell>
        </row>
        <row r="742">
          <cell r="L742" t="str">
            <v/>
          </cell>
        </row>
        <row r="743">
          <cell r="L743" t="str">
            <v/>
          </cell>
        </row>
        <row r="744">
          <cell r="L744" t="str">
            <v/>
          </cell>
        </row>
        <row r="745">
          <cell r="L745" t="str">
            <v/>
          </cell>
        </row>
        <row r="746">
          <cell r="L746" t="str">
            <v/>
          </cell>
        </row>
        <row r="747">
          <cell r="L747" t="str">
            <v/>
          </cell>
        </row>
        <row r="748">
          <cell r="L748" t="str">
            <v/>
          </cell>
        </row>
        <row r="749">
          <cell r="L749" t="str">
            <v/>
          </cell>
        </row>
        <row r="750">
          <cell r="L750" t="str">
            <v/>
          </cell>
        </row>
        <row r="751">
          <cell r="L751" t="str">
            <v/>
          </cell>
        </row>
        <row r="752">
          <cell r="L752" t="str">
            <v/>
          </cell>
        </row>
        <row r="753">
          <cell r="L753" t="str">
            <v/>
          </cell>
        </row>
        <row r="754">
          <cell r="L754" t="str">
            <v/>
          </cell>
        </row>
        <row r="755">
          <cell r="L755" t="str">
            <v/>
          </cell>
        </row>
        <row r="756">
          <cell r="L756" t="str">
            <v/>
          </cell>
        </row>
        <row r="757">
          <cell r="L757" t="str">
            <v/>
          </cell>
        </row>
        <row r="758">
          <cell r="L758" t="str">
            <v/>
          </cell>
        </row>
        <row r="759">
          <cell r="L759" t="str">
            <v/>
          </cell>
        </row>
        <row r="760">
          <cell r="L760" t="str">
            <v/>
          </cell>
        </row>
        <row r="761">
          <cell r="L761" t="str">
            <v/>
          </cell>
        </row>
        <row r="762">
          <cell r="L762" t="str">
            <v/>
          </cell>
        </row>
        <row r="763">
          <cell r="L763" t="str">
            <v/>
          </cell>
        </row>
        <row r="764">
          <cell r="L764" t="str">
            <v/>
          </cell>
        </row>
        <row r="765">
          <cell r="L765" t="str">
            <v/>
          </cell>
        </row>
        <row r="766">
          <cell r="L766" t="str">
            <v/>
          </cell>
        </row>
        <row r="767">
          <cell r="L767" t="str">
            <v/>
          </cell>
        </row>
        <row r="768">
          <cell r="L768" t="str">
            <v/>
          </cell>
        </row>
        <row r="769">
          <cell r="L769" t="str">
            <v/>
          </cell>
        </row>
        <row r="770">
          <cell r="L770" t="str">
            <v/>
          </cell>
        </row>
        <row r="771">
          <cell r="L771" t="str">
            <v/>
          </cell>
        </row>
        <row r="772">
          <cell r="L772" t="str">
            <v/>
          </cell>
        </row>
        <row r="773">
          <cell r="L773" t="str">
            <v/>
          </cell>
        </row>
        <row r="774">
          <cell r="L774" t="str">
            <v/>
          </cell>
        </row>
        <row r="775">
          <cell r="L775" t="str">
            <v/>
          </cell>
        </row>
        <row r="776">
          <cell r="L776" t="str">
            <v/>
          </cell>
        </row>
        <row r="777">
          <cell r="L777" t="str">
            <v/>
          </cell>
        </row>
        <row r="778">
          <cell r="L778" t="str">
            <v/>
          </cell>
        </row>
        <row r="779">
          <cell r="L779" t="str">
            <v/>
          </cell>
        </row>
        <row r="780">
          <cell r="L780" t="str">
            <v/>
          </cell>
        </row>
        <row r="781">
          <cell r="L781" t="str">
            <v/>
          </cell>
        </row>
        <row r="782">
          <cell r="L782" t="str">
            <v/>
          </cell>
        </row>
        <row r="783">
          <cell r="L783" t="str">
            <v/>
          </cell>
        </row>
        <row r="784">
          <cell r="L784" t="str">
            <v/>
          </cell>
        </row>
        <row r="785">
          <cell r="L785" t="str">
            <v/>
          </cell>
        </row>
        <row r="786">
          <cell r="L786" t="str">
            <v/>
          </cell>
        </row>
        <row r="787">
          <cell r="L787" t="str">
            <v/>
          </cell>
        </row>
        <row r="788">
          <cell r="L788" t="str">
            <v/>
          </cell>
        </row>
        <row r="789">
          <cell r="L789" t="str">
            <v/>
          </cell>
        </row>
        <row r="790">
          <cell r="L790" t="str">
            <v/>
          </cell>
        </row>
        <row r="791">
          <cell r="L791" t="str">
            <v/>
          </cell>
        </row>
        <row r="792">
          <cell r="L792" t="str">
            <v/>
          </cell>
        </row>
        <row r="793">
          <cell r="L793" t="str">
            <v/>
          </cell>
        </row>
        <row r="794">
          <cell r="L794" t="str">
            <v/>
          </cell>
        </row>
        <row r="795">
          <cell r="L795" t="str">
            <v/>
          </cell>
        </row>
        <row r="796">
          <cell r="L796" t="str">
            <v/>
          </cell>
        </row>
        <row r="797">
          <cell r="L797" t="str">
            <v/>
          </cell>
        </row>
        <row r="798">
          <cell r="L798" t="str">
            <v/>
          </cell>
        </row>
        <row r="799">
          <cell r="L799" t="str">
            <v/>
          </cell>
        </row>
        <row r="800">
          <cell r="L800" t="str">
            <v/>
          </cell>
        </row>
        <row r="801">
          <cell r="L801" t="str">
            <v/>
          </cell>
        </row>
        <row r="802">
          <cell r="L802" t="str">
            <v/>
          </cell>
        </row>
        <row r="803">
          <cell r="L803" t="str">
            <v/>
          </cell>
        </row>
        <row r="804">
          <cell r="L804" t="str">
            <v/>
          </cell>
        </row>
        <row r="805">
          <cell r="L805" t="str">
            <v/>
          </cell>
        </row>
        <row r="806">
          <cell r="L806" t="str">
            <v/>
          </cell>
        </row>
        <row r="807">
          <cell r="L807" t="str">
            <v/>
          </cell>
        </row>
        <row r="808">
          <cell r="L808" t="str">
            <v/>
          </cell>
        </row>
        <row r="809">
          <cell r="L809" t="str">
            <v/>
          </cell>
        </row>
        <row r="810">
          <cell r="L810" t="str">
            <v/>
          </cell>
        </row>
        <row r="811">
          <cell r="L811" t="str">
            <v/>
          </cell>
        </row>
        <row r="812">
          <cell r="L812" t="str">
            <v/>
          </cell>
        </row>
        <row r="813">
          <cell r="L813" t="str">
            <v/>
          </cell>
        </row>
        <row r="814">
          <cell r="L814" t="str">
            <v/>
          </cell>
        </row>
        <row r="815">
          <cell r="L815" t="str">
            <v/>
          </cell>
        </row>
        <row r="816">
          <cell r="L816" t="str">
            <v/>
          </cell>
        </row>
        <row r="817">
          <cell r="L817" t="str">
            <v/>
          </cell>
        </row>
        <row r="818">
          <cell r="L818" t="str">
            <v/>
          </cell>
        </row>
        <row r="819">
          <cell r="L819" t="str">
            <v/>
          </cell>
        </row>
        <row r="820">
          <cell r="L820" t="str">
            <v/>
          </cell>
        </row>
        <row r="821">
          <cell r="L821" t="str">
            <v/>
          </cell>
        </row>
        <row r="822">
          <cell r="L822" t="str">
            <v/>
          </cell>
        </row>
        <row r="823">
          <cell r="L823" t="str">
            <v/>
          </cell>
        </row>
        <row r="824">
          <cell r="L824" t="str">
            <v/>
          </cell>
        </row>
        <row r="825">
          <cell r="L825" t="str">
            <v/>
          </cell>
        </row>
        <row r="826">
          <cell r="L826" t="str">
            <v/>
          </cell>
        </row>
        <row r="827">
          <cell r="L827" t="str">
            <v/>
          </cell>
        </row>
        <row r="828">
          <cell r="L828" t="str">
            <v/>
          </cell>
        </row>
        <row r="829">
          <cell r="L829" t="str">
            <v/>
          </cell>
        </row>
        <row r="830">
          <cell r="L830" t="str">
            <v/>
          </cell>
        </row>
        <row r="831">
          <cell r="L831" t="str">
            <v/>
          </cell>
        </row>
        <row r="832">
          <cell r="L832" t="str">
            <v/>
          </cell>
        </row>
        <row r="833">
          <cell r="L833" t="str">
            <v/>
          </cell>
        </row>
        <row r="834">
          <cell r="L834" t="str">
            <v/>
          </cell>
        </row>
        <row r="835">
          <cell r="L835" t="str">
            <v/>
          </cell>
        </row>
        <row r="836">
          <cell r="L836" t="str">
            <v/>
          </cell>
        </row>
        <row r="837">
          <cell r="L837" t="str">
            <v/>
          </cell>
        </row>
        <row r="838">
          <cell r="L838" t="str">
            <v/>
          </cell>
        </row>
        <row r="839">
          <cell r="L839" t="str">
            <v/>
          </cell>
        </row>
        <row r="840">
          <cell r="L840" t="str">
            <v/>
          </cell>
        </row>
        <row r="841">
          <cell r="L841" t="str">
            <v/>
          </cell>
        </row>
        <row r="842">
          <cell r="L842" t="str">
            <v/>
          </cell>
        </row>
        <row r="843">
          <cell r="L843" t="str">
            <v/>
          </cell>
        </row>
        <row r="844">
          <cell r="L844" t="str">
            <v/>
          </cell>
        </row>
        <row r="845">
          <cell r="L845" t="str">
            <v/>
          </cell>
        </row>
        <row r="846">
          <cell r="L846" t="str">
            <v/>
          </cell>
        </row>
        <row r="847">
          <cell r="L847" t="str">
            <v/>
          </cell>
        </row>
        <row r="848">
          <cell r="L848" t="str">
            <v/>
          </cell>
        </row>
        <row r="849">
          <cell r="L849" t="str">
            <v/>
          </cell>
        </row>
        <row r="850">
          <cell r="L850" t="str">
            <v/>
          </cell>
        </row>
        <row r="851">
          <cell r="L851" t="str">
            <v/>
          </cell>
        </row>
        <row r="852">
          <cell r="L852" t="str">
            <v/>
          </cell>
        </row>
        <row r="853">
          <cell r="L853" t="str">
            <v/>
          </cell>
        </row>
        <row r="854">
          <cell r="L854" t="str">
            <v/>
          </cell>
        </row>
        <row r="855">
          <cell r="L855" t="str">
            <v/>
          </cell>
        </row>
        <row r="856">
          <cell r="L856" t="str">
            <v/>
          </cell>
        </row>
        <row r="857">
          <cell r="L857" t="str">
            <v/>
          </cell>
        </row>
        <row r="858">
          <cell r="L858" t="str">
            <v/>
          </cell>
        </row>
        <row r="859">
          <cell r="L859" t="str">
            <v/>
          </cell>
        </row>
        <row r="860">
          <cell r="L860" t="str">
            <v/>
          </cell>
        </row>
        <row r="861">
          <cell r="L861" t="str">
            <v/>
          </cell>
        </row>
        <row r="862">
          <cell r="L862" t="str">
            <v/>
          </cell>
        </row>
        <row r="863">
          <cell r="L863" t="str">
            <v/>
          </cell>
        </row>
        <row r="864">
          <cell r="L864" t="str">
            <v/>
          </cell>
        </row>
        <row r="865">
          <cell r="L865" t="str">
            <v/>
          </cell>
        </row>
        <row r="866">
          <cell r="L866" t="str">
            <v/>
          </cell>
        </row>
        <row r="867">
          <cell r="L867" t="str">
            <v/>
          </cell>
        </row>
        <row r="868">
          <cell r="L868" t="str">
            <v/>
          </cell>
        </row>
        <row r="869">
          <cell r="L869" t="str">
            <v/>
          </cell>
        </row>
        <row r="870">
          <cell r="L870" t="str">
            <v/>
          </cell>
        </row>
        <row r="871">
          <cell r="L871" t="str">
            <v/>
          </cell>
        </row>
        <row r="872">
          <cell r="L872" t="str">
            <v/>
          </cell>
        </row>
        <row r="873">
          <cell r="L873" t="str">
            <v/>
          </cell>
        </row>
        <row r="874">
          <cell r="L874" t="str">
            <v/>
          </cell>
        </row>
        <row r="875">
          <cell r="L875" t="str">
            <v/>
          </cell>
        </row>
        <row r="876">
          <cell r="L876" t="str">
            <v/>
          </cell>
        </row>
        <row r="877">
          <cell r="L877" t="str">
            <v/>
          </cell>
        </row>
        <row r="878">
          <cell r="L878" t="str">
            <v/>
          </cell>
        </row>
        <row r="879">
          <cell r="L879" t="str">
            <v/>
          </cell>
        </row>
        <row r="880">
          <cell r="L880" t="str">
            <v/>
          </cell>
        </row>
        <row r="881">
          <cell r="L881" t="str">
            <v/>
          </cell>
        </row>
        <row r="882">
          <cell r="L882" t="str">
            <v/>
          </cell>
        </row>
        <row r="883">
          <cell r="L883" t="str">
            <v/>
          </cell>
        </row>
        <row r="884">
          <cell r="L884" t="str">
            <v/>
          </cell>
        </row>
        <row r="885">
          <cell r="L885" t="str">
            <v/>
          </cell>
        </row>
        <row r="886">
          <cell r="L886" t="str">
            <v/>
          </cell>
        </row>
        <row r="887">
          <cell r="L887" t="str">
            <v/>
          </cell>
        </row>
        <row r="888">
          <cell r="L888" t="str">
            <v/>
          </cell>
        </row>
        <row r="889">
          <cell r="L889" t="str">
            <v/>
          </cell>
        </row>
        <row r="890">
          <cell r="L890" t="str">
            <v/>
          </cell>
        </row>
        <row r="891">
          <cell r="L891" t="str">
            <v/>
          </cell>
        </row>
        <row r="892">
          <cell r="L892" t="str">
            <v/>
          </cell>
        </row>
        <row r="893">
          <cell r="L893" t="str">
            <v/>
          </cell>
        </row>
        <row r="894">
          <cell r="L894" t="str">
            <v/>
          </cell>
        </row>
        <row r="895">
          <cell r="L895" t="str">
            <v/>
          </cell>
        </row>
        <row r="896">
          <cell r="L896" t="str">
            <v/>
          </cell>
        </row>
        <row r="897">
          <cell r="L897" t="str">
            <v/>
          </cell>
        </row>
        <row r="898">
          <cell r="L898" t="str">
            <v/>
          </cell>
        </row>
        <row r="899">
          <cell r="L899" t="str">
            <v/>
          </cell>
        </row>
        <row r="900">
          <cell r="L900" t="str">
            <v/>
          </cell>
        </row>
        <row r="901">
          <cell r="L901" t="str">
            <v/>
          </cell>
        </row>
        <row r="902">
          <cell r="L902" t="str">
            <v/>
          </cell>
        </row>
        <row r="903">
          <cell r="L903" t="str">
            <v/>
          </cell>
        </row>
        <row r="904">
          <cell r="L904" t="str">
            <v/>
          </cell>
        </row>
        <row r="905">
          <cell r="L905" t="str">
            <v/>
          </cell>
        </row>
        <row r="906">
          <cell r="L906" t="str">
            <v/>
          </cell>
        </row>
        <row r="907">
          <cell r="L907" t="str">
            <v/>
          </cell>
        </row>
        <row r="908">
          <cell r="L908" t="str">
            <v/>
          </cell>
        </row>
        <row r="909">
          <cell r="L909" t="str">
            <v/>
          </cell>
        </row>
        <row r="910">
          <cell r="L910" t="str">
            <v/>
          </cell>
        </row>
        <row r="911">
          <cell r="L911" t="str">
            <v/>
          </cell>
        </row>
        <row r="912">
          <cell r="L912" t="str">
            <v/>
          </cell>
        </row>
        <row r="913">
          <cell r="L913" t="str">
            <v/>
          </cell>
        </row>
        <row r="914">
          <cell r="L914" t="str">
            <v/>
          </cell>
        </row>
        <row r="915">
          <cell r="L915" t="str">
            <v/>
          </cell>
        </row>
        <row r="916">
          <cell r="L916" t="str">
            <v/>
          </cell>
        </row>
        <row r="917">
          <cell r="L917" t="str">
            <v/>
          </cell>
        </row>
        <row r="918">
          <cell r="L918" t="str">
            <v/>
          </cell>
        </row>
        <row r="919">
          <cell r="L919" t="str">
            <v/>
          </cell>
        </row>
        <row r="920">
          <cell r="L920" t="str">
            <v/>
          </cell>
        </row>
        <row r="921">
          <cell r="L921" t="str">
            <v/>
          </cell>
        </row>
        <row r="922">
          <cell r="L922" t="str">
            <v/>
          </cell>
        </row>
        <row r="923">
          <cell r="L923" t="str">
            <v/>
          </cell>
        </row>
        <row r="924">
          <cell r="L924" t="str">
            <v/>
          </cell>
        </row>
        <row r="925">
          <cell r="L925" t="str">
            <v/>
          </cell>
        </row>
        <row r="926">
          <cell r="L926" t="str">
            <v/>
          </cell>
        </row>
        <row r="927">
          <cell r="L927" t="str">
            <v/>
          </cell>
        </row>
        <row r="928">
          <cell r="L928" t="str">
            <v/>
          </cell>
        </row>
        <row r="929">
          <cell r="L929" t="str">
            <v/>
          </cell>
        </row>
        <row r="930">
          <cell r="L930" t="str">
            <v/>
          </cell>
        </row>
        <row r="931">
          <cell r="L931" t="str">
            <v/>
          </cell>
        </row>
        <row r="932">
          <cell r="L932" t="str">
            <v/>
          </cell>
        </row>
        <row r="933">
          <cell r="L933" t="str">
            <v/>
          </cell>
        </row>
        <row r="934">
          <cell r="L934" t="str">
            <v/>
          </cell>
        </row>
        <row r="935">
          <cell r="L935" t="str">
            <v/>
          </cell>
        </row>
        <row r="936">
          <cell r="L936" t="str">
            <v/>
          </cell>
        </row>
        <row r="937">
          <cell r="L937" t="str">
            <v/>
          </cell>
        </row>
        <row r="938">
          <cell r="L938" t="str">
            <v/>
          </cell>
        </row>
        <row r="939">
          <cell r="L939" t="str">
            <v/>
          </cell>
        </row>
        <row r="940">
          <cell r="L940" t="str">
            <v/>
          </cell>
        </row>
        <row r="941">
          <cell r="L941" t="str">
            <v/>
          </cell>
        </row>
        <row r="942">
          <cell r="L942" t="str">
            <v/>
          </cell>
        </row>
        <row r="943">
          <cell r="L943" t="str">
            <v/>
          </cell>
        </row>
        <row r="944">
          <cell r="L944" t="str">
            <v/>
          </cell>
        </row>
        <row r="945">
          <cell r="L945" t="str">
            <v/>
          </cell>
        </row>
        <row r="946">
          <cell r="L946" t="str">
            <v/>
          </cell>
        </row>
        <row r="947">
          <cell r="L947" t="str">
            <v/>
          </cell>
        </row>
        <row r="948">
          <cell r="L948" t="str">
            <v/>
          </cell>
        </row>
        <row r="949">
          <cell r="L949" t="str">
            <v/>
          </cell>
        </row>
        <row r="950">
          <cell r="L950" t="str">
            <v/>
          </cell>
        </row>
        <row r="951">
          <cell r="L951" t="str">
            <v/>
          </cell>
        </row>
        <row r="952">
          <cell r="L952" t="str">
            <v/>
          </cell>
        </row>
        <row r="953">
          <cell r="L953" t="str">
            <v/>
          </cell>
        </row>
        <row r="954">
          <cell r="L954" t="str">
            <v/>
          </cell>
        </row>
        <row r="955">
          <cell r="L955" t="str">
            <v/>
          </cell>
        </row>
        <row r="956">
          <cell r="L956" t="str">
            <v/>
          </cell>
        </row>
        <row r="957">
          <cell r="L957" t="str">
            <v/>
          </cell>
        </row>
        <row r="958">
          <cell r="L958" t="str">
            <v/>
          </cell>
        </row>
        <row r="959">
          <cell r="L959" t="str">
            <v/>
          </cell>
        </row>
        <row r="960">
          <cell r="L960" t="str">
            <v/>
          </cell>
        </row>
        <row r="961">
          <cell r="L961" t="str">
            <v/>
          </cell>
        </row>
        <row r="962">
          <cell r="L962" t="str">
            <v/>
          </cell>
        </row>
        <row r="963">
          <cell r="L963" t="str">
            <v/>
          </cell>
        </row>
        <row r="964">
          <cell r="L964" t="str">
            <v/>
          </cell>
        </row>
        <row r="965">
          <cell r="L965" t="str">
            <v/>
          </cell>
        </row>
        <row r="966">
          <cell r="L966" t="str">
            <v/>
          </cell>
        </row>
        <row r="967">
          <cell r="L967" t="str">
            <v/>
          </cell>
        </row>
        <row r="968">
          <cell r="L968" t="str">
            <v/>
          </cell>
        </row>
        <row r="969">
          <cell r="L969" t="str">
            <v/>
          </cell>
        </row>
        <row r="970">
          <cell r="L970" t="str">
            <v/>
          </cell>
        </row>
        <row r="971">
          <cell r="L971" t="str">
            <v/>
          </cell>
        </row>
        <row r="972">
          <cell r="L972" t="str">
            <v/>
          </cell>
        </row>
        <row r="973">
          <cell r="L973" t="str">
            <v/>
          </cell>
        </row>
        <row r="974">
          <cell r="L974" t="str">
            <v/>
          </cell>
        </row>
        <row r="975">
          <cell r="L975" t="str">
            <v/>
          </cell>
        </row>
        <row r="976">
          <cell r="L976" t="str">
            <v/>
          </cell>
        </row>
        <row r="977">
          <cell r="L977" t="str">
            <v/>
          </cell>
        </row>
        <row r="978">
          <cell r="L978" t="str">
            <v/>
          </cell>
        </row>
        <row r="979">
          <cell r="L979" t="str">
            <v/>
          </cell>
        </row>
        <row r="980">
          <cell r="L980" t="str">
            <v/>
          </cell>
        </row>
        <row r="981">
          <cell r="L981" t="str">
            <v/>
          </cell>
        </row>
        <row r="982">
          <cell r="L982" t="str">
            <v/>
          </cell>
        </row>
        <row r="983">
          <cell r="L983" t="str">
            <v/>
          </cell>
        </row>
        <row r="984">
          <cell r="L984" t="str">
            <v/>
          </cell>
        </row>
        <row r="985">
          <cell r="L985" t="str">
            <v/>
          </cell>
        </row>
        <row r="986">
          <cell r="L986" t="str">
            <v/>
          </cell>
        </row>
        <row r="987">
          <cell r="L987" t="str">
            <v/>
          </cell>
        </row>
        <row r="988">
          <cell r="L988" t="str">
            <v/>
          </cell>
        </row>
        <row r="989">
          <cell r="L989" t="str">
            <v/>
          </cell>
        </row>
        <row r="990">
          <cell r="L990" t="str">
            <v/>
          </cell>
        </row>
        <row r="991">
          <cell r="L991" t="str">
            <v/>
          </cell>
        </row>
        <row r="992">
          <cell r="L992" t="str">
            <v/>
          </cell>
        </row>
        <row r="993">
          <cell r="L993" t="str">
            <v/>
          </cell>
        </row>
        <row r="994">
          <cell r="L994" t="str">
            <v/>
          </cell>
        </row>
        <row r="995">
          <cell r="L995" t="str">
            <v/>
          </cell>
        </row>
        <row r="996">
          <cell r="L996" t="str">
            <v/>
          </cell>
        </row>
        <row r="997">
          <cell r="L997" t="str">
            <v/>
          </cell>
        </row>
        <row r="998">
          <cell r="L998" t="str">
            <v/>
          </cell>
        </row>
        <row r="999">
          <cell r="L999" t="str">
            <v/>
          </cell>
        </row>
        <row r="1000">
          <cell r="L1000" t="str">
            <v/>
          </cell>
        </row>
        <row r="1001">
          <cell r="L1001" t="str">
            <v/>
          </cell>
        </row>
        <row r="1002">
          <cell r="L1002" t="str">
            <v/>
          </cell>
        </row>
        <row r="1003">
          <cell r="L1003" t="str">
            <v/>
          </cell>
        </row>
        <row r="1004">
          <cell r="L1004" t="str">
            <v/>
          </cell>
        </row>
        <row r="1005">
          <cell r="L1005" t="str">
            <v/>
          </cell>
        </row>
        <row r="1006">
          <cell r="L1006" t="str">
            <v/>
          </cell>
        </row>
        <row r="1007">
          <cell r="L1007" t="str">
            <v/>
          </cell>
        </row>
        <row r="1008">
          <cell r="L1008" t="str">
            <v/>
          </cell>
        </row>
        <row r="1009">
          <cell r="L1009" t="str">
            <v/>
          </cell>
        </row>
        <row r="1010">
          <cell r="L1010" t="str">
            <v/>
          </cell>
        </row>
        <row r="1011">
          <cell r="L1011" t="str">
            <v/>
          </cell>
        </row>
        <row r="1012">
          <cell r="L1012" t="str">
            <v/>
          </cell>
        </row>
      </sheetData>
      <sheetData sheetId="2"/>
      <sheetData sheetId="3"/>
      <sheetData sheetId="4"/>
      <sheetData sheetId="5"/>
      <sheetData sheetId="6"/>
      <sheetData sheetId="7"/>
      <sheetData sheetId="8"/>
      <sheetData sheetId="9"/>
      <sheetData sheetId="10">
        <row r="17">
          <cell r="Z17" t="str">
            <v>ParcelList ID</v>
          </cell>
        </row>
        <row r="19">
          <cell r="Z19" t="e">
            <v>#REF!</v>
          </cell>
        </row>
        <row r="20">
          <cell r="Z20" t="e">
            <v>#REF!</v>
          </cell>
        </row>
        <row r="21">
          <cell r="Z21" t="e">
            <v>#REF!</v>
          </cell>
        </row>
        <row r="22">
          <cell r="Z22" t="e">
            <v>#REF!</v>
          </cell>
        </row>
        <row r="23">
          <cell r="Z23" t="e">
            <v>#REF!</v>
          </cell>
        </row>
        <row r="24">
          <cell r="Z24" t="e">
            <v>#REF!</v>
          </cell>
        </row>
        <row r="25">
          <cell r="Z25" t="e">
            <v>#REF!</v>
          </cell>
        </row>
        <row r="26">
          <cell r="Z26" t="e">
            <v>#REF!</v>
          </cell>
        </row>
        <row r="27">
          <cell r="Z27" t="e">
            <v>#REF!</v>
          </cell>
        </row>
        <row r="28">
          <cell r="Z28" t="e">
            <v>#REF!</v>
          </cell>
        </row>
        <row r="29">
          <cell r="Z29" t="e">
            <v>#REF!</v>
          </cell>
        </row>
        <row r="30">
          <cell r="Z30" t="e">
            <v>#REF!</v>
          </cell>
        </row>
        <row r="31">
          <cell r="Z31" t="e">
            <v>#REF!</v>
          </cell>
        </row>
        <row r="32">
          <cell r="Z32" t="e">
            <v>#REF!</v>
          </cell>
        </row>
        <row r="33">
          <cell r="Z33" t="e">
            <v>#REF!</v>
          </cell>
        </row>
        <row r="34">
          <cell r="Z34" t="e">
            <v>#REF!</v>
          </cell>
        </row>
        <row r="35">
          <cell r="Z35" t="e">
            <v>#REF!</v>
          </cell>
        </row>
        <row r="36">
          <cell r="Z36" t="e">
            <v>#REF!</v>
          </cell>
        </row>
        <row r="37">
          <cell r="Z37" t="e">
            <v>#REF!</v>
          </cell>
        </row>
        <row r="38">
          <cell r="Z38" t="e">
            <v>#REF!</v>
          </cell>
        </row>
        <row r="39">
          <cell r="Z39" t="e">
            <v>#REF!</v>
          </cell>
        </row>
        <row r="40">
          <cell r="Z40" t="e">
            <v>#REF!</v>
          </cell>
        </row>
        <row r="41">
          <cell r="Z41" t="e">
            <v>#REF!</v>
          </cell>
        </row>
        <row r="42">
          <cell r="Z42" t="e">
            <v>#REF!</v>
          </cell>
        </row>
        <row r="43">
          <cell r="Z43" t="e">
            <v>#REF!</v>
          </cell>
        </row>
        <row r="44">
          <cell r="Z44" t="e">
            <v>#REF!</v>
          </cell>
        </row>
        <row r="45">
          <cell r="Z45" t="e">
            <v>#REF!</v>
          </cell>
        </row>
        <row r="46">
          <cell r="Z46" t="e">
            <v>#REF!</v>
          </cell>
        </row>
        <row r="47">
          <cell r="Z47" t="e">
            <v>#REF!</v>
          </cell>
        </row>
        <row r="48">
          <cell r="Z48" t="e">
            <v>#REF!</v>
          </cell>
        </row>
        <row r="49">
          <cell r="Z49" t="e">
            <v>#REF!</v>
          </cell>
        </row>
        <row r="50">
          <cell r="Z50" t="e">
            <v>#REF!</v>
          </cell>
        </row>
        <row r="51">
          <cell r="Z51" t="e">
            <v>#REF!</v>
          </cell>
        </row>
        <row r="52">
          <cell r="Z52" t="e">
            <v>#REF!</v>
          </cell>
        </row>
        <row r="53">
          <cell r="Z53" t="e">
            <v>#REF!</v>
          </cell>
        </row>
        <row r="54">
          <cell r="Z54" t="e">
            <v>#REF!</v>
          </cell>
        </row>
        <row r="55">
          <cell r="Z55" t="e">
            <v>#REF!</v>
          </cell>
        </row>
        <row r="56">
          <cell r="Z56" t="e">
            <v>#REF!</v>
          </cell>
        </row>
        <row r="57">
          <cell r="Z57" t="e">
            <v>#REF!</v>
          </cell>
        </row>
        <row r="58">
          <cell r="Z58" t="e">
            <v>#REF!</v>
          </cell>
        </row>
        <row r="59">
          <cell r="Z59" t="e">
            <v>#REF!</v>
          </cell>
        </row>
        <row r="60">
          <cell r="Z60" t="e">
            <v>#REF!</v>
          </cell>
        </row>
        <row r="61">
          <cell r="Z61" t="e">
            <v>#REF!</v>
          </cell>
        </row>
        <row r="62">
          <cell r="Z62" t="e">
            <v>#REF!</v>
          </cell>
        </row>
        <row r="63">
          <cell r="Z63" t="e">
            <v>#REF!</v>
          </cell>
        </row>
        <row r="64">
          <cell r="Z64" t="e">
            <v>#REF!</v>
          </cell>
        </row>
        <row r="65">
          <cell r="Z65" t="e">
            <v>#REF!</v>
          </cell>
        </row>
        <row r="66">
          <cell r="Z66" t="e">
            <v>#REF!</v>
          </cell>
        </row>
        <row r="67">
          <cell r="Z67" t="e">
            <v>#REF!</v>
          </cell>
        </row>
        <row r="68">
          <cell r="Z68" t="e">
            <v>#REF!</v>
          </cell>
        </row>
        <row r="69">
          <cell r="Z69" t="e">
            <v>#REF!</v>
          </cell>
        </row>
        <row r="70">
          <cell r="Z70" t="e">
            <v>#REF!</v>
          </cell>
        </row>
        <row r="71">
          <cell r="Z71" t="e">
            <v>#REF!</v>
          </cell>
        </row>
        <row r="72">
          <cell r="Z72" t="e">
            <v>#REF!</v>
          </cell>
        </row>
        <row r="73">
          <cell r="Z73" t="e">
            <v>#REF!</v>
          </cell>
        </row>
        <row r="74">
          <cell r="Z74" t="e">
            <v>#REF!</v>
          </cell>
        </row>
        <row r="75">
          <cell r="Z75" t="e">
            <v>#REF!</v>
          </cell>
        </row>
        <row r="76">
          <cell r="Z76" t="e">
            <v>#REF!</v>
          </cell>
        </row>
        <row r="77">
          <cell r="Z77" t="e">
            <v>#REF!</v>
          </cell>
        </row>
        <row r="78">
          <cell r="Z78" t="e">
            <v>#REF!</v>
          </cell>
        </row>
        <row r="79">
          <cell r="Z79" t="e">
            <v>#REF!</v>
          </cell>
        </row>
        <row r="80">
          <cell r="Z80" t="e">
            <v>#REF!</v>
          </cell>
        </row>
        <row r="81">
          <cell r="Z81" t="e">
            <v>#REF!</v>
          </cell>
        </row>
        <row r="82">
          <cell r="Z82" t="e">
            <v>#REF!</v>
          </cell>
        </row>
        <row r="83">
          <cell r="Z83" t="e">
            <v>#REF!</v>
          </cell>
        </row>
        <row r="84">
          <cell r="Z84" t="e">
            <v>#REF!</v>
          </cell>
        </row>
        <row r="85">
          <cell r="Z85" t="e">
            <v>#REF!</v>
          </cell>
        </row>
        <row r="86">
          <cell r="Z86" t="e">
            <v>#REF!</v>
          </cell>
        </row>
        <row r="87">
          <cell r="Z87" t="e">
            <v>#REF!</v>
          </cell>
        </row>
        <row r="88">
          <cell r="Z88" t="e">
            <v>#REF!</v>
          </cell>
        </row>
        <row r="89">
          <cell r="Z89" t="e">
            <v>#REF!</v>
          </cell>
        </row>
        <row r="90">
          <cell r="Z90" t="e">
            <v>#REF!</v>
          </cell>
        </row>
        <row r="91">
          <cell r="Z91" t="e">
            <v>#REF!</v>
          </cell>
        </row>
        <row r="92">
          <cell r="Z92" t="e">
            <v>#REF!</v>
          </cell>
        </row>
        <row r="93">
          <cell r="Z93" t="e">
            <v>#REF!</v>
          </cell>
        </row>
        <row r="94">
          <cell r="Z94" t="e">
            <v>#REF!</v>
          </cell>
        </row>
        <row r="95">
          <cell r="Z95" t="e">
            <v>#REF!</v>
          </cell>
        </row>
        <row r="96">
          <cell r="Z96" t="e">
            <v>#REF!</v>
          </cell>
        </row>
        <row r="97">
          <cell r="Z97" t="e">
            <v>#REF!</v>
          </cell>
        </row>
        <row r="98">
          <cell r="Z98" t="e">
            <v>#REF!</v>
          </cell>
        </row>
        <row r="99">
          <cell r="Z99" t="e">
            <v>#REF!</v>
          </cell>
        </row>
        <row r="100">
          <cell r="Z100" t="e">
            <v>#REF!</v>
          </cell>
        </row>
        <row r="101">
          <cell r="Z101" t="e">
            <v>#REF!</v>
          </cell>
        </row>
        <row r="102">
          <cell r="Z102" t="e">
            <v>#REF!</v>
          </cell>
        </row>
        <row r="103">
          <cell r="Z103" t="e">
            <v>#REF!</v>
          </cell>
        </row>
        <row r="104">
          <cell r="Z104" t="e">
            <v>#REF!</v>
          </cell>
        </row>
        <row r="105">
          <cell r="Z105" t="e">
            <v>#REF!</v>
          </cell>
        </row>
        <row r="106">
          <cell r="Z106" t="e">
            <v>#REF!</v>
          </cell>
        </row>
        <row r="107">
          <cell r="Z107" t="e">
            <v>#REF!</v>
          </cell>
        </row>
        <row r="108">
          <cell r="Z108" t="e">
            <v>#REF!</v>
          </cell>
        </row>
        <row r="109">
          <cell r="Z109" t="e">
            <v>#REF!</v>
          </cell>
        </row>
        <row r="110">
          <cell r="Z110" t="e">
            <v>#REF!</v>
          </cell>
        </row>
        <row r="111">
          <cell r="Z111" t="e">
            <v>#REF!</v>
          </cell>
        </row>
        <row r="112">
          <cell r="Z112" t="e">
            <v>#REF!</v>
          </cell>
        </row>
        <row r="113">
          <cell r="Z113" t="e">
            <v>#REF!</v>
          </cell>
        </row>
        <row r="114">
          <cell r="Z114" t="e">
            <v>#REF!</v>
          </cell>
        </row>
        <row r="115">
          <cell r="Z115" t="e">
            <v>#REF!</v>
          </cell>
        </row>
        <row r="116">
          <cell r="Z116" t="e">
            <v>#REF!</v>
          </cell>
        </row>
        <row r="117">
          <cell r="Z117" t="e">
            <v>#REF!</v>
          </cell>
        </row>
        <row r="118">
          <cell r="Z118" t="e">
            <v>#REF!</v>
          </cell>
        </row>
        <row r="119">
          <cell r="Z119" t="e">
            <v>#REF!</v>
          </cell>
        </row>
        <row r="120">
          <cell r="Z120" t="e">
            <v>#REF!</v>
          </cell>
        </row>
        <row r="121">
          <cell r="Z121" t="e">
            <v>#REF!</v>
          </cell>
        </row>
        <row r="122">
          <cell r="Z122" t="e">
            <v>#REF!</v>
          </cell>
        </row>
        <row r="123">
          <cell r="Z123" t="e">
            <v>#REF!</v>
          </cell>
        </row>
        <row r="124">
          <cell r="Z124" t="e">
            <v>#REF!</v>
          </cell>
        </row>
        <row r="125">
          <cell r="Z125" t="e">
            <v>#REF!</v>
          </cell>
        </row>
        <row r="126">
          <cell r="Z126" t="e">
            <v>#REF!</v>
          </cell>
        </row>
        <row r="127">
          <cell r="Z127" t="e">
            <v>#REF!</v>
          </cell>
        </row>
        <row r="128">
          <cell r="Z128" t="e">
            <v>#REF!</v>
          </cell>
        </row>
        <row r="129">
          <cell r="Z129" t="e">
            <v>#REF!</v>
          </cell>
        </row>
        <row r="130">
          <cell r="Z130" t="e">
            <v>#REF!</v>
          </cell>
        </row>
        <row r="131">
          <cell r="Z131" t="e">
            <v>#REF!</v>
          </cell>
        </row>
        <row r="132">
          <cell r="Z132" t="e">
            <v>#REF!</v>
          </cell>
        </row>
        <row r="133">
          <cell r="Z133" t="e">
            <v>#REF!</v>
          </cell>
        </row>
        <row r="134">
          <cell r="Z134" t="e">
            <v>#REF!</v>
          </cell>
        </row>
        <row r="135">
          <cell r="Z135" t="e">
            <v>#REF!</v>
          </cell>
        </row>
        <row r="136">
          <cell r="Z136" t="e">
            <v>#REF!</v>
          </cell>
        </row>
        <row r="137">
          <cell r="Z137" t="e">
            <v>#REF!</v>
          </cell>
        </row>
        <row r="138">
          <cell r="Z138" t="e">
            <v>#REF!</v>
          </cell>
        </row>
        <row r="139">
          <cell r="Z139" t="e">
            <v>#REF!</v>
          </cell>
        </row>
        <row r="140">
          <cell r="Z140" t="e">
            <v>#REF!</v>
          </cell>
        </row>
        <row r="141">
          <cell r="Z141" t="e">
            <v>#REF!</v>
          </cell>
        </row>
        <row r="142">
          <cell r="Z142" t="e">
            <v>#REF!</v>
          </cell>
        </row>
        <row r="143">
          <cell r="Z143" t="e">
            <v>#REF!</v>
          </cell>
        </row>
        <row r="144">
          <cell r="Z144" t="e">
            <v>#REF!</v>
          </cell>
        </row>
        <row r="145">
          <cell r="Z145" t="e">
            <v>#REF!</v>
          </cell>
        </row>
        <row r="146">
          <cell r="Z146" t="e">
            <v>#REF!</v>
          </cell>
        </row>
        <row r="147">
          <cell r="Z147" t="e">
            <v>#REF!</v>
          </cell>
        </row>
        <row r="148">
          <cell r="Z148" t="e">
            <v>#REF!</v>
          </cell>
        </row>
        <row r="149">
          <cell r="Z149" t="e">
            <v>#REF!</v>
          </cell>
        </row>
        <row r="150">
          <cell r="Z150" t="e">
            <v>#REF!</v>
          </cell>
        </row>
        <row r="151">
          <cell r="Z151" t="e">
            <v>#REF!</v>
          </cell>
        </row>
        <row r="152">
          <cell r="Z152" t="e">
            <v>#REF!</v>
          </cell>
        </row>
        <row r="153">
          <cell r="Z153" t="e">
            <v>#REF!</v>
          </cell>
        </row>
        <row r="154">
          <cell r="Z154" t="e">
            <v>#REF!</v>
          </cell>
        </row>
        <row r="155">
          <cell r="Z155" t="e">
            <v>#REF!</v>
          </cell>
        </row>
        <row r="156">
          <cell r="Z156" t="e">
            <v>#REF!</v>
          </cell>
        </row>
        <row r="157">
          <cell r="Z157" t="e">
            <v>#REF!</v>
          </cell>
        </row>
        <row r="158">
          <cell r="Z158" t="e">
            <v>#REF!</v>
          </cell>
        </row>
        <row r="159">
          <cell r="Z159" t="e">
            <v>#REF!</v>
          </cell>
        </row>
        <row r="160">
          <cell r="Z160" t="e">
            <v>#REF!</v>
          </cell>
        </row>
        <row r="161">
          <cell r="Z161" t="e">
            <v>#REF!</v>
          </cell>
        </row>
        <row r="162">
          <cell r="Z162" t="e">
            <v>#REF!</v>
          </cell>
        </row>
        <row r="163">
          <cell r="Z163" t="e">
            <v>#REF!</v>
          </cell>
        </row>
        <row r="164">
          <cell r="Z164" t="e">
            <v>#REF!</v>
          </cell>
        </row>
        <row r="165">
          <cell r="Z165" t="e">
            <v>#REF!</v>
          </cell>
        </row>
        <row r="166">
          <cell r="Z166" t="e">
            <v>#REF!</v>
          </cell>
        </row>
        <row r="167">
          <cell r="Z167" t="e">
            <v>#REF!</v>
          </cell>
        </row>
        <row r="168">
          <cell r="Z168" t="e">
            <v>#REF!</v>
          </cell>
        </row>
        <row r="169">
          <cell r="Z169" t="e">
            <v>#REF!</v>
          </cell>
        </row>
        <row r="170">
          <cell r="Z170" t="e">
            <v>#REF!</v>
          </cell>
        </row>
        <row r="171">
          <cell r="Z171" t="e">
            <v>#REF!</v>
          </cell>
        </row>
        <row r="172">
          <cell r="Z172" t="e">
            <v>#REF!</v>
          </cell>
        </row>
        <row r="173">
          <cell r="Z173" t="e">
            <v>#REF!</v>
          </cell>
        </row>
        <row r="174">
          <cell r="Z174" t="e">
            <v>#REF!</v>
          </cell>
        </row>
        <row r="175">
          <cell r="Z175" t="e">
            <v>#REF!</v>
          </cell>
        </row>
        <row r="176">
          <cell r="Z176" t="e">
            <v>#REF!</v>
          </cell>
        </row>
        <row r="177">
          <cell r="Z177" t="e">
            <v>#REF!</v>
          </cell>
        </row>
        <row r="178">
          <cell r="Z178" t="e">
            <v>#REF!</v>
          </cell>
        </row>
        <row r="179">
          <cell r="Z179" t="e">
            <v>#REF!</v>
          </cell>
        </row>
        <row r="180">
          <cell r="Z180" t="e">
            <v>#REF!</v>
          </cell>
        </row>
        <row r="181">
          <cell r="Z181" t="e">
            <v>#REF!</v>
          </cell>
        </row>
        <row r="182">
          <cell r="Z182" t="e">
            <v>#REF!</v>
          </cell>
        </row>
        <row r="183">
          <cell r="Z183" t="e">
            <v>#REF!</v>
          </cell>
        </row>
        <row r="184">
          <cell r="Z184" t="e">
            <v>#REF!</v>
          </cell>
        </row>
        <row r="185">
          <cell r="Z185" t="e">
            <v>#REF!</v>
          </cell>
        </row>
        <row r="186">
          <cell r="Z186" t="e">
            <v>#REF!</v>
          </cell>
        </row>
        <row r="187">
          <cell r="Z187" t="e">
            <v>#REF!</v>
          </cell>
        </row>
        <row r="188">
          <cell r="Z188" t="e">
            <v>#REF!</v>
          </cell>
        </row>
        <row r="189">
          <cell r="Z189" t="e">
            <v>#REF!</v>
          </cell>
        </row>
        <row r="190">
          <cell r="Z190" t="e">
            <v>#REF!</v>
          </cell>
        </row>
        <row r="191">
          <cell r="Z191" t="e">
            <v>#REF!</v>
          </cell>
        </row>
        <row r="192">
          <cell r="Z192" t="e">
            <v>#REF!</v>
          </cell>
        </row>
        <row r="193">
          <cell r="Z193" t="e">
            <v>#REF!</v>
          </cell>
        </row>
        <row r="194">
          <cell r="Z194" t="e">
            <v>#REF!</v>
          </cell>
        </row>
        <row r="195">
          <cell r="Z195" t="e">
            <v>#REF!</v>
          </cell>
        </row>
        <row r="196">
          <cell r="Z196" t="e">
            <v>#REF!</v>
          </cell>
        </row>
        <row r="197">
          <cell r="Z197" t="e">
            <v>#REF!</v>
          </cell>
        </row>
        <row r="198">
          <cell r="Z198" t="e">
            <v>#REF!</v>
          </cell>
        </row>
        <row r="199">
          <cell r="Z199" t="e">
            <v>#REF!</v>
          </cell>
        </row>
        <row r="200">
          <cell r="Z200" t="e">
            <v>#REF!</v>
          </cell>
        </row>
        <row r="201">
          <cell r="Z201" t="e">
            <v>#REF!</v>
          </cell>
        </row>
        <row r="202">
          <cell r="Z202" t="e">
            <v>#REF!</v>
          </cell>
        </row>
        <row r="203">
          <cell r="Z203" t="e">
            <v>#REF!</v>
          </cell>
        </row>
        <row r="204">
          <cell r="Z204" t="e">
            <v>#REF!</v>
          </cell>
        </row>
        <row r="205">
          <cell r="Z205" t="e">
            <v>#REF!</v>
          </cell>
        </row>
        <row r="206">
          <cell r="Z206" t="e">
            <v>#REF!</v>
          </cell>
        </row>
        <row r="207">
          <cell r="Z207" t="e">
            <v>#REF!</v>
          </cell>
        </row>
        <row r="208">
          <cell r="Z208" t="e">
            <v>#REF!</v>
          </cell>
        </row>
        <row r="209">
          <cell r="Z209" t="e">
            <v>#REF!</v>
          </cell>
        </row>
        <row r="210">
          <cell r="Z210" t="e">
            <v>#REF!</v>
          </cell>
        </row>
        <row r="211">
          <cell r="Z211" t="e">
            <v>#REF!</v>
          </cell>
        </row>
        <row r="212">
          <cell r="Z212" t="e">
            <v>#REF!</v>
          </cell>
        </row>
        <row r="213">
          <cell r="Z213" t="e">
            <v>#REF!</v>
          </cell>
        </row>
        <row r="214">
          <cell r="Z214" t="e">
            <v>#REF!</v>
          </cell>
        </row>
        <row r="215">
          <cell r="Z215" t="e">
            <v>#REF!</v>
          </cell>
        </row>
        <row r="216">
          <cell r="Z216" t="e">
            <v>#REF!</v>
          </cell>
        </row>
        <row r="217">
          <cell r="Z217" t="e">
            <v>#REF!</v>
          </cell>
        </row>
        <row r="218">
          <cell r="Z218" t="e">
            <v>#REF!</v>
          </cell>
        </row>
        <row r="219">
          <cell r="Z219" t="e">
            <v>#REF!</v>
          </cell>
        </row>
        <row r="220">
          <cell r="Z220" t="e">
            <v>#REF!</v>
          </cell>
        </row>
        <row r="221">
          <cell r="Z221" t="e">
            <v>#REF!</v>
          </cell>
        </row>
        <row r="222">
          <cell r="Z222" t="e">
            <v>#REF!</v>
          </cell>
        </row>
        <row r="223">
          <cell r="Z223" t="e">
            <v>#REF!</v>
          </cell>
        </row>
        <row r="224">
          <cell r="Z224" t="e">
            <v>#REF!</v>
          </cell>
        </row>
        <row r="225">
          <cell r="Z225" t="e">
            <v>#REF!</v>
          </cell>
        </row>
        <row r="226">
          <cell r="Z226" t="e">
            <v>#REF!</v>
          </cell>
        </row>
        <row r="227">
          <cell r="Z227" t="e">
            <v>#REF!</v>
          </cell>
        </row>
        <row r="228">
          <cell r="Z228" t="e">
            <v>#REF!</v>
          </cell>
        </row>
        <row r="229">
          <cell r="Z229" t="e">
            <v>#REF!</v>
          </cell>
        </row>
        <row r="230">
          <cell r="Z230" t="e">
            <v>#REF!</v>
          </cell>
        </row>
        <row r="231">
          <cell r="Z231" t="e">
            <v>#REF!</v>
          </cell>
        </row>
        <row r="232">
          <cell r="Z232" t="e">
            <v>#REF!</v>
          </cell>
        </row>
        <row r="233">
          <cell r="Z233" t="e">
            <v>#REF!</v>
          </cell>
        </row>
        <row r="234">
          <cell r="Z234" t="e">
            <v>#REF!</v>
          </cell>
        </row>
        <row r="235">
          <cell r="Z235" t="e">
            <v>#REF!</v>
          </cell>
        </row>
        <row r="236">
          <cell r="Z236" t="e">
            <v>#REF!</v>
          </cell>
        </row>
        <row r="237">
          <cell r="Z237" t="e">
            <v>#REF!</v>
          </cell>
        </row>
        <row r="238">
          <cell r="Z238" t="e">
            <v>#REF!</v>
          </cell>
        </row>
        <row r="239">
          <cell r="Z239" t="e">
            <v>#REF!</v>
          </cell>
        </row>
        <row r="240">
          <cell r="Z240" t="e">
            <v>#REF!</v>
          </cell>
        </row>
        <row r="241">
          <cell r="Z241" t="e">
            <v>#REF!</v>
          </cell>
        </row>
        <row r="242">
          <cell r="Z242" t="e">
            <v>#REF!</v>
          </cell>
        </row>
        <row r="243">
          <cell r="Z243" t="e">
            <v>#REF!</v>
          </cell>
        </row>
        <row r="244">
          <cell r="Z244" t="e">
            <v>#REF!</v>
          </cell>
        </row>
        <row r="245">
          <cell r="Z245" t="e">
            <v>#REF!</v>
          </cell>
        </row>
        <row r="246">
          <cell r="Z246" t="e">
            <v>#REF!</v>
          </cell>
        </row>
        <row r="247">
          <cell r="Z247" t="e">
            <v>#REF!</v>
          </cell>
        </row>
        <row r="248">
          <cell r="Z248" t="e">
            <v>#REF!</v>
          </cell>
        </row>
        <row r="249">
          <cell r="Z249" t="e">
            <v>#REF!</v>
          </cell>
        </row>
        <row r="250">
          <cell r="Z250" t="e">
            <v>#REF!</v>
          </cell>
        </row>
        <row r="251">
          <cell r="Z251" t="e">
            <v>#REF!</v>
          </cell>
        </row>
        <row r="252">
          <cell r="Z252" t="e">
            <v>#REF!</v>
          </cell>
        </row>
        <row r="253">
          <cell r="Z253" t="e">
            <v>#REF!</v>
          </cell>
        </row>
        <row r="254">
          <cell r="Z254" t="e">
            <v>#REF!</v>
          </cell>
        </row>
        <row r="255">
          <cell r="Z255" t="e">
            <v>#REF!</v>
          </cell>
        </row>
        <row r="256">
          <cell r="Z256" t="e">
            <v>#REF!</v>
          </cell>
        </row>
        <row r="257">
          <cell r="Z257" t="e">
            <v>#REF!</v>
          </cell>
        </row>
        <row r="258">
          <cell r="Z258" t="e">
            <v>#REF!</v>
          </cell>
        </row>
        <row r="259">
          <cell r="Z259" t="e">
            <v>#REF!</v>
          </cell>
        </row>
        <row r="260">
          <cell r="Z260" t="e">
            <v>#REF!</v>
          </cell>
        </row>
        <row r="261">
          <cell r="Z261" t="e">
            <v>#REF!</v>
          </cell>
        </row>
        <row r="262">
          <cell r="Z262" t="e">
            <v>#REF!</v>
          </cell>
        </row>
        <row r="263">
          <cell r="Z263" t="e">
            <v>#REF!</v>
          </cell>
        </row>
        <row r="264">
          <cell r="Z264" t="e">
            <v>#REF!</v>
          </cell>
        </row>
        <row r="265">
          <cell r="Z265" t="e">
            <v>#REF!</v>
          </cell>
        </row>
        <row r="266">
          <cell r="Z266" t="e">
            <v>#REF!</v>
          </cell>
        </row>
        <row r="267">
          <cell r="Z267" t="e">
            <v>#REF!</v>
          </cell>
        </row>
        <row r="268">
          <cell r="Z268" t="e">
            <v>#REF!</v>
          </cell>
        </row>
        <row r="269">
          <cell r="Z269" t="e">
            <v>#REF!</v>
          </cell>
        </row>
        <row r="270">
          <cell r="Z270" t="e">
            <v>#REF!</v>
          </cell>
        </row>
        <row r="271">
          <cell r="Z271" t="e">
            <v>#REF!</v>
          </cell>
        </row>
        <row r="272">
          <cell r="Z272" t="e">
            <v>#REF!</v>
          </cell>
        </row>
        <row r="273">
          <cell r="Z273" t="e">
            <v>#REF!</v>
          </cell>
        </row>
        <row r="274">
          <cell r="Z274" t="e">
            <v>#REF!</v>
          </cell>
        </row>
        <row r="275">
          <cell r="Z275" t="e">
            <v>#REF!</v>
          </cell>
        </row>
        <row r="276">
          <cell r="Z276" t="e">
            <v>#REF!</v>
          </cell>
        </row>
        <row r="277">
          <cell r="Z277" t="e">
            <v>#REF!</v>
          </cell>
        </row>
        <row r="278">
          <cell r="Z278" t="e">
            <v>#REF!</v>
          </cell>
        </row>
        <row r="279">
          <cell r="Z279" t="e">
            <v>#REF!</v>
          </cell>
        </row>
        <row r="280">
          <cell r="Z280" t="e">
            <v>#REF!</v>
          </cell>
        </row>
        <row r="281">
          <cell r="Z281" t="e">
            <v>#REF!</v>
          </cell>
        </row>
        <row r="282">
          <cell r="Z282" t="e">
            <v>#REF!</v>
          </cell>
        </row>
        <row r="283">
          <cell r="Z283" t="e">
            <v>#REF!</v>
          </cell>
        </row>
        <row r="284">
          <cell r="Z284" t="e">
            <v>#REF!</v>
          </cell>
        </row>
        <row r="285">
          <cell r="Z285" t="e">
            <v>#REF!</v>
          </cell>
        </row>
        <row r="286">
          <cell r="Z286" t="e">
            <v>#REF!</v>
          </cell>
        </row>
        <row r="287">
          <cell r="Z287" t="e">
            <v>#REF!</v>
          </cell>
        </row>
        <row r="288">
          <cell r="Z288" t="e">
            <v>#REF!</v>
          </cell>
        </row>
        <row r="289">
          <cell r="Z289" t="e">
            <v>#REF!</v>
          </cell>
        </row>
        <row r="290">
          <cell r="Z290" t="e">
            <v>#REF!</v>
          </cell>
        </row>
        <row r="291">
          <cell r="Z291" t="e">
            <v>#REF!</v>
          </cell>
        </row>
        <row r="292">
          <cell r="Z292" t="e">
            <v>#REF!</v>
          </cell>
        </row>
        <row r="293">
          <cell r="Z293" t="e">
            <v>#REF!</v>
          </cell>
        </row>
        <row r="294">
          <cell r="Z294" t="e">
            <v>#REF!</v>
          </cell>
        </row>
        <row r="295">
          <cell r="Z295" t="e">
            <v>#REF!</v>
          </cell>
        </row>
        <row r="296">
          <cell r="Z296" t="e">
            <v>#REF!</v>
          </cell>
        </row>
        <row r="297">
          <cell r="Z297" t="e">
            <v>#REF!</v>
          </cell>
        </row>
        <row r="298">
          <cell r="Z298" t="e">
            <v>#REF!</v>
          </cell>
        </row>
        <row r="299">
          <cell r="Z299" t="e">
            <v>#REF!</v>
          </cell>
        </row>
        <row r="300">
          <cell r="Z300" t="e">
            <v>#REF!</v>
          </cell>
        </row>
        <row r="301">
          <cell r="Z301" t="e">
            <v>#REF!</v>
          </cell>
        </row>
        <row r="302">
          <cell r="Z302" t="e">
            <v>#REF!</v>
          </cell>
        </row>
        <row r="303">
          <cell r="Z303" t="e">
            <v>#REF!</v>
          </cell>
        </row>
        <row r="304">
          <cell r="Z304" t="e">
            <v>#REF!</v>
          </cell>
        </row>
        <row r="305">
          <cell r="Z305" t="e">
            <v>#REF!</v>
          </cell>
        </row>
        <row r="306">
          <cell r="Z306" t="e">
            <v>#REF!</v>
          </cell>
        </row>
        <row r="307">
          <cell r="Z307" t="e">
            <v>#REF!</v>
          </cell>
        </row>
        <row r="308">
          <cell r="Z308" t="e">
            <v>#REF!</v>
          </cell>
        </row>
        <row r="309">
          <cell r="Z309" t="e">
            <v>#REF!</v>
          </cell>
        </row>
        <row r="310">
          <cell r="Z310" t="e">
            <v>#REF!</v>
          </cell>
        </row>
        <row r="311">
          <cell r="Z311" t="e">
            <v>#REF!</v>
          </cell>
        </row>
        <row r="312">
          <cell r="Z312" t="e">
            <v>#REF!</v>
          </cell>
        </row>
        <row r="313">
          <cell r="Z313" t="e">
            <v>#REF!</v>
          </cell>
        </row>
        <row r="314">
          <cell r="Z314" t="e">
            <v>#REF!</v>
          </cell>
        </row>
        <row r="315">
          <cell r="Z315" t="e">
            <v>#REF!</v>
          </cell>
        </row>
        <row r="316">
          <cell r="Z316" t="e">
            <v>#REF!</v>
          </cell>
        </row>
        <row r="317">
          <cell r="Z317" t="e">
            <v>#REF!</v>
          </cell>
        </row>
        <row r="318">
          <cell r="Z318" t="e">
            <v>#REF!</v>
          </cell>
        </row>
        <row r="319">
          <cell r="Z319" t="e">
            <v>#REF!</v>
          </cell>
        </row>
        <row r="320">
          <cell r="Z320" t="e">
            <v>#REF!</v>
          </cell>
        </row>
        <row r="321">
          <cell r="Z321" t="e">
            <v>#REF!</v>
          </cell>
        </row>
        <row r="322">
          <cell r="Z322" t="e">
            <v>#REF!</v>
          </cell>
        </row>
        <row r="323">
          <cell r="Z323" t="e">
            <v>#REF!</v>
          </cell>
        </row>
        <row r="324">
          <cell r="Z324" t="e">
            <v>#REF!</v>
          </cell>
        </row>
        <row r="325">
          <cell r="Z325" t="e">
            <v>#REF!</v>
          </cell>
        </row>
        <row r="326">
          <cell r="Z326" t="e">
            <v>#REF!</v>
          </cell>
        </row>
        <row r="327">
          <cell r="Z327" t="e">
            <v>#REF!</v>
          </cell>
        </row>
        <row r="328">
          <cell r="Z328" t="e">
            <v>#REF!</v>
          </cell>
        </row>
        <row r="329">
          <cell r="Z329" t="e">
            <v>#REF!</v>
          </cell>
        </row>
        <row r="330">
          <cell r="Z330" t="e">
            <v>#REF!</v>
          </cell>
        </row>
        <row r="331">
          <cell r="Z331" t="e">
            <v>#REF!</v>
          </cell>
        </row>
        <row r="332">
          <cell r="Z332" t="e">
            <v>#REF!</v>
          </cell>
        </row>
        <row r="333">
          <cell r="Z333" t="e">
            <v>#REF!</v>
          </cell>
        </row>
        <row r="334">
          <cell r="Z334" t="e">
            <v>#REF!</v>
          </cell>
        </row>
        <row r="335">
          <cell r="Z335" t="e">
            <v>#REF!</v>
          </cell>
        </row>
        <row r="336">
          <cell r="Z336" t="e">
            <v>#REF!</v>
          </cell>
        </row>
        <row r="337">
          <cell r="Z337" t="e">
            <v>#REF!</v>
          </cell>
        </row>
        <row r="338">
          <cell r="Z338" t="e">
            <v>#REF!</v>
          </cell>
        </row>
        <row r="339">
          <cell r="Z339" t="e">
            <v>#REF!</v>
          </cell>
        </row>
        <row r="340">
          <cell r="Z340" t="e">
            <v>#REF!</v>
          </cell>
        </row>
        <row r="341">
          <cell r="Z341" t="e">
            <v>#REF!</v>
          </cell>
        </row>
        <row r="342">
          <cell r="Z342" t="e">
            <v>#REF!</v>
          </cell>
        </row>
        <row r="343">
          <cell r="Z343" t="e">
            <v>#REF!</v>
          </cell>
        </row>
        <row r="344">
          <cell r="Z344" t="e">
            <v>#REF!</v>
          </cell>
        </row>
        <row r="345">
          <cell r="Z345" t="e">
            <v>#REF!</v>
          </cell>
        </row>
        <row r="346">
          <cell r="Z346" t="e">
            <v>#REF!</v>
          </cell>
        </row>
        <row r="347">
          <cell r="Z347" t="e">
            <v>#REF!</v>
          </cell>
        </row>
        <row r="348">
          <cell r="Z348" t="e">
            <v>#REF!</v>
          </cell>
        </row>
        <row r="349">
          <cell r="Z349" t="e">
            <v>#REF!</v>
          </cell>
        </row>
        <row r="350">
          <cell r="Z350" t="e">
            <v>#REF!</v>
          </cell>
        </row>
        <row r="351">
          <cell r="Z351" t="e">
            <v>#REF!</v>
          </cell>
        </row>
        <row r="352">
          <cell r="Z352" t="e">
            <v>#REF!</v>
          </cell>
        </row>
        <row r="353">
          <cell r="Z353" t="e">
            <v>#REF!</v>
          </cell>
        </row>
        <row r="354">
          <cell r="Z354" t="e">
            <v>#REF!</v>
          </cell>
        </row>
        <row r="355">
          <cell r="Z355" t="e">
            <v>#REF!</v>
          </cell>
        </row>
        <row r="356">
          <cell r="Z356" t="e">
            <v>#REF!</v>
          </cell>
        </row>
        <row r="357">
          <cell r="Z357" t="e">
            <v>#REF!</v>
          </cell>
        </row>
        <row r="358">
          <cell r="Z358" t="e">
            <v>#REF!</v>
          </cell>
        </row>
        <row r="359">
          <cell r="Z359" t="e">
            <v>#REF!</v>
          </cell>
        </row>
        <row r="360">
          <cell r="Z360" t="e">
            <v>#REF!</v>
          </cell>
        </row>
        <row r="361">
          <cell r="Z361" t="e">
            <v>#REF!</v>
          </cell>
        </row>
        <row r="362">
          <cell r="Z362" t="e">
            <v>#REF!</v>
          </cell>
        </row>
        <row r="363">
          <cell r="Z363" t="e">
            <v>#REF!</v>
          </cell>
        </row>
        <row r="364">
          <cell r="Z364" t="e">
            <v>#REF!</v>
          </cell>
        </row>
        <row r="365">
          <cell r="Z365" t="e">
            <v>#REF!</v>
          </cell>
        </row>
        <row r="366">
          <cell r="Z366" t="e">
            <v>#REF!</v>
          </cell>
        </row>
        <row r="367">
          <cell r="Z367" t="e">
            <v>#REF!</v>
          </cell>
        </row>
        <row r="368">
          <cell r="Z368" t="e">
            <v>#REF!</v>
          </cell>
        </row>
        <row r="369">
          <cell r="Z369" t="e">
            <v>#REF!</v>
          </cell>
        </row>
        <row r="370">
          <cell r="Z370" t="e">
            <v>#REF!</v>
          </cell>
        </row>
        <row r="371">
          <cell r="Z371" t="e">
            <v>#REF!</v>
          </cell>
        </row>
        <row r="372">
          <cell r="Z372" t="e">
            <v>#REF!</v>
          </cell>
        </row>
        <row r="373">
          <cell r="Z373" t="e">
            <v>#REF!</v>
          </cell>
        </row>
        <row r="374">
          <cell r="Z374" t="e">
            <v>#REF!</v>
          </cell>
        </row>
        <row r="375">
          <cell r="Z375" t="e">
            <v>#REF!</v>
          </cell>
        </row>
        <row r="376">
          <cell r="Z376" t="e">
            <v>#REF!</v>
          </cell>
        </row>
        <row r="377">
          <cell r="Z377" t="e">
            <v>#REF!</v>
          </cell>
        </row>
        <row r="378">
          <cell r="Z378" t="e">
            <v>#REF!</v>
          </cell>
        </row>
        <row r="379">
          <cell r="Z379" t="e">
            <v>#REF!</v>
          </cell>
        </row>
        <row r="380">
          <cell r="Z380" t="e">
            <v>#REF!</v>
          </cell>
        </row>
        <row r="381">
          <cell r="Z381" t="e">
            <v>#REF!</v>
          </cell>
        </row>
        <row r="382">
          <cell r="Z382" t="e">
            <v>#REF!</v>
          </cell>
        </row>
        <row r="383">
          <cell r="Z383" t="e">
            <v>#REF!</v>
          </cell>
        </row>
        <row r="384">
          <cell r="Z384" t="e">
            <v>#REF!</v>
          </cell>
        </row>
        <row r="385">
          <cell r="Z385" t="e">
            <v>#REF!</v>
          </cell>
        </row>
        <row r="386">
          <cell r="Z386" t="e">
            <v>#REF!</v>
          </cell>
        </row>
        <row r="387">
          <cell r="Z387" t="e">
            <v>#REF!</v>
          </cell>
        </row>
        <row r="388">
          <cell r="Z388" t="e">
            <v>#REF!</v>
          </cell>
        </row>
        <row r="389">
          <cell r="Z389" t="e">
            <v>#REF!</v>
          </cell>
        </row>
        <row r="390">
          <cell r="Z390" t="e">
            <v>#REF!</v>
          </cell>
        </row>
        <row r="391">
          <cell r="Z391" t="e">
            <v>#REF!</v>
          </cell>
        </row>
        <row r="392">
          <cell r="Z392" t="e">
            <v>#REF!</v>
          </cell>
        </row>
        <row r="393">
          <cell r="Z393" t="e">
            <v>#REF!</v>
          </cell>
        </row>
        <row r="394">
          <cell r="Z394" t="e">
            <v>#REF!</v>
          </cell>
        </row>
        <row r="395">
          <cell r="Z395" t="e">
            <v>#REF!</v>
          </cell>
        </row>
        <row r="396">
          <cell r="Z396" t="e">
            <v>#REF!</v>
          </cell>
        </row>
        <row r="397">
          <cell r="Z397" t="e">
            <v>#REF!</v>
          </cell>
        </row>
        <row r="398">
          <cell r="Z398" t="e">
            <v>#REF!</v>
          </cell>
        </row>
        <row r="399">
          <cell r="Z399" t="e">
            <v>#REF!</v>
          </cell>
        </row>
        <row r="400">
          <cell r="Z400" t="e">
            <v>#REF!</v>
          </cell>
        </row>
        <row r="401">
          <cell r="Z401" t="e">
            <v>#REF!</v>
          </cell>
        </row>
        <row r="402">
          <cell r="Z402" t="e">
            <v>#REF!</v>
          </cell>
        </row>
        <row r="403">
          <cell r="Z403" t="e">
            <v>#REF!</v>
          </cell>
        </row>
        <row r="404">
          <cell r="Z404" t="e">
            <v>#REF!</v>
          </cell>
        </row>
        <row r="405">
          <cell r="Z405" t="e">
            <v>#REF!</v>
          </cell>
        </row>
        <row r="406">
          <cell r="Z406" t="e">
            <v>#REF!</v>
          </cell>
        </row>
        <row r="407">
          <cell r="Z407" t="e">
            <v>#REF!</v>
          </cell>
        </row>
        <row r="408">
          <cell r="Z408" t="e">
            <v>#REF!</v>
          </cell>
        </row>
        <row r="409">
          <cell r="Z409" t="e">
            <v>#REF!</v>
          </cell>
        </row>
        <row r="410">
          <cell r="Z410" t="e">
            <v>#REF!</v>
          </cell>
        </row>
        <row r="411">
          <cell r="Z411" t="e">
            <v>#REF!</v>
          </cell>
        </row>
        <row r="412">
          <cell r="Z412" t="e">
            <v>#REF!</v>
          </cell>
        </row>
        <row r="413">
          <cell r="Z413" t="e">
            <v>#REF!</v>
          </cell>
        </row>
        <row r="414">
          <cell r="Z414" t="e">
            <v>#REF!</v>
          </cell>
        </row>
        <row r="415">
          <cell r="Z415" t="e">
            <v>#REF!</v>
          </cell>
        </row>
        <row r="416">
          <cell r="Z416" t="e">
            <v>#REF!</v>
          </cell>
        </row>
        <row r="417">
          <cell r="Z417" t="e">
            <v>#REF!</v>
          </cell>
        </row>
        <row r="418">
          <cell r="Z418" t="e">
            <v>#REF!</v>
          </cell>
        </row>
        <row r="419">
          <cell r="Z419" t="e">
            <v>#REF!</v>
          </cell>
        </row>
        <row r="420">
          <cell r="Z420" t="e">
            <v>#REF!</v>
          </cell>
        </row>
        <row r="421">
          <cell r="Z421" t="e">
            <v>#REF!</v>
          </cell>
        </row>
        <row r="422">
          <cell r="Z422" t="e">
            <v>#REF!</v>
          </cell>
        </row>
        <row r="423">
          <cell r="Z423" t="e">
            <v>#REF!</v>
          </cell>
        </row>
        <row r="424">
          <cell r="Z424" t="e">
            <v>#REF!</v>
          </cell>
        </row>
        <row r="425">
          <cell r="Z425" t="e">
            <v>#REF!</v>
          </cell>
        </row>
        <row r="426">
          <cell r="Z426" t="e">
            <v>#REF!</v>
          </cell>
        </row>
        <row r="427">
          <cell r="Z427" t="e">
            <v>#REF!</v>
          </cell>
        </row>
        <row r="428">
          <cell r="Z428" t="e">
            <v>#REF!</v>
          </cell>
        </row>
        <row r="429">
          <cell r="Z429" t="e">
            <v>#REF!</v>
          </cell>
        </row>
        <row r="430">
          <cell r="Z430" t="e">
            <v>#REF!</v>
          </cell>
        </row>
        <row r="431">
          <cell r="Z431" t="e">
            <v>#REF!</v>
          </cell>
        </row>
        <row r="432">
          <cell r="Z432" t="e">
            <v>#REF!</v>
          </cell>
        </row>
        <row r="433">
          <cell r="Z433" t="e">
            <v>#REF!</v>
          </cell>
        </row>
        <row r="434">
          <cell r="Z434" t="e">
            <v>#REF!</v>
          </cell>
        </row>
        <row r="435">
          <cell r="Z435" t="e">
            <v>#REF!</v>
          </cell>
        </row>
        <row r="436">
          <cell r="Z436" t="e">
            <v>#REF!</v>
          </cell>
        </row>
        <row r="437">
          <cell r="Z437" t="e">
            <v>#REF!</v>
          </cell>
        </row>
        <row r="438">
          <cell r="Z438" t="e">
            <v>#REF!</v>
          </cell>
        </row>
        <row r="439">
          <cell r="Z439" t="e">
            <v>#REF!</v>
          </cell>
        </row>
        <row r="440">
          <cell r="Z440" t="e">
            <v>#REF!</v>
          </cell>
        </row>
        <row r="441">
          <cell r="Z441" t="e">
            <v>#REF!</v>
          </cell>
        </row>
        <row r="442">
          <cell r="Z442" t="e">
            <v>#REF!</v>
          </cell>
        </row>
        <row r="443">
          <cell r="Z443" t="e">
            <v>#REF!</v>
          </cell>
        </row>
        <row r="444">
          <cell r="Z444" t="e">
            <v>#REF!</v>
          </cell>
        </row>
        <row r="445">
          <cell r="Z445" t="e">
            <v>#REF!</v>
          </cell>
        </row>
        <row r="446">
          <cell r="Z446" t="e">
            <v>#REF!</v>
          </cell>
        </row>
        <row r="447">
          <cell r="Z447" t="e">
            <v>#REF!</v>
          </cell>
        </row>
        <row r="448">
          <cell r="Z448" t="e">
            <v>#REF!</v>
          </cell>
        </row>
        <row r="449">
          <cell r="Z449" t="e">
            <v>#REF!</v>
          </cell>
        </row>
        <row r="450">
          <cell r="Z450" t="e">
            <v>#REF!</v>
          </cell>
        </row>
        <row r="451">
          <cell r="Z451" t="e">
            <v>#REF!</v>
          </cell>
        </row>
        <row r="452">
          <cell r="Z452" t="e">
            <v>#REF!</v>
          </cell>
        </row>
        <row r="453">
          <cell r="Z453" t="e">
            <v>#REF!</v>
          </cell>
        </row>
        <row r="454">
          <cell r="Z454" t="e">
            <v>#REF!</v>
          </cell>
        </row>
        <row r="455">
          <cell r="Z455" t="e">
            <v>#REF!</v>
          </cell>
        </row>
        <row r="456">
          <cell r="Z456" t="e">
            <v>#REF!</v>
          </cell>
        </row>
        <row r="457">
          <cell r="Z457" t="e">
            <v>#REF!</v>
          </cell>
        </row>
        <row r="458">
          <cell r="Z458" t="e">
            <v>#REF!</v>
          </cell>
        </row>
        <row r="459">
          <cell r="Z459" t="e">
            <v>#REF!</v>
          </cell>
        </row>
        <row r="460">
          <cell r="Z460" t="e">
            <v>#REF!</v>
          </cell>
        </row>
        <row r="461">
          <cell r="Z461" t="e">
            <v>#REF!</v>
          </cell>
        </row>
        <row r="462">
          <cell r="Z462" t="e">
            <v>#REF!</v>
          </cell>
        </row>
        <row r="463">
          <cell r="Z463" t="e">
            <v>#REF!</v>
          </cell>
        </row>
        <row r="464">
          <cell r="Z464" t="e">
            <v>#REF!</v>
          </cell>
        </row>
        <row r="465">
          <cell r="Z465" t="e">
            <v>#REF!</v>
          </cell>
        </row>
        <row r="466">
          <cell r="Z466" t="e">
            <v>#REF!</v>
          </cell>
        </row>
        <row r="467">
          <cell r="Z467" t="e">
            <v>#REF!</v>
          </cell>
        </row>
        <row r="468">
          <cell r="Z468" t="e">
            <v>#REF!</v>
          </cell>
        </row>
        <row r="469">
          <cell r="Z469" t="e">
            <v>#REF!</v>
          </cell>
        </row>
        <row r="470">
          <cell r="Z470" t="e">
            <v>#REF!</v>
          </cell>
        </row>
        <row r="471">
          <cell r="Z471" t="e">
            <v>#REF!</v>
          </cell>
        </row>
        <row r="472">
          <cell r="Z472" t="e">
            <v>#REF!</v>
          </cell>
        </row>
        <row r="473">
          <cell r="Z473" t="e">
            <v>#REF!</v>
          </cell>
        </row>
        <row r="474">
          <cell r="Z474" t="e">
            <v>#REF!</v>
          </cell>
        </row>
        <row r="475">
          <cell r="Z475" t="e">
            <v>#REF!</v>
          </cell>
        </row>
        <row r="476">
          <cell r="Z476" t="e">
            <v>#REF!</v>
          </cell>
        </row>
        <row r="477">
          <cell r="Z477" t="e">
            <v>#REF!</v>
          </cell>
        </row>
        <row r="478">
          <cell r="Z478" t="e">
            <v>#REF!</v>
          </cell>
        </row>
        <row r="479">
          <cell r="Z479" t="e">
            <v>#REF!</v>
          </cell>
        </row>
        <row r="480">
          <cell r="Z480" t="e">
            <v>#REF!</v>
          </cell>
        </row>
        <row r="481">
          <cell r="Z481" t="e">
            <v>#REF!</v>
          </cell>
        </row>
        <row r="482">
          <cell r="Z482" t="e">
            <v>#REF!</v>
          </cell>
        </row>
        <row r="483">
          <cell r="Z483" t="e">
            <v>#REF!</v>
          </cell>
        </row>
        <row r="484">
          <cell r="Z484" t="e">
            <v>#REF!</v>
          </cell>
        </row>
        <row r="485">
          <cell r="Z485" t="e">
            <v>#REF!</v>
          </cell>
        </row>
        <row r="486">
          <cell r="Z486" t="e">
            <v>#REF!</v>
          </cell>
        </row>
        <row r="487">
          <cell r="Z487" t="e">
            <v>#REF!</v>
          </cell>
        </row>
        <row r="488">
          <cell r="Z488" t="e">
            <v>#REF!</v>
          </cell>
        </row>
        <row r="489">
          <cell r="Z489" t="e">
            <v>#REF!</v>
          </cell>
        </row>
        <row r="490">
          <cell r="Z490" t="e">
            <v>#REF!</v>
          </cell>
        </row>
        <row r="491">
          <cell r="Z491" t="e">
            <v>#REF!</v>
          </cell>
        </row>
        <row r="492">
          <cell r="Z492" t="e">
            <v>#REF!</v>
          </cell>
        </row>
        <row r="493">
          <cell r="Z493" t="e">
            <v>#REF!</v>
          </cell>
        </row>
        <row r="494">
          <cell r="Z494" t="e">
            <v>#REF!</v>
          </cell>
        </row>
        <row r="495">
          <cell r="Z495" t="e">
            <v>#REF!</v>
          </cell>
        </row>
        <row r="496">
          <cell r="Z496" t="e">
            <v>#REF!</v>
          </cell>
        </row>
        <row r="497">
          <cell r="Z497" t="e">
            <v>#REF!</v>
          </cell>
        </row>
        <row r="498">
          <cell r="Z498" t="e">
            <v>#REF!</v>
          </cell>
        </row>
        <row r="499">
          <cell r="Z499" t="e">
            <v>#REF!</v>
          </cell>
        </row>
        <row r="500">
          <cell r="Z500" t="e">
            <v>#REF!</v>
          </cell>
        </row>
        <row r="501">
          <cell r="Z501" t="e">
            <v>#REF!</v>
          </cell>
        </row>
        <row r="502">
          <cell r="Z502" t="e">
            <v>#REF!</v>
          </cell>
        </row>
        <row r="503">
          <cell r="Z503" t="e">
            <v>#REF!</v>
          </cell>
        </row>
        <row r="504">
          <cell r="Z504" t="e">
            <v>#REF!</v>
          </cell>
        </row>
        <row r="505">
          <cell r="Z505" t="e">
            <v>#REF!</v>
          </cell>
        </row>
        <row r="506">
          <cell r="Z506" t="e">
            <v>#REF!</v>
          </cell>
        </row>
        <row r="507">
          <cell r="Z507" t="e">
            <v>#REF!</v>
          </cell>
        </row>
        <row r="508">
          <cell r="Z508" t="e">
            <v>#REF!</v>
          </cell>
        </row>
        <row r="509">
          <cell r="Z509" t="e">
            <v>#REF!</v>
          </cell>
        </row>
        <row r="510">
          <cell r="Z510" t="e">
            <v>#REF!</v>
          </cell>
        </row>
        <row r="511">
          <cell r="Z511" t="e">
            <v>#REF!</v>
          </cell>
        </row>
        <row r="512">
          <cell r="Z512" t="e">
            <v>#REF!</v>
          </cell>
        </row>
        <row r="513">
          <cell r="Z513" t="e">
            <v>#REF!</v>
          </cell>
        </row>
        <row r="514">
          <cell r="Z514" t="e">
            <v>#REF!</v>
          </cell>
        </row>
        <row r="515">
          <cell r="Z515" t="e">
            <v>#REF!</v>
          </cell>
        </row>
        <row r="516">
          <cell r="Z516" t="e">
            <v>#REF!</v>
          </cell>
        </row>
        <row r="517">
          <cell r="Z517" t="e">
            <v>#REF!</v>
          </cell>
        </row>
        <row r="518">
          <cell r="Z518" t="e">
            <v>#REF!</v>
          </cell>
        </row>
        <row r="519">
          <cell r="Z519" t="e">
            <v>#REF!</v>
          </cell>
        </row>
        <row r="520">
          <cell r="Z520" t="e">
            <v>#REF!</v>
          </cell>
        </row>
        <row r="521">
          <cell r="Z521" t="e">
            <v>#REF!</v>
          </cell>
        </row>
        <row r="522">
          <cell r="Z522" t="e">
            <v>#REF!</v>
          </cell>
        </row>
        <row r="523">
          <cell r="Z523" t="e">
            <v>#REF!</v>
          </cell>
        </row>
        <row r="524">
          <cell r="Z524" t="e">
            <v>#REF!</v>
          </cell>
        </row>
        <row r="525">
          <cell r="Z525" t="e">
            <v>#REF!</v>
          </cell>
        </row>
        <row r="526">
          <cell r="Z526" t="e">
            <v>#REF!</v>
          </cell>
        </row>
        <row r="527">
          <cell r="Z527" t="e">
            <v>#REF!</v>
          </cell>
        </row>
        <row r="528">
          <cell r="Z528" t="e">
            <v>#REF!</v>
          </cell>
        </row>
        <row r="529">
          <cell r="Z529" t="e">
            <v>#REF!</v>
          </cell>
        </row>
        <row r="530">
          <cell r="Z530" t="e">
            <v>#REF!</v>
          </cell>
        </row>
        <row r="531">
          <cell r="Z531" t="e">
            <v>#REF!</v>
          </cell>
        </row>
        <row r="532">
          <cell r="Z532" t="e">
            <v>#REF!</v>
          </cell>
        </row>
        <row r="533">
          <cell r="Z533" t="e">
            <v>#REF!</v>
          </cell>
        </row>
        <row r="534">
          <cell r="Z534" t="e">
            <v>#REF!</v>
          </cell>
        </row>
        <row r="535">
          <cell r="Z535" t="e">
            <v>#REF!</v>
          </cell>
        </row>
        <row r="536">
          <cell r="Z536" t="e">
            <v>#REF!</v>
          </cell>
        </row>
        <row r="537">
          <cell r="Z537" t="e">
            <v>#REF!</v>
          </cell>
        </row>
        <row r="538">
          <cell r="Z538" t="e">
            <v>#REF!</v>
          </cell>
        </row>
        <row r="539">
          <cell r="Z539" t="e">
            <v>#REF!</v>
          </cell>
        </row>
        <row r="540">
          <cell r="Z540" t="e">
            <v>#REF!</v>
          </cell>
        </row>
        <row r="541">
          <cell r="Z541" t="e">
            <v>#REF!</v>
          </cell>
        </row>
        <row r="542">
          <cell r="Z542" t="e">
            <v>#REF!</v>
          </cell>
        </row>
        <row r="543">
          <cell r="Z543" t="e">
            <v>#REF!</v>
          </cell>
        </row>
        <row r="544">
          <cell r="Z544" t="e">
            <v>#REF!</v>
          </cell>
        </row>
        <row r="545">
          <cell r="Z545" t="e">
            <v>#REF!</v>
          </cell>
        </row>
        <row r="546">
          <cell r="Z546" t="e">
            <v>#REF!</v>
          </cell>
        </row>
        <row r="547">
          <cell r="Z547" t="e">
            <v>#REF!</v>
          </cell>
        </row>
        <row r="548">
          <cell r="Z548" t="e">
            <v>#REF!</v>
          </cell>
        </row>
        <row r="549">
          <cell r="Z549" t="e">
            <v>#REF!</v>
          </cell>
        </row>
        <row r="550">
          <cell r="Z550" t="e">
            <v>#REF!</v>
          </cell>
        </row>
        <row r="551">
          <cell r="Z551" t="e">
            <v>#REF!</v>
          </cell>
        </row>
        <row r="552">
          <cell r="Z552" t="e">
            <v>#REF!</v>
          </cell>
        </row>
        <row r="553">
          <cell r="Z553" t="e">
            <v>#REF!</v>
          </cell>
        </row>
        <row r="554">
          <cell r="Z554" t="e">
            <v>#REF!</v>
          </cell>
        </row>
        <row r="555">
          <cell r="Z555" t="e">
            <v>#REF!</v>
          </cell>
        </row>
        <row r="556">
          <cell r="Z556" t="e">
            <v>#REF!</v>
          </cell>
        </row>
        <row r="557">
          <cell r="Z557" t="e">
            <v>#REF!</v>
          </cell>
        </row>
        <row r="558">
          <cell r="Z558" t="e">
            <v>#REF!</v>
          </cell>
        </row>
        <row r="559">
          <cell r="Z559" t="e">
            <v>#REF!</v>
          </cell>
        </row>
        <row r="560">
          <cell r="Z560" t="e">
            <v>#REF!</v>
          </cell>
        </row>
        <row r="561">
          <cell r="Z561" t="e">
            <v>#REF!</v>
          </cell>
        </row>
        <row r="562">
          <cell r="Z562" t="e">
            <v>#REF!</v>
          </cell>
        </row>
        <row r="563">
          <cell r="Z563" t="e">
            <v>#REF!</v>
          </cell>
        </row>
        <row r="564">
          <cell r="Z564" t="e">
            <v>#REF!</v>
          </cell>
        </row>
        <row r="565">
          <cell r="Z565" t="e">
            <v>#REF!</v>
          </cell>
        </row>
        <row r="566">
          <cell r="Z566" t="e">
            <v>#REF!</v>
          </cell>
        </row>
        <row r="567">
          <cell r="Z567" t="e">
            <v>#REF!</v>
          </cell>
        </row>
        <row r="568">
          <cell r="Z568" t="e">
            <v>#REF!</v>
          </cell>
        </row>
        <row r="569">
          <cell r="Z569" t="e">
            <v>#REF!</v>
          </cell>
        </row>
        <row r="570">
          <cell r="Z570" t="e">
            <v>#REF!</v>
          </cell>
        </row>
        <row r="571">
          <cell r="Z571" t="e">
            <v>#REF!</v>
          </cell>
        </row>
        <row r="572">
          <cell r="Z572" t="e">
            <v>#REF!</v>
          </cell>
        </row>
        <row r="573">
          <cell r="Z573" t="e">
            <v>#REF!</v>
          </cell>
        </row>
        <row r="574">
          <cell r="Z574" t="e">
            <v>#REF!</v>
          </cell>
        </row>
        <row r="575">
          <cell r="Z575" t="e">
            <v>#REF!</v>
          </cell>
        </row>
        <row r="576">
          <cell r="Z576" t="e">
            <v>#REF!</v>
          </cell>
        </row>
        <row r="577">
          <cell r="Z577" t="e">
            <v>#REF!</v>
          </cell>
        </row>
        <row r="578">
          <cell r="Z578" t="e">
            <v>#REF!</v>
          </cell>
        </row>
        <row r="579">
          <cell r="Z579" t="e">
            <v>#REF!</v>
          </cell>
        </row>
        <row r="580">
          <cell r="Z580" t="e">
            <v>#REF!</v>
          </cell>
        </row>
        <row r="581">
          <cell r="Z581" t="e">
            <v>#REF!</v>
          </cell>
        </row>
        <row r="582">
          <cell r="Z582" t="e">
            <v>#REF!</v>
          </cell>
        </row>
        <row r="583">
          <cell r="Z583" t="e">
            <v>#REF!</v>
          </cell>
        </row>
        <row r="584">
          <cell r="Z584" t="e">
            <v>#REF!</v>
          </cell>
        </row>
        <row r="585">
          <cell r="Z585" t="e">
            <v>#REF!</v>
          </cell>
        </row>
        <row r="586">
          <cell r="Z586" t="e">
            <v>#REF!</v>
          </cell>
        </row>
        <row r="587">
          <cell r="Z587" t="e">
            <v>#REF!</v>
          </cell>
        </row>
        <row r="588">
          <cell r="Z588" t="e">
            <v>#REF!</v>
          </cell>
        </row>
        <row r="589">
          <cell r="Z589" t="e">
            <v>#REF!</v>
          </cell>
        </row>
        <row r="590">
          <cell r="Z590" t="e">
            <v>#REF!</v>
          </cell>
        </row>
        <row r="591">
          <cell r="Z591" t="e">
            <v>#REF!</v>
          </cell>
        </row>
        <row r="592">
          <cell r="Z592" t="e">
            <v>#REF!</v>
          </cell>
        </row>
        <row r="593">
          <cell r="Z593" t="e">
            <v>#REF!</v>
          </cell>
        </row>
        <row r="594">
          <cell r="Z594" t="e">
            <v>#REF!</v>
          </cell>
        </row>
        <row r="595">
          <cell r="Z595" t="e">
            <v>#REF!</v>
          </cell>
        </row>
        <row r="596">
          <cell r="Z596" t="e">
            <v>#REF!</v>
          </cell>
        </row>
        <row r="597">
          <cell r="Z597" t="e">
            <v>#REF!</v>
          </cell>
        </row>
        <row r="598">
          <cell r="Z598" t="e">
            <v>#REF!</v>
          </cell>
        </row>
        <row r="599">
          <cell r="Z599" t="e">
            <v>#REF!</v>
          </cell>
        </row>
        <row r="600">
          <cell r="Z600" t="e">
            <v>#REF!</v>
          </cell>
        </row>
        <row r="601">
          <cell r="Z601" t="e">
            <v>#REF!</v>
          </cell>
        </row>
        <row r="602">
          <cell r="Z602" t="e">
            <v>#REF!</v>
          </cell>
        </row>
        <row r="603">
          <cell r="Z603" t="e">
            <v>#REF!</v>
          </cell>
        </row>
        <row r="604">
          <cell r="Z604" t="e">
            <v>#REF!</v>
          </cell>
        </row>
        <row r="605">
          <cell r="Z605" t="e">
            <v>#REF!</v>
          </cell>
        </row>
        <row r="606">
          <cell r="Z606" t="e">
            <v>#REF!</v>
          </cell>
        </row>
        <row r="607">
          <cell r="Z607" t="e">
            <v>#REF!</v>
          </cell>
        </row>
        <row r="608">
          <cell r="Z608" t="e">
            <v>#REF!</v>
          </cell>
        </row>
        <row r="609">
          <cell r="Z609" t="e">
            <v>#REF!</v>
          </cell>
        </row>
        <row r="610">
          <cell r="Z610" t="e">
            <v>#REF!</v>
          </cell>
        </row>
        <row r="611">
          <cell r="Z611" t="e">
            <v>#REF!</v>
          </cell>
        </row>
        <row r="612">
          <cell r="Z612" t="e">
            <v>#REF!</v>
          </cell>
        </row>
        <row r="613">
          <cell r="Z613" t="e">
            <v>#REF!</v>
          </cell>
        </row>
        <row r="614">
          <cell r="Z614" t="e">
            <v>#REF!</v>
          </cell>
        </row>
        <row r="615">
          <cell r="Z615" t="e">
            <v>#REF!</v>
          </cell>
        </row>
        <row r="616">
          <cell r="Z616" t="e">
            <v>#REF!</v>
          </cell>
        </row>
        <row r="617">
          <cell r="Z617" t="e">
            <v>#REF!</v>
          </cell>
        </row>
        <row r="618">
          <cell r="Z618" t="e">
            <v>#REF!</v>
          </cell>
        </row>
        <row r="619">
          <cell r="Z619" t="e">
            <v>#REF!</v>
          </cell>
        </row>
        <row r="620">
          <cell r="Z620" t="e">
            <v>#REF!</v>
          </cell>
        </row>
        <row r="621">
          <cell r="Z621" t="e">
            <v>#REF!</v>
          </cell>
        </row>
        <row r="622">
          <cell r="Z622" t="e">
            <v>#REF!</v>
          </cell>
        </row>
        <row r="623">
          <cell r="Z623" t="e">
            <v>#REF!</v>
          </cell>
        </row>
        <row r="624">
          <cell r="Z624" t="e">
            <v>#REF!</v>
          </cell>
        </row>
        <row r="625">
          <cell r="Z625" t="e">
            <v>#REF!</v>
          </cell>
        </row>
        <row r="626">
          <cell r="Z626" t="e">
            <v>#REF!</v>
          </cell>
        </row>
        <row r="627">
          <cell r="Z627" t="e">
            <v>#REF!</v>
          </cell>
        </row>
        <row r="628">
          <cell r="Z628" t="e">
            <v>#REF!</v>
          </cell>
        </row>
        <row r="629">
          <cell r="Z629" t="e">
            <v>#REF!</v>
          </cell>
        </row>
        <row r="630">
          <cell r="Z630" t="e">
            <v>#REF!</v>
          </cell>
        </row>
        <row r="631">
          <cell r="Z631" t="e">
            <v>#REF!</v>
          </cell>
        </row>
        <row r="632">
          <cell r="Z632" t="e">
            <v>#REF!</v>
          </cell>
        </row>
        <row r="633">
          <cell r="Z633" t="e">
            <v>#REF!</v>
          </cell>
        </row>
        <row r="634">
          <cell r="Z634" t="e">
            <v>#REF!</v>
          </cell>
        </row>
        <row r="635">
          <cell r="Z635" t="e">
            <v>#REF!</v>
          </cell>
        </row>
        <row r="636">
          <cell r="Z636" t="e">
            <v>#REF!</v>
          </cell>
        </row>
        <row r="637">
          <cell r="Z637" t="e">
            <v>#REF!</v>
          </cell>
        </row>
        <row r="638">
          <cell r="Z638" t="e">
            <v>#REF!</v>
          </cell>
        </row>
        <row r="639">
          <cell r="Z639" t="e">
            <v>#REF!</v>
          </cell>
        </row>
        <row r="640">
          <cell r="Z640" t="e">
            <v>#REF!</v>
          </cell>
        </row>
        <row r="641">
          <cell r="Z641" t="e">
            <v>#REF!</v>
          </cell>
        </row>
        <row r="642">
          <cell r="Z642" t="e">
            <v>#REF!</v>
          </cell>
        </row>
        <row r="643">
          <cell r="Z643" t="e">
            <v>#REF!</v>
          </cell>
        </row>
        <row r="644">
          <cell r="Z644" t="e">
            <v>#REF!</v>
          </cell>
        </row>
        <row r="645">
          <cell r="Z645" t="e">
            <v>#REF!</v>
          </cell>
        </row>
        <row r="646">
          <cell r="Z646" t="e">
            <v>#REF!</v>
          </cell>
        </row>
        <row r="647">
          <cell r="Z647" t="e">
            <v>#REF!</v>
          </cell>
        </row>
        <row r="648">
          <cell r="Z648" t="e">
            <v>#REF!</v>
          </cell>
        </row>
        <row r="649">
          <cell r="Z649" t="e">
            <v>#REF!</v>
          </cell>
        </row>
        <row r="650">
          <cell r="Z650" t="e">
            <v>#REF!</v>
          </cell>
        </row>
        <row r="651">
          <cell r="Z651" t="e">
            <v>#REF!</v>
          </cell>
        </row>
        <row r="652">
          <cell r="Z652" t="e">
            <v>#REF!</v>
          </cell>
        </row>
        <row r="653">
          <cell r="Z653" t="e">
            <v>#REF!</v>
          </cell>
        </row>
        <row r="654">
          <cell r="Z654" t="e">
            <v>#REF!</v>
          </cell>
        </row>
        <row r="655">
          <cell r="Z655" t="e">
            <v>#REF!</v>
          </cell>
        </row>
        <row r="656">
          <cell r="Z656" t="e">
            <v>#REF!</v>
          </cell>
        </row>
        <row r="657">
          <cell r="Z657" t="e">
            <v>#REF!</v>
          </cell>
        </row>
        <row r="658">
          <cell r="Z658" t="e">
            <v>#REF!</v>
          </cell>
        </row>
        <row r="659">
          <cell r="Z659" t="e">
            <v>#REF!</v>
          </cell>
        </row>
        <row r="660">
          <cell r="Z660" t="e">
            <v>#REF!</v>
          </cell>
        </row>
        <row r="661">
          <cell r="Z661" t="e">
            <v>#REF!</v>
          </cell>
        </row>
        <row r="662">
          <cell r="Z662" t="e">
            <v>#REF!</v>
          </cell>
        </row>
        <row r="663">
          <cell r="Z663" t="e">
            <v>#REF!</v>
          </cell>
        </row>
        <row r="664">
          <cell r="Z664" t="e">
            <v>#REF!</v>
          </cell>
        </row>
        <row r="665">
          <cell r="Z665" t="e">
            <v>#REF!</v>
          </cell>
        </row>
        <row r="666">
          <cell r="Z666" t="e">
            <v>#REF!</v>
          </cell>
        </row>
        <row r="667">
          <cell r="Z667" t="e">
            <v>#REF!</v>
          </cell>
        </row>
        <row r="668">
          <cell r="Z668" t="e">
            <v>#REF!</v>
          </cell>
        </row>
        <row r="669">
          <cell r="Z669" t="e">
            <v>#REF!</v>
          </cell>
        </row>
        <row r="670">
          <cell r="Z670" t="e">
            <v>#REF!</v>
          </cell>
        </row>
        <row r="671">
          <cell r="Z671" t="e">
            <v>#REF!</v>
          </cell>
        </row>
        <row r="672">
          <cell r="Z672" t="e">
            <v>#REF!</v>
          </cell>
        </row>
        <row r="673">
          <cell r="Z673" t="e">
            <v>#REF!</v>
          </cell>
        </row>
        <row r="674">
          <cell r="Z674" t="e">
            <v>#REF!</v>
          </cell>
        </row>
        <row r="675">
          <cell r="Z675" t="e">
            <v>#REF!</v>
          </cell>
        </row>
        <row r="676">
          <cell r="Z676" t="e">
            <v>#REF!</v>
          </cell>
        </row>
        <row r="677">
          <cell r="Z677" t="e">
            <v>#REF!</v>
          </cell>
        </row>
        <row r="678">
          <cell r="Z678" t="e">
            <v>#REF!</v>
          </cell>
        </row>
        <row r="679">
          <cell r="Z679" t="e">
            <v>#REF!</v>
          </cell>
        </row>
        <row r="680">
          <cell r="Z680" t="e">
            <v>#REF!</v>
          </cell>
        </row>
        <row r="681">
          <cell r="Z681" t="e">
            <v>#REF!</v>
          </cell>
        </row>
        <row r="682">
          <cell r="Z682" t="e">
            <v>#REF!</v>
          </cell>
        </row>
        <row r="683">
          <cell r="Z683" t="e">
            <v>#REF!</v>
          </cell>
        </row>
        <row r="684">
          <cell r="Z684" t="e">
            <v>#REF!</v>
          </cell>
        </row>
        <row r="685">
          <cell r="Z685" t="e">
            <v>#REF!</v>
          </cell>
        </row>
        <row r="686">
          <cell r="Z686" t="e">
            <v>#REF!</v>
          </cell>
        </row>
        <row r="687">
          <cell r="Z687" t="e">
            <v>#REF!</v>
          </cell>
        </row>
        <row r="688">
          <cell r="Z688" t="e">
            <v>#REF!</v>
          </cell>
        </row>
        <row r="689">
          <cell r="Z689" t="e">
            <v>#REF!</v>
          </cell>
        </row>
        <row r="690">
          <cell r="Z690" t="e">
            <v>#REF!</v>
          </cell>
        </row>
        <row r="691">
          <cell r="Z691" t="e">
            <v>#REF!</v>
          </cell>
        </row>
        <row r="692">
          <cell r="Z692" t="e">
            <v>#REF!</v>
          </cell>
        </row>
        <row r="693">
          <cell r="Z693" t="e">
            <v>#REF!</v>
          </cell>
        </row>
        <row r="694">
          <cell r="Z694" t="e">
            <v>#REF!</v>
          </cell>
        </row>
        <row r="695">
          <cell r="Z695" t="e">
            <v>#REF!</v>
          </cell>
        </row>
        <row r="696">
          <cell r="Z696" t="e">
            <v>#REF!</v>
          </cell>
        </row>
        <row r="697">
          <cell r="Z697" t="e">
            <v>#REF!</v>
          </cell>
        </row>
        <row r="698">
          <cell r="Z698" t="e">
            <v>#REF!</v>
          </cell>
        </row>
        <row r="699">
          <cell r="Z699" t="e">
            <v>#REF!</v>
          </cell>
        </row>
        <row r="700">
          <cell r="Z700" t="e">
            <v>#REF!</v>
          </cell>
        </row>
        <row r="701">
          <cell r="Z701" t="e">
            <v>#REF!</v>
          </cell>
        </row>
        <row r="702">
          <cell r="Z702" t="e">
            <v>#REF!</v>
          </cell>
        </row>
        <row r="703">
          <cell r="Z703" t="e">
            <v>#REF!</v>
          </cell>
        </row>
        <row r="704">
          <cell r="Z704" t="e">
            <v>#REF!</v>
          </cell>
        </row>
        <row r="705">
          <cell r="Z705" t="e">
            <v>#REF!</v>
          </cell>
        </row>
        <row r="706">
          <cell r="Z706" t="e">
            <v>#REF!</v>
          </cell>
        </row>
        <row r="707">
          <cell r="Z707" t="e">
            <v>#REF!</v>
          </cell>
        </row>
        <row r="708">
          <cell r="Z708" t="e">
            <v>#REF!</v>
          </cell>
        </row>
        <row r="709">
          <cell r="Z709" t="e">
            <v>#REF!</v>
          </cell>
        </row>
        <row r="710">
          <cell r="Z710" t="e">
            <v>#REF!</v>
          </cell>
        </row>
        <row r="711">
          <cell r="Z711" t="e">
            <v>#REF!</v>
          </cell>
        </row>
        <row r="712">
          <cell r="Z712" t="e">
            <v>#REF!</v>
          </cell>
        </row>
        <row r="713">
          <cell r="Z713" t="e">
            <v>#REF!</v>
          </cell>
        </row>
        <row r="714">
          <cell r="Z714" t="e">
            <v>#REF!</v>
          </cell>
        </row>
        <row r="715">
          <cell r="Z715" t="e">
            <v>#REF!</v>
          </cell>
        </row>
        <row r="716">
          <cell r="Z716" t="e">
            <v>#REF!</v>
          </cell>
        </row>
        <row r="717">
          <cell r="Z717" t="e">
            <v>#REF!</v>
          </cell>
        </row>
        <row r="718">
          <cell r="Z718" t="e">
            <v>#REF!</v>
          </cell>
        </row>
        <row r="719">
          <cell r="Z719" t="e">
            <v>#REF!</v>
          </cell>
        </row>
        <row r="720">
          <cell r="Z720" t="e">
            <v>#REF!</v>
          </cell>
        </row>
        <row r="721">
          <cell r="Z721" t="e">
            <v>#REF!</v>
          </cell>
        </row>
        <row r="722">
          <cell r="Z722" t="e">
            <v>#REF!</v>
          </cell>
        </row>
        <row r="723">
          <cell r="Z723" t="e">
            <v>#REF!</v>
          </cell>
        </row>
        <row r="724">
          <cell r="Z724" t="e">
            <v>#REF!</v>
          </cell>
        </row>
        <row r="725">
          <cell r="Z725" t="e">
            <v>#REF!</v>
          </cell>
        </row>
        <row r="726">
          <cell r="Z726" t="e">
            <v>#REF!</v>
          </cell>
        </row>
        <row r="727">
          <cell r="Z727" t="e">
            <v>#REF!</v>
          </cell>
        </row>
        <row r="728">
          <cell r="Z728" t="e">
            <v>#REF!</v>
          </cell>
        </row>
        <row r="729">
          <cell r="Z729" t="e">
            <v>#REF!</v>
          </cell>
        </row>
        <row r="730">
          <cell r="Z730" t="e">
            <v>#REF!</v>
          </cell>
        </row>
        <row r="731">
          <cell r="Z731" t="e">
            <v>#REF!</v>
          </cell>
        </row>
        <row r="732">
          <cell r="Z732" t="e">
            <v>#REF!</v>
          </cell>
        </row>
        <row r="733">
          <cell r="Z733" t="e">
            <v>#REF!</v>
          </cell>
        </row>
        <row r="734">
          <cell r="Z734" t="e">
            <v>#REF!</v>
          </cell>
        </row>
        <row r="735">
          <cell r="Z735" t="e">
            <v>#REF!</v>
          </cell>
        </row>
        <row r="736">
          <cell r="Z736" t="e">
            <v>#REF!</v>
          </cell>
        </row>
        <row r="737">
          <cell r="Z737" t="e">
            <v>#REF!</v>
          </cell>
        </row>
        <row r="738">
          <cell r="Z738" t="e">
            <v>#REF!</v>
          </cell>
        </row>
        <row r="739">
          <cell r="Z739" t="e">
            <v>#REF!</v>
          </cell>
        </row>
        <row r="740">
          <cell r="Z740" t="e">
            <v>#REF!</v>
          </cell>
        </row>
        <row r="741">
          <cell r="Z741" t="e">
            <v>#REF!</v>
          </cell>
        </row>
        <row r="742">
          <cell r="Z742" t="e">
            <v>#REF!</v>
          </cell>
        </row>
        <row r="743">
          <cell r="Z743" t="e">
            <v>#REF!</v>
          </cell>
        </row>
        <row r="744">
          <cell r="Z744" t="e">
            <v>#REF!</v>
          </cell>
        </row>
        <row r="745">
          <cell r="Z745" t="e">
            <v>#REF!</v>
          </cell>
        </row>
        <row r="746">
          <cell r="Z746" t="e">
            <v>#REF!</v>
          </cell>
        </row>
        <row r="747">
          <cell r="Z747" t="e">
            <v>#REF!</v>
          </cell>
        </row>
        <row r="748">
          <cell r="Z748" t="e">
            <v>#REF!</v>
          </cell>
        </row>
        <row r="749">
          <cell r="Z749" t="e">
            <v>#REF!</v>
          </cell>
        </row>
        <row r="750">
          <cell r="Z750" t="e">
            <v>#REF!</v>
          </cell>
        </row>
        <row r="751">
          <cell r="Z751" t="e">
            <v>#REF!</v>
          </cell>
        </row>
        <row r="752">
          <cell r="Z752" t="e">
            <v>#REF!</v>
          </cell>
        </row>
        <row r="753">
          <cell r="Z753" t="e">
            <v>#REF!</v>
          </cell>
        </row>
        <row r="754">
          <cell r="Z754" t="e">
            <v>#REF!</v>
          </cell>
        </row>
        <row r="755">
          <cell r="Z755" t="e">
            <v>#REF!</v>
          </cell>
        </row>
        <row r="756">
          <cell r="Z756" t="e">
            <v>#REF!</v>
          </cell>
        </row>
        <row r="757">
          <cell r="Z757" t="e">
            <v>#REF!</v>
          </cell>
        </row>
        <row r="758">
          <cell r="Z758" t="e">
            <v>#REF!</v>
          </cell>
        </row>
        <row r="759">
          <cell r="Z759" t="e">
            <v>#REF!</v>
          </cell>
        </row>
        <row r="760">
          <cell r="Z760" t="e">
            <v>#REF!</v>
          </cell>
        </row>
        <row r="761">
          <cell r="Z761" t="e">
            <v>#REF!</v>
          </cell>
        </row>
        <row r="762">
          <cell r="Z762" t="e">
            <v>#REF!</v>
          </cell>
        </row>
        <row r="763">
          <cell r="Z763" t="e">
            <v>#REF!</v>
          </cell>
        </row>
        <row r="764">
          <cell r="Z764" t="e">
            <v>#REF!</v>
          </cell>
        </row>
        <row r="765">
          <cell r="Z765" t="e">
            <v>#REF!</v>
          </cell>
        </row>
        <row r="766">
          <cell r="Z766" t="e">
            <v>#REF!</v>
          </cell>
        </row>
        <row r="767">
          <cell r="Z767" t="e">
            <v>#REF!</v>
          </cell>
        </row>
        <row r="768">
          <cell r="Z768" t="e">
            <v>#REF!</v>
          </cell>
        </row>
        <row r="769">
          <cell r="Z769" t="e">
            <v>#REF!</v>
          </cell>
        </row>
        <row r="770">
          <cell r="Z770" t="e">
            <v>#REF!</v>
          </cell>
        </row>
        <row r="771">
          <cell r="Z771" t="e">
            <v>#REF!</v>
          </cell>
        </row>
        <row r="772">
          <cell r="Z772" t="e">
            <v>#REF!</v>
          </cell>
        </row>
        <row r="773">
          <cell r="Z773" t="e">
            <v>#REF!</v>
          </cell>
        </row>
        <row r="774">
          <cell r="Z774" t="e">
            <v>#REF!</v>
          </cell>
        </row>
        <row r="775">
          <cell r="Z775" t="e">
            <v>#REF!</v>
          </cell>
        </row>
        <row r="776">
          <cell r="Z776" t="e">
            <v>#REF!</v>
          </cell>
        </row>
        <row r="777">
          <cell r="Z777" t="e">
            <v>#REF!</v>
          </cell>
        </row>
        <row r="778">
          <cell r="Z778" t="e">
            <v>#REF!</v>
          </cell>
        </row>
        <row r="779">
          <cell r="Z779" t="e">
            <v>#REF!</v>
          </cell>
        </row>
        <row r="780">
          <cell r="Z780" t="e">
            <v>#REF!</v>
          </cell>
        </row>
        <row r="781">
          <cell r="Z781" t="e">
            <v>#REF!</v>
          </cell>
        </row>
        <row r="782">
          <cell r="Z782" t="e">
            <v>#REF!</v>
          </cell>
        </row>
        <row r="783">
          <cell r="Z783" t="e">
            <v>#REF!</v>
          </cell>
        </row>
        <row r="784">
          <cell r="Z784" t="e">
            <v>#REF!</v>
          </cell>
        </row>
        <row r="785">
          <cell r="Z785" t="e">
            <v>#REF!</v>
          </cell>
        </row>
        <row r="786">
          <cell r="Z786" t="e">
            <v>#REF!</v>
          </cell>
        </row>
        <row r="787">
          <cell r="Z787" t="e">
            <v>#REF!</v>
          </cell>
        </row>
        <row r="788">
          <cell r="Z788" t="e">
            <v>#REF!</v>
          </cell>
        </row>
        <row r="789">
          <cell r="Z789" t="e">
            <v>#REF!</v>
          </cell>
        </row>
        <row r="790">
          <cell r="Z790" t="e">
            <v>#REF!</v>
          </cell>
        </row>
        <row r="791">
          <cell r="Z791" t="e">
            <v>#REF!</v>
          </cell>
        </row>
        <row r="792">
          <cell r="Z792" t="e">
            <v>#REF!</v>
          </cell>
        </row>
        <row r="793">
          <cell r="Z793" t="e">
            <v>#REF!</v>
          </cell>
        </row>
        <row r="794">
          <cell r="Z794" t="e">
            <v>#REF!</v>
          </cell>
        </row>
        <row r="795">
          <cell r="Z795" t="e">
            <v>#REF!</v>
          </cell>
        </row>
        <row r="796">
          <cell r="Z796" t="e">
            <v>#REF!</v>
          </cell>
        </row>
        <row r="797">
          <cell r="Z797" t="e">
            <v>#REF!</v>
          </cell>
        </row>
        <row r="798">
          <cell r="Z798" t="e">
            <v>#REF!</v>
          </cell>
        </row>
        <row r="799">
          <cell r="Z799" t="e">
            <v>#REF!</v>
          </cell>
        </row>
        <row r="800">
          <cell r="Z800" t="e">
            <v>#REF!</v>
          </cell>
        </row>
        <row r="801">
          <cell r="Z801" t="e">
            <v>#REF!</v>
          </cell>
        </row>
        <row r="802">
          <cell r="Z802" t="e">
            <v>#REF!</v>
          </cell>
        </row>
        <row r="803">
          <cell r="Z803" t="e">
            <v>#REF!</v>
          </cell>
        </row>
        <row r="804">
          <cell r="Z804" t="e">
            <v>#REF!</v>
          </cell>
        </row>
        <row r="805">
          <cell r="Z805" t="e">
            <v>#REF!</v>
          </cell>
        </row>
        <row r="806">
          <cell r="Z806" t="e">
            <v>#REF!</v>
          </cell>
        </row>
        <row r="807">
          <cell r="Z807" t="e">
            <v>#REF!</v>
          </cell>
        </row>
        <row r="808">
          <cell r="Z808" t="e">
            <v>#REF!</v>
          </cell>
        </row>
        <row r="809">
          <cell r="Z809" t="e">
            <v>#REF!</v>
          </cell>
        </row>
        <row r="810">
          <cell r="Z810" t="e">
            <v>#REF!</v>
          </cell>
        </row>
        <row r="811">
          <cell r="Z811" t="e">
            <v>#REF!</v>
          </cell>
        </row>
        <row r="812">
          <cell r="Z812" t="e">
            <v>#REF!</v>
          </cell>
        </row>
        <row r="813">
          <cell r="Z813" t="e">
            <v>#REF!</v>
          </cell>
        </row>
        <row r="814">
          <cell r="Z814" t="e">
            <v>#REF!</v>
          </cell>
        </row>
        <row r="815">
          <cell r="Z815" t="e">
            <v>#REF!</v>
          </cell>
        </row>
        <row r="816">
          <cell r="Z816" t="e">
            <v>#REF!</v>
          </cell>
        </row>
        <row r="817">
          <cell r="Z817" t="e">
            <v>#REF!</v>
          </cell>
        </row>
        <row r="818">
          <cell r="Z818" t="e">
            <v>#REF!</v>
          </cell>
        </row>
        <row r="819">
          <cell r="Z819" t="e">
            <v>#REF!</v>
          </cell>
        </row>
        <row r="820">
          <cell r="Z820" t="e">
            <v>#REF!</v>
          </cell>
        </row>
        <row r="821">
          <cell r="Z821" t="e">
            <v>#REF!</v>
          </cell>
        </row>
        <row r="822">
          <cell r="Z822" t="e">
            <v>#REF!</v>
          </cell>
        </row>
        <row r="823">
          <cell r="Z823" t="e">
            <v>#REF!</v>
          </cell>
        </row>
        <row r="824">
          <cell r="Z824" t="e">
            <v>#REF!</v>
          </cell>
        </row>
        <row r="825">
          <cell r="Z825" t="e">
            <v>#REF!</v>
          </cell>
        </row>
        <row r="826">
          <cell r="Z826" t="e">
            <v>#REF!</v>
          </cell>
        </row>
        <row r="827">
          <cell r="Z827" t="e">
            <v>#REF!</v>
          </cell>
        </row>
        <row r="828">
          <cell r="Z828" t="e">
            <v>#REF!</v>
          </cell>
        </row>
        <row r="829">
          <cell r="Z829" t="e">
            <v>#REF!</v>
          </cell>
        </row>
        <row r="830">
          <cell r="Z830" t="e">
            <v>#REF!</v>
          </cell>
        </row>
        <row r="831">
          <cell r="Z831" t="e">
            <v>#REF!</v>
          </cell>
        </row>
        <row r="832">
          <cell r="Z832" t="e">
            <v>#REF!</v>
          </cell>
        </row>
        <row r="833">
          <cell r="Z833" t="e">
            <v>#REF!</v>
          </cell>
        </row>
        <row r="834">
          <cell r="Z834" t="e">
            <v>#REF!</v>
          </cell>
        </row>
        <row r="835">
          <cell r="Z835" t="e">
            <v>#REF!</v>
          </cell>
        </row>
        <row r="836">
          <cell r="Z836" t="e">
            <v>#REF!</v>
          </cell>
        </row>
        <row r="837">
          <cell r="Z837" t="e">
            <v>#REF!</v>
          </cell>
        </row>
        <row r="838">
          <cell r="Z838" t="e">
            <v>#REF!</v>
          </cell>
        </row>
        <row r="839">
          <cell r="Z839" t="e">
            <v>#REF!</v>
          </cell>
        </row>
        <row r="840">
          <cell r="Z840" t="e">
            <v>#REF!</v>
          </cell>
        </row>
        <row r="841">
          <cell r="Z841" t="e">
            <v>#REF!</v>
          </cell>
        </row>
        <row r="842">
          <cell r="Z842" t="e">
            <v>#REF!</v>
          </cell>
        </row>
        <row r="843">
          <cell r="Z843" t="e">
            <v>#REF!</v>
          </cell>
        </row>
        <row r="844">
          <cell r="Z844" t="e">
            <v>#REF!</v>
          </cell>
        </row>
        <row r="845">
          <cell r="Z845" t="e">
            <v>#REF!</v>
          </cell>
        </row>
        <row r="846">
          <cell r="Z846" t="e">
            <v>#REF!</v>
          </cell>
        </row>
        <row r="847">
          <cell r="Z847" t="e">
            <v>#REF!</v>
          </cell>
        </row>
        <row r="848">
          <cell r="Z848" t="e">
            <v>#REF!</v>
          </cell>
        </row>
        <row r="849">
          <cell r="Z849" t="e">
            <v>#REF!</v>
          </cell>
        </row>
        <row r="850">
          <cell r="Z850" t="e">
            <v>#REF!</v>
          </cell>
        </row>
        <row r="851">
          <cell r="Z851" t="e">
            <v>#REF!</v>
          </cell>
        </row>
        <row r="852">
          <cell r="Z852" t="e">
            <v>#REF!</v>
          </cell>
        </row>
        <row r="853">
          <cell r="Z853" t="e">
            <v>#REF!</v>
          </cell>
        </row>
        <row r="854">
          <cell r="Z854" t="e">
            <v>#REF!</v>
          </cell>
        </row>
        <row r="855">
          <cell r="Z855" t="e">
            <v>#REF!</v>
          </cell>
        </row>
        <row r="856">
          <cell r="Z856" t="e">
            <v>#REF!</v>
          </cell>
        </row>
        <row r="857">
          <cell r="Z857" t="e">
            <v>#REF!</v>
          </cell>
        </row>
        <row r="858">
          <cell r="Z858" t="e">
            <v>#REF!</v>
          </cell>
        </row>
        <row r="859">
          <cell r="Z859" t="e">
            <v>#REF!</v>
          </cell>
        </row>
        <row r="860">
          <cell r="Z860" t="e">
            <v>#REF!</v>
          </cell>
        </row>
        <row r="861">
          <cell r="Z861" t="e">
            <v>#REF!</v>
          </cell>
        </row>
        <row r="862">
          <cell r="Z862" t="e">
            <v>#REF!</v>
          </cell>
        </row>
        <row r="863">
          <cell r="Z863" t="e">
            <v>#REF!</v>
          </cell>
        </row>
        <row r="864">
          <cell r="Z864" t="e">
            <v>#REF!</v>
          </cell>
        </row>
        <row r="865">
          <cell r="Z865" t="e">
            <v>#REF!</v>
          </cell>
        </row>
        <row r="866">
          <cell r="Z866" t="e">
            <v>#REF!</v>
          </cell>
        </row>
        <row r="867">
          <cell r="Z867" t="e">
            <v>#REF!</v>
          </cell>
        </row>
        <row r="868">
          <cell r="Z868" t="e">
            <v>#REF!</v>
          </cell>
        </row>
        <row r="869">
          <cell r="Z869" t="e">
            <v>#REF!</v>
          </cell>
        </row>
        <row r="870">
          <cell r="Z870" t="e">
            <v>#REF!</v>
          </cell>
        </row>
        <row r="871">
          <cell r="Z871" t="e">
            <v>#REF!</v>
          </cell>
        </row>
        <row r="872">
          <cell r="Z872" t="e">
            <v>#REF!</v>
          </cell>
        </row>
        <row r="873">
          <cell r="Z873" t="e">
            <v>#REF!</v>
          </cell>
        </row>
        <row r="874">
          <cell r="Z874" t="e">
            <v>#REF!</v>
          </cell>
        </row>
        <row r="875">
          <cell r="Z875" t="e">
            <v>#REF!</v>
          </cell>
        </row>
        <row r="876">
          <cell r="Z876" t="e">
            <v>#REF!</v>
          </cell>
        </row>
        <row r="877">
          <cell r="Z877" t="e">
            <v>#REF!</v>
          </cell>
        </row>
        <row r="878">
          <cell r="Z878" t="e">
            <v>#REF!</v>
          </cell>
        </row>
        <row r="879">
          <cell r="Z879" t="e">
            <v>#REF!</v>
          </cell>
        </row>
        <row r="880">
          <cell r="Z880" t="e">
            <v>#REF!</v>
          </cell>
        </row>
        <row r="881">
          <cell r="Z881" t="e">
            <v>#REF!</v>
          </cell>
        </row>
        <row r="882">
          <cell r="Z882" t="e">
            <v>#REF!</v>
          </cell>
        </row>
        <row r="883">
          <cell r="Z883" t="e">
            <v>#REF!</v>
          </cell>
        </row>
        <row r="884">
          <cell r="Z884" t="e">
            <v>#REF!</v>
          </cell>
        </row>
        <row r="885">
          <cell r="Z885" t="e">
            <v>#REF!</v>
          </cell>
        </row>
        <row r="886">
          <cell r="Z886" t="e">
            <v>#REF!</v>
          </cell>
        </row>
        <row r="887">
          <cell r="Z887" t="e">
            <v>#REF!</v>
          </cell>
        </row>
        <row r="888">
          <cell r="Z888" t="e">
            <v>#REF!</v>
          </cell>
        </row>
        <row r="889">
          <cell r="Z889" t="e">
            <v>#REF!</v>
          </cell>
        </row>
        <row r="890">
          <cell r="Z890" t="e">
            <v>#REF!</v>
          </cell>
        </row>
        <row r="891">
          <cell r="Z891" t="e">
            <v>#REF!</v>
          </cell>
        </row>
        <row r="892">
          <cell r="Z892" t="e">
            <v>#REF!</v>
          </cell>
        </row>
        <row r="893">
          <cell r="Z893" t="e">
            <v>#REF!</v>
          </cell>
        </row>
        <row r="894">
          <cell r="Z894" t="e">
            <v>#REF!</v>
          </cell>
        </row>
        <row r="895">
          <cell r="Z895" t="e">
            <v>#REF!</v>
          </cell>
        </row>
        <row r="896">
          <cell r="Z896" t="e">
            <v>#REF!</v>
          </cell>
        </row>
        <row r="897">
          <cell r="Z897" t="e">
            <v>#REF!</v>
          </cell>
        </row>
        <row r="898">
          <cell r="Z898" t="e">
            <v>#REF!</v>
          </cell>
        </row>
        <row r="899">
          <cell r="Z899" t="e">
            <v>#REF!</v>
          </cell>
        </row>
        <row r="900">
          <cell r="Z900" t="e">
            <v>#REF!</v>
          </cell>
        </row>
        <row r="901">
          <cell r="Z901" t="e">
            <v>#REF!</v>
          </cell>
        </row>
        <row r="902">
          <cell r="Z902" t="e">
            <v>#REF!</v>
          </cell>
        </row>
        <row r="903">
          <cell r="Z903" t="e">
            <v>#REF!</v>
          </cell>
        </row>
        <row r="904">
          <cell r="Z904" t="e">
            <v>#REF!</v>
          </cell>
        </row>
        <row r="905">
          <cell r="Z905" t="e">
            <v>#REF!</v>
          </cell>
        </row>
        <row r="906">
          <cell r="Z906" t="e">
            <v>#REF!</v>
          </cell>
        </row>
        <row r="907">
          <cell r="Z907" t="e">
            <v>#REF!</v>
          </cell>
        </row>
        <row r="908">
          <cell r="Z908" t="e">
            <v>#REF!</v>
          </cell>
        </row>
        <row r="909">
          <cell r="Z909" t="e">
            <v>#REF!</v>
          </cell>
        </row>
        <row r="910">
          <cell r="Z910" t="e">
            <v>#REF!</v>
          </cell>
        </row>
        <row r="911">
          <cell r="Z911" t="e">
            <v>#REF!</v>
          </cell>
        </row>
        <row r="912">
          <cell r="Z912" t="e">
            <v>#REF!</v>
          </cell>
        </row>
        <row r="913">
          <cell r="Z913" t="e">
            <v>#REF!</v>
          </cell>
        </row>
        <row r="914">
          <cell r="Z914" t="e">
            <v>#REF!</v>
          </cell>
        </row>
        <row r="915">
          <cell r="Z915" t="e">
            <v>#REF!</v>
          </cell>
        </row>
        <row r="916">
          <cell r="Z916" t="e">
            <v>#REF!</v>
          </cell>
        </row>
        <row r="917">
          <cell r="Z917" t="e">
            <v>#REF!</v>
          </cell>
        </row>
        <row r="918">
          <cell r="Z918" t="e">
            <v>#REF!</v>
          </cell>
        </row>
        <row r="919">
          <cell r="Z919" t="e">
            <v>#REF!</v>
          </cell>
        </row>
        <row r="920">
          <cell r="Z920" t="e">
            <v>#REF!</v>
          </cell>
        </row>
        <row r="921">
          <cell r="Z921" t="e">
            <v>#REF!</v>
          </cell>
        </row>
        <row r="922">
          <cell r="Z922" t="e">
            <v>#REF!</v>
          </cell>
        </row>
        <row r="923">
          <cell r="Z923" t="e">
            <v>#REF!</v>
          </cell>
        </row>
        <row r="924">
          <cell r="Z924" t="e">
            <v>#REF!</v>
          </cell>
        </row>
        <row r="925">
          <cell r="Z925" t="e">
            <v>#REF!</v>
          </cell>
        </row>
        <row r="926">
          <cell r="Z926" t="e">
            <v>#REF!</v>
          </cell>
        </row>
        <row r="927">
          <cell r="Z927" t="e">
            <v>#REF!</v>
          </cell>
        </row>
        <row r="928">
          <cell r="Z928" t="e">
            <v>#REF!</v>
          </cell>
        </row>
        <row r="929">
          <cell r="Z929" t="e">
            <v>#REF!</v>
          </cell>
        </row>
        <row r="930">
          <cell r="Z930" t="e">
            <v>#REF!</v>
          </cell>
        </row>
        <row r="931">
          <cell r="Z931" t="e">
            <v>#REF!</v>
          </cell>
        </row>
        <row r="932">
          <cell r="Z932" t="e">
            <v>#REF!</v>
          </cell>
        </row>
        <row r="933">
          <cell r="Z933" t="e">
            <v>#REF!</v>
          </cell>
        </row>
        <row r="934">
          <cell r="Z934" t="e">
            <v>#REF!</v>
          </cell>
        </row>
        <row r="935">
          <cell r="Z935" t="e">
            <v>#REF!</v>
          </cell>
        </row>
        <row r="936">
          <cell r="Z936" t="e">
            <v>#REF!</v>
          </cell>
        </row>
        <row r="937">
          <cell r="Z937" t="e">
            <v>#REF!</v>
          </cell>
        </row>
        <row r="938">
          <cell r="Z938" t="e">
            <v>#REF!</v>
          </cell>
        </row>
        <row r="939">
          <cell r="Z939" t="e">
            <v>#REF!</v>
          </cell>
        </row>
        <row r="940">
          <cell r="Z940" t="e">
            <v>#REF!</v>
          </cell>
        </row>
        <row r="941">
          <cell r="Z941" t="e">
            <v>#REF!</v>
          </cell>
        </row>
        <row r="942">
          <cell r="Z942" t="e">
            <v>#REF!</v>
          </cell>
        </row>
        <row r="943">
          <cell r="Z943" t="e">
            <v>#REF!</v>
          </cell>
        </row>
        <row r="944">
          <cell r="Z944" t="e">
            <v>#REF!</v>
          </cell>
        </row>
        <row r="945">
          <cell r="Z945" t="e">
            <v>#REF!</v>
          </cell>
        </row>
        <row r="946">
          <cell r="Z946" t="e">
            <v>#REF!</v>
          </cell>
        </row>
        <row r="947">
          <cell r="Z947" t="e">
            <v>#REF!</v>
          </cell>
        </row>
        <row r="948">
          <cell r="Z948" t="e">
            <v>#REF!</v>
          </cell>
        </row>
        <row r="949">
          <cell r="Z949" t="e">
            <v>#REF!</v>
          </cell>
        </row>
        <row r="950">
          <cell r="Z950" t="e">
            <v>#REF!</v>
          </cell>
        </row>
        <row r="951">
          <cell r="Z951" t="e">
            <v>#REF!</v>
          </cell>
        </row>
        <row r="952">
          <cell r="Z952" t="e">
            <v>#REF!</v>
          </cell>
        </row>
        <row r="953">
          <cell r="Z953" t="e">
            <v>#REF!</v>
          </cell>
        </row>
        <row r="954">
          <cell r="Z954" t="e">
            <v>#REF!</v>
          </cell>
        </row>
        <row r="955">
          <cell r="Z955" t="e">
            <v>#REF!</v>
          </cell>
        </row>
        <row r="956">
          <cell r="Z956" t="e">
            <v>#REF!</v>
          </cell>
        </row>
        <row r="957">
          <cell r="Z957" t="e">
            <v>#REF!</v>
          </cell>
        </row>
        <row r="958">
          <cell r="Z958" t="e">
            <v>#REF!</v>
          </cell>
        </row>
        <row r="959">
          <cell r="Z959" t="e">
            <v>#REF!</v>
          </cell>
        </row>
        <row r="960">
          <cell r="Z960" t="e">
            <v>#REF!</v>
          </cell>
        </row>
        <row r="961">
          <cell r="Z961" t="e">
            <v>#REF!</v>
          </cell>
        </row>
        <row r="962">
          <cell r="Z962" t="e">
            <v>#REF!</v>
          </cell>
        </row>
        <row r="963">
          <cell r="Z963" t="e">
            <v>#REF!</v>
          </cell>
        </row>
        <row r="964">
          <cell r="Z964" t="e">
            <v>#REF!</v>
          </cell>
        </row>
        <row r="965">
          <cell r="Z965" t="e">
            <v>#REF!</v>
          </cell>
        </row>
        <row r="966">
          <cell r="Z966" t="e">
            <v>#REF!</v>
          </cell>
        </row>
        <row r="967">
          <cell r="Z967" t="e">
            <v>#REF!</v>
          </cell>
        </row>
        <row r="968">
          <cell r="Z968" t="e">
            <v>#REF!</v>
          </cell>
        </row>
        <row r="969">
          <cell r="Z969" t="e">
            <v>#REF!</v>
          </cell>
        </row>
        <row r="970">
          <cell r="Z970" t="e">
            <v>#REF!</v>
          </cell>
        </row>
        <row r="971">
          <cell r="Z971" t="e">
            <v>#REF!</v>
          </cell>
        </row>
        <row r="972">
          <cell r="Z972" t="e">
            <v>#REF!</v>
          </cell>
        </row>
        <row r="973">
          <cell r="Z973" t="e">
            <v>#REF!</v>
          </cell>
        </row>
        <row r="974">
          <cell r="Z974" t="e">
            <v>#REF!</v>
          </cell>
        </row>
        <row r="975">
          <cell r="Z975" t="e">
            <v>#REF!</v>
          </cell>
        </row>
        <row r="976">
          <cell r="Z976" t="e">
            <v>#REF!</v>
          </cell>
        </row>
        <row r="977">
          <cell r="Z977" t="e">
            <v>#REF!</v>
          </cell>
        </row>
        <row r="978">
          <cell r="Z978" t="e">
            <v>#REF!</v>
          </cell>
        </row>
        <row r="979">
          <cell r="Z979" t="e">
            <v>#REF!</v>
          </cell>
        </row>
        <row r="980">
          <cell r="Z980" t="e">
            <v>#REF!</v>
          </cell>
        </row>
        <row r="981">
          <cell r="Z981" t="e">
            <v>#REF!</v>
          </cell>
        </row>
        <row r="982">
          <cell r="Z982" t="e">
            <v>#REF!</v>
          </cell>
        </row>
        <row r="983">
          <cell r="Z983" t="e">
            <v>#REF!</v>
          </cell>
        </row>
        <row r="984">
          <cell r="Z984" t="e">
            <v>#REF!</v>
          </cell>
        </row>
        <row r="985">
          <cell r="Z985" t="e">
            <v>#REF!</v>
          </cell>
        </row>
        <row r="986">
          <cell r="Z986" t="e">
            <v>#REF!</v>
          </cell>
        </row>
        <row r="987">
          <cell r="Z987" t="e">
            <v>#REF!</v>
          </cell>
        </row>
        <row r="988">
          <cell r="Z988" t="e">
            <v>#REF!</v>
          </cell>
        </row>
        <row r="989">
          <cell r="Z989" t="e">
            <v>#REF!</v>
          </cell>
        </row>
        <row r="990">
          <cell r="Z990" t="e">
            <v>#REF!</v>
          </cell>
        </row>
        <row r="991">
          <cell r="Z991" t="e">
            <v>#REF!</v>
          </cell>
        </row>
        <row r="992">
          <cell r="Z992" t="e">
            <v>#REF!</v>
          </cell>
        </row>
        <row r="993">
          <cell r="Z993" t="e">
            <v>#REF!</v>
          </cell>
        </row>
        <row r="994">
          <cell r="Z994" t="e">
            <v>#REF!</v>
          </cell>
        </row>
        <row r="995">
          <cell r="Z995" t="e">
            <v>#REF!</v>
          </cell>
        </row>
        <row r="996">
          <cell r="Z996" t="e">
            <v>#REF!</v>
          </cell>
        </row>
        <row r="997">
          <cell r="Z997" t="e">
            <v>#REF!</v>
          </cell>
        </row>
        <row r="998">
          <cell r="Z998" t="e">
            <v>#REF!</v>
          </cell>
        </row>
        <row r="999">
          <cell r="Z999" t="e">
            <v>#REF!</v>
          </cell>
        </row>
        <row r="1000">
          <cell r="Z1000" t="e">
            <v>#REF!</v>
          </cell>
        </row>
        <row r="1001">
          <cell r="Z1001" t="e">
            <v>#REF!</v>
          </cell>
        </row>
        <row r="1002">
          <cell r="Z1002" t="e">
            <v>#REF!</v>
          </cell>
        </row>
        <row r="1003">
          <cell r="Z1003" t="e">
            <v>#REF!</v>
          </cell>
        </row>
        <row r="1004">
          <cell r="Z1004" t="e">
            <v>#REF!</v>
          </cell>
        </row>
        <row r="1005">
          <cell r="Z1005" t="e">
            <v>#REF!</v>
          </cell>
        </row>
        <row r="1006">
          <cell r="Z1006" t="e">
            <v>#REF!</v>
          </cell>
        </row>
        <row r="1007">
          <cell r="Z1007" t="e">
            <v>#REF!</v>
          </cell>
        </row>
        <row r="1008">
          <cell r="Z1008" t="e">
            <v>#REF!</v>
          </cell>
        </row>
        <row r="1009">
          <cell r="Z1009" t="e">
            <v>#REF!</v>
          </cell>
        </row>
        <row r="1010">
          <cell r="Z1010" t="e">
            <v>#REF!</v>
          </cell>
        </row>
        <row r="1011">
          <cell r="Z1011" t="e">
            <v>#REF!</v>
          </cell>
        </row>
        <row r="1012">
          <cell r="Z1012" t="e">
            <v>#REF!</v>
          </cell>
        </row>
        <row r="1013">
          <cell r="Z1013" t="e">
            <v>#REF!</v>
          </cell>
        </row>
        <row r="1014">
          <cell r="Z1014" t="e">
            <v>#REF!</v>
          </cell>
        </row>
        <row r="1015">
          <cell r="Z1015" t="e">
            <v>#REF!</v>
          </cell>
        </row>
        <row r="1016">
          <cell r="Z1016" t="e">
            <v>#REF!</v>
          </cell>
        </row>
        <row r="1017">
          <cell r="Z1017" t="e">
            <v>#REF!</v>
          </cell>
        </row>
      </sheetData>
      <sheetData sheetId="11">
        <row r="17">
          <cell r="B17" t="str">
            <v>Quotation 1</v>
          </cell>
          <cell r="G17" t="str">
            <v/>
          </cell>
          <cell r="H17">
            <v>0</v>
          </cell>
        </row>
        <row r="19">
          <cell r="B19" t="str">
            <v>Quotation 2</v>
          </cell>
          <cell r="G19" t="str">
            <v/>
          </cell>
          <cell r="H19">
            <v>0</v>
          </cell>
        </row>
        <row r="21">
          <cell r="B21" t="str">
            <v>Quotation 3</v>
          </cell>
          <cell r="G21" t="str">
            <v/>
          </cell>
          <cell r="H21">
            <v>0</v>
          </cell>
        </row>
      </sheetData>
      <sheetData sheetId="12"/>
      <sheetData sheetId="13">
        <row r="7">
          <cell r="B7" t="str">
            <v>No</v>
          </cell>
          <cell r="C7" t="str">
            <v>Biodiversity</v>
          </cell>
        </row>
        <row r="8">
          <cell r="B8" t="str">
            <v>Yes</v>
          </cell>
          <cell r="C8" t="str">
            <v>Water</v>
          </cell>
        </row>
        <row r="9">
          <cell r="C9" t="str">
            <v>Biodiversity + Water</v>
          </cell>
        </row>
        <row r="23">
          <cell r="C23" t="str">
            <v>Yes: You cannot claim for VAT on contractors' or agents' fees. You should still indicate the VAT charged (if any) as part of your quotes, below.</v>
          </cell>
          <cell r="D23" t="str">
            <v>Y</v>
          </cell>
          <cell r="F23" t="str">
            <v>Screef hand or mechanical</v>
          </cell>
        </row>
        <row r="24">
          <cell r="C24" t="str">
            <v>No: You may claim for VAT charged by contractors and agents, but MUST provide evidence of your status as non-VAT registered (i.e. an Accountant's Certificate) with your final application.</v>
          </cell>
          <cell r="D24" t="str">
            <v>N</v>
          </cell>
          <cell r="F24" t="str">
            <v>Chemical screef</v>
          </cell>
        </row>
        <row r="25">
          <cell r="F25" t="str">
            <v>Linear cultivation Shallow Plough/Helix plough</v>
          </cell>
        </row>
        <row r="26">
          <cell r="F26" t="str">
            <v>Continuous mounding</v>
          </cell>
        </row>
        <row r="27">
          <cell r="F27" t="str">
            <v>Hinge mound</v>
          </cell>
        </row>
        <row r="28">
          <cell r="F28" t="str">
            <v>Inverted mounding</v>
          </cell>
        </row>
        <row r="35">
          <cell r="C35" t="str">
            <v>Scheme Year 1</v>
          </cell>
        </row>
        <row r="36">
          <cell r="C36" t="str">
            <v>Scheme Year 2</v>
          </cell>
        </row>
        <row r="37">
          <cell r="C37" t="str">
            <v>Both</v>
          </cell>
        </row>
        <row r="41">
          <cell r="C41">
            <v>1100</v>
          </cell>
        </row>
        <row r="42">
          <cell r="C42">
            <v>1600</v>
          </cell>
        </row>
        <row r="43">
          <cell r="C43">
            <v>2250</v>
          </cell>
        </row>
        <row r="44">
          <cell r="C44">
            <v>2500</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HERE"/>
      <sheetName val="Annex 2a Land summary"/>
      <sheetName val="Annex 2b Option WD2"/>
      <sheetName val="Annex 2c Capital excluding FY2"/>
      <sheetName val="Annex 2d Capital item FY2"/>
      <sheetName val="Annex 2e Capital item SB2"/>
      <sheetName val="Annex 2f Scoring"/>
      <sheetName val="Grant Totals &amp; Evidence"/>
      <sheetName val="Summary"/>
      <sheetName val="DataGeneral"/>
      <sheetName val="DataCapitalEvidence"/>
      <sheetName val="2 Agreement Land"/>
      <sheetName val="3.1 Total Agreement Value"/>
      <sheetName val="4 Summary of Multi-Year Options"/>
      <sheetName val="5 Multi-Year Option Payments"/>
      <sheetName val="LISTS"/>
      <sheetName val="7 Summary of Capital Items"/>
      <sheetName val="8 Capital Completion Dates"/>
      <sheetName val="Cpt Lists"/>
      <sheetName val="Data"/>
    </sheetNames>
    <sheetDataSet>
      <sheetData sheetId="0"/>
      <sheetData sheetId="1">
        <row r="16">
          <cell r="S16" t="str">
            <v>ParcelList ID</v>
          </cell>
        </row>
      </sheetData>
      <sheetData sheetId="2"/>
      <sheetData sheetId="3"/>
      <sheetData sheetId="4">
        <row r="15">
          <cell r="B15" t="str">
            <v>Quotation 1</v>
          </cell>
        </row>
      </sheetData>
      <sheetData sheetId="5">
        <row r="13">
          <cell r="B13" t="str">
            <v>Quotation 1</v>
          </cell>
        </row>
      </sheetData>
      <sheetData sheetId="6"/>
      <sheetData sheetId="7"/>
      <sheetData sheetId="8"/>
      <sheetData sheetId="9">
        <row r="7">
          <cell r="B7" t="str">
            <v>Yes</v>
          </cell>
        </row>
      </sheetData>
      <sheetData sheetId="10">
        <row r="6">
          <cell r="F6" t="str">
            <v xml:space="preserve">FG1: Fencing </v>
          </cell>
        </row>
      </sheetData>
      <sheetData sheetId="11"/>
      <sheetData sheetId="12"/>
      <sheetData sheetId="13"/>
      <sheetData sheetId="14"/>
      <sheetData sheetId="15">
        <row r="2">
          <cell r="C2" t="str">
            <v xml:space="preserve">FG1: Fencing </v>
          </cell>
        </row>
      </sheetData>
      <sheetData sheetId="16"/>
      <sheetData sheetId="17"/>
      <sheetData sheetId="18" refreshError="1"/>
      <sheetData sheetId="19"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17C1FF1-F2BA-405B-9C89-5EF9973FAFA6}" name="Table14" displayName="Table14" ref="K2:K32" totalsRowShown="0" headerRowDxfId="85" tableBorderDxfId="84">
  <autoFilter ref="K2:K32" xr:uid="{1E4E172E-D264-42D8-9CF3-5A813CDEE416}"/>
  <tableColumns count="1">
    <tableColumn id="1" xr3:uid="{6268081E-A9E8-42BC-8E1A-0D28E8077D77}" name="Soil Type"/>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20BCE0D-8CBB-4B2E-904B-2398147A1CFF}" name="Table25" displayName="Table25" ref="L2:L8" totalsRowShown="0" headerRowDxfId="83" tableBorderDxfId="82">
  <autoFilter ref="L2:L8" xr:uid="{590D81D8-39B8-4633-A06B-24890B99642C}"/>
  <tableColumns count="1">
    <tableColumn id="1" xr3:uid="{1CF7EED9-76BE-4E8E-A61C-1729B2EB8B60}" name="Agricultural land classification - provisional (England)."/>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0BD79CF-1D3B-43AD-93BB-D3381EB5BBB4}" name="tblLocalAuthorities" displayName="tblLocalAuthorities" ref="T1:T297" totalsRowShown="0" headerRowDxfId="81">
  <autoFilter ref="T1:T297" xr:uid="{80BD79CF-1D3B-43AD-93BB-D3381EB5BBB4}"/>
  <tableColumns count="1">
    <tableColumn id="1" xr3:uid="{A36B640A-D373-450D-9498-C81B40636506}" name="Local authorities"/>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ov.uk/government/publications/a-guide-to-planning-new-woodland-in-england" TargetMode="External"/><Relationship Id="rId13" Type="http://schemas.openxmlformats.org/officeDocument/2006/relationships/hyperlink" Target="https://jncc.gov.uk/our-work/nvc/" TargetMode="External"/><Relationship Id="rId3" Type="http://schemas.openxmlformats.org/officeDocument/2006/relationships/hyperlink" Target="https://www.gov.uk/government/publications/a-guide-to-planning-new-woodland-in-england" TargetMode="External"/><Relationship Id="rId7" Type="http://schemas.openxmlformats.org/officeDocument/2006/relationships/hyperlink" Target="mailto:WCPG@forestrycommission.gov.uk" TargetMode="External"/><Relationship Id="rId12" Type="http://schemas.openxmlformats.org/officeDocument/2006/relationships/hyperlink" Target="https://www.forestresearch.gov.uk/tools-and-resources/fthr/forest-development-types/" TargetMode="External"/><Relationship Id="rId2" Type="http://schemas.openxmlformats.org/officeDocument/2006/relationships/hyperlink" Target="https://www.gov.uk/guidance/woodland-creation-planning-grant" TargetMode="External"/><Relationship Id="rId1" Type="http://schemas.openxmlformats.org/officeDocument/2006/relationships/hyperlink" Target="https://www.gov.uk/government/publications/woodland-creation-design-plan-example-documents/landscape-character-appraisal-examples-for-woodland-creation-a-lowland-site" TargetMode="External"/><Relationship Id="rId6" Type="http://schemas.openxmlformats.org/officeDocument/2006/relationships/hyperlink" Target="https://www.gov.uk/government/publications/woodland-creation-planning-grant-application-form" TargetMode="External"/><Relationship Id="rId11" Type="http://schemas.openxmlformats.org/officeDocument/2006/relationships/hyperlink" Target="https://www.forestresearch.gov.uk/tools-and-resources/fthr/resilience-implementation-framework/" TargetMode="External"/><Relationship Id="rId5" Type="http://schemas.openxmlformats.org/officeDocument/2006/relationships/hyperlink" Target="https://www.gov.uk/guidance/forestry-project-checks-constraints" TargetMode="External"/><Relationship Id="rId15" Type="http://schemas.openxmlformats.org/officeDocument/2006/relationships/drawing" Target="../drawings/drawing1.xml"/><Relationship Id="rId10" Type="http://schemas.openxmlformats.org/officeDocument/2006/relationships/hyperlink" Target="https://www.gov.uk/government/publications/a-guide-to-planning-new-woodland-in-england" TargetMode="External"/><Relationship Id="rId4" Type="http://schemas.openxmlformats.org/officeDocument/2006/relationships/hyperlink" Target="https://www.gov.uk/government/publications/the-uk-forestry-standard" TargetMode="External"/><Relationship Id="rId9" Type="http://schemas.openxmlformats.org/officeDocument/2006/relationships/hyperlink" Target="https://www.gov.uk/guidance/forestry-project-checks-constraints" TargetMode="External"/><Relationship Id="rId1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timbertransportforum.org.uk/" TargetMode="External"/><Relationship Id="rId1" Type="http://schemas.openxmlformats.org/officeDocument/2006/relationships/hyperlink" Target="https://designatedsites.naturalengland.org.uk/GreenInfrastructure/Home.aspx" TargetMode="External"/><Relationship Id="rId4"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www.gov.uk/guidance/woodland-creation-planning-grant" TargetMode="External"/><Relationship Id="rId1" Type="http://schemas.openxmlformats.org/officeDocument/2006/relationships/hyperlink" Target="https://www.gov.uk/government/publications/woodland-creation-planning-grant-application-form" TargetMode="External"/><Relationship Id="rId4"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rsis.ramsar.org/" TargetMode="External"/><Relationship Id="rId1" Type="http://schemas.openxmlformats.org/officeDocument/2006/relationships/hyperlink" Target="https://publications.naturalengland.org.uk/category/6490068894089216" TargetMode="External"/><Relationship Id="rId4"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hyperlink" Target="https://www.gov.uk/government/publications/design-techniques-for-forest-management-planning-practice-guide" TargetMode="External"/><Relationship Id="rId2" Type="http://schemas.openxmlformats.org/officeDocument/2006/relationships/hyperlink" Target="https://www.gov.uk/government/publications/a-guide-to-planning-new-woodland-in-england" TargetMode="External"/><Relationship Id="rId1" Type="http://schemas.openxmlformats.org/officeDocument/2006/relationships/hyperlink" Target="https://www.gov.uk/government/publications/the-uk-forestry-standard" TargetMode="External"/><Relationship Id="rId5" Type="http://schemas.openxmlformats.org/officeDocument/2006/relationships/drawing" Target="../drawings/drawing13.xm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5.bin"/><Relationship Id="rId1" Type="http://schemas.openxmlformats.org/officeDocument/2006/relationships/hyperlink" Target="https://www.gov.uk/government/publications/a-guide-to-planning-new-woodland-in-england" TargetMode="Externa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18.bin"/><Relationship Id="rId1" Type="http://schemas.openxmlformats.org/officeDocument/2006/relationships/hyperlink" Target="https://www.gov.uk/government/publications/planting-spruce-trees-in-the-ips-typographus-demarcated-area"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19.bin"/><Relationship Id="rId1" Type="http://schemas.openxmlformats.org/officeDocument/2006/relationships/hyperlink" Target="https://roots.govintra.net/task/gr-code-constraints-consultation/" TargetMode="External"/><Relationship Id="rId5" Type="http://schemas.openxmlformats.org/officeDocument/2006/relationships/ctrlProp" Target="../ctrlProps/ctrlProp1.xml"/><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3" Type="http://schemas.openxmlformats.org/officeDocument/2006/relationships/hyperlink" Target="https://www.gov.uk/government/publications/a-guide-to-planning-new-woodland-in-england" TargetMode="External"/><Relationship Id="rId2" Type="http://schemas.openxmlformats.org/officeDocument/2006/relationships/hyperlink" Target="https://www.forestergis.com/Apps/MapBrowser/" TargetMode="External"/><Relationship Id="rId1" Type="http://schemas.openxmlformats.org/officeDocument/2006/relationships/hyperlink" Target="https://www.forestresearch.gov.uk/tools-and-resources/fthr/ecological-site-classification/"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0.xml"/><Relationship Id="rId1" Type="http://schemas.openxmlformats.org/officeDocument/2006/relationships/printerSettings" Target="../printerSettings/printerSettings20.bin"/><Relationship Id="rId5" Type="http://schemas.openxmlformats.org/officeDocument/2006/relationships/table" Target="../tables/table3.xm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hyperlink" Target="https://www.gov.uk/government/publications/woodland-creation-planning-grant-application-form" TargetMode="External"/><Relationship Id="rId2" Type="http://schemas.openxmlformats.org/officeDocument/2006/relationships/hyperlink" Target="https://www.gov.uk/government/publications/forestry-commission-agent-authority-form" TargetMode="External"/><Relationship Id="rId1" Type="http://schemas.openxmlformats.org/officeDocument/2006/relationships/hyperlink" Target="https://www.gov.uk/guidance/update-personal-and-business-details-in-the-rural-payments-service"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gov.uk/government/publications/the-uk-forestry-standard"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gov.uk/government/publications/local-nature-recovery-strategies-areas-and-responsible-authorities" TargetMode="External"/><Relationship Id="rId3" Type="http://schemas.openxmlformats.org/officeDocument/2006/relationships/hyperlink" Target="https://magic.defra.gov.uk/MagicMap.html" TargetMode="External"/><Relationship Id="rId7" Type="http://schemas.openxmlformats.org/officeDocument/2006/relationships/hyperlink" Target="https://www.gov.uk/government/publications/guidance-for-afforestation-proposed-on-or-near-nationally-important-upland-breeding-wader-areas" TargetMode="External"/><Relationship Id="rId2" Type="http://schemas.openxmlformats.org/officeDocument/2006/relationships/hyperlink" Target="https://www.gov.uk/government/publications/principles-for-afforestation-on-or-near-priority-habitats-operations-note-43" TargetMode="External"/><Relationship Id="rId1" Type="http://schemas.openxmlformats.org/officeDocument/2006/relationships/hyperlink" Target="https://www.gov.uk/government/publications/habitats-and-species-of-principal-importance-in-england" TargetMode="External"/><Relationship Id="rId6" Type="http://schemas.openxmlformats.org/officeDocument/2006/relationships/hyperlink" Target="https://www.forestergis.com/Apps/MapBrowser/" TargetMode="External"/><Relationship Id="rId5" Type="http://schemas.openxmlformats.org/officeDocument/2006/relationships/hyperlink" Target="https://www.gov.uk/guidance/manage-and-protect-woodland-wildlife" TargetMode="External"/><Relationship Id="rId10" Type="http://schemas.openxmlformats.org/officeDocument/2006/relationships/drawing" Target="../drawings/drawing5.xml"/><Relationship Id="rId4" Type="http://schemas.openxmlformats.org/officeDocument/2006/relationships/hyperlink" Target="https://www.gov.uk/government/publications/red-squirrels-and-forestry-operations-in-england-operations-note-65" TargetMode="External"/><Relationship Id="rId9"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gov.uk/government/publications/woodland-creation-design-plan-example-documents" TargetMode="External"/><Relationship Id="rId2" Type="http://schemas.openxmlformats.org/officeDocument/2006/relationships/hyperlink" Target="https://www.gov.uk/government/publications/woodland-creation-design-plan-example-documents/landscape-character-appraisal-examples-for-woodland-creation-a-lowland-site" TargetMode="External"/><Relationship Id="rId1" Type="http://schemas.openxmlformats.org/officeDocument/2006/relationships/hyperlink" Target="https://www.gov.uk/guidance/landscape-and-woodland-design-for-woodland-creation" TargetMode="Externa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https://www.gov.uk/government/publications/a-guide-to-planning-new-woodland-in-england"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gov.uk/government/publications/map-browser-with-land-information-search-operations-note-48" TargetMode="External"/><Relationship Id="rId13" Type="http://schemas.openxmlformats.org/officeDocument/2006/relationships/hyperlink" Target="https://www.forestergis.com/Apps/MapBrowser/" TargetMode="External"/><Relationship Id="rId18" Type="http://schemas.openxmlformats.org/officeDocument/2006/relationships/drawing" Target="../drawings/drawing7.xml"/><Relationship Id="rId3" Type="http://schemas.openxmlformats.org/officeDocument/2006/relationships/hyperlink" Target="https://www.forestergis.com/Apps/MapBrowser/" TargetMode="External"/><Relationship Id="rId7" Type="http://schemas.openxmlformats.org/officeDocument/2006/relationships/hyperlink" Target="https://www.forestergis.com/Apps/MapBrowser/" TargetMode="External"/><Relationship Id="rId12" Type="http://schemas.openxmlformats.org/officeDocument/2006/relationships/hyperlink" Target="https://www.forestergis.com/Apps/MapBrowser/" TargetMode="External"/><Relationship Id="rId17" Type="http://schemas.openxmlformats.org/officeDocument/2006/relationships/printerSettings" Target="../printerSettings/printerSettings7.bin"/><Relationship Id="rId2" Type="http://schemas.openxmlformats.org/officeDocument/2006/relationships/hyperlink" Target="https://www.gov.uk/government/publications/map-browser-with-land-information-search-operations-note-48" TargetMode="External"/><Relationship Id="rId16" Type="http://schemas.openxmlformats.org/officeDocument/2006/relationships/hyperlink" Target="https://www.gov.uk/government/publications/map-browser-with-land-information-search-operations-note-48" TargetMode="External"/><Relationship Id="rId1" Type="http://schemas.openxmlformats.org/officeDocument/2006/relationships/hyperlink" Target="https://environment.data.gov.uk/catchment-planning" TargetMode="External"/><Relationship Id="rId6" Type="http://schemas.openxmlformats.org/officeDocument/2006/relationships/hyperlink" Target="https://environment.data.gov.uk/farmers/" TargetMode="External"/><Relationship Id="rId11" Type="http://schemas.openxmlformats.org/officeDocument/2006/relationships/hyperlink" Target="https://www.gov.uk/government/publications/map-browser-with-land-information-search-operations-note-48" TargetMode="External"/><Relationship Id="rId5" Type="http://schemas.openxmlformats.org/officeDocument/2006/relationships/hyperlink" Target="https://www.bgs.ac.uk/map-viewers/bgs-geology-viewer/" TargetMode="External"/><Relationship Id="rId15" Type="http://schemas.openxmlformats.org/officeDocument/2006/relationships/hyperlink" Target="https://www.gov.uk/government/publications/map-browser-with-land-information-search-operations-note-48" TargetMode="External"/><Relationship Id="rId10" Type="http://schemas.openxmlformats.org/officeDocument/2006/relationships/hyperlink" Target="https://www.forestergis.com/Apps/MapBrowser/" TargetMode="External"/><Relationship Id="rId4" Type="http://schemas.openxmlformats.org/officeDocument/2006/relationships/hyperlink" Target="https://www.gov.uk/check-long-term-flood-risk" TargetMode="External"/><Relationship Id="rId9" Type="http://schemas.openxmlformats.org/officeDocument/2006/relationships/hyperlink" Target="https://www.gov.uk/government/publications/map-browser-with-land-information-search-operations-note-48" TargetMode="External"/><Relationship Id="rId14" Type="http://schemas.openxmlformats.org/officeDocument/2006/relationships/hyperlink" Target="https://www.forestergis.com/Apps/MapBrowser/"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ww.gov.uk/guidance/when-to-notify-historic-environment-organisations-about-forestry-proposals" TargetMode="External"/><Relationship Id="rId1" Type="http://schemas.openxmlformats.org/officeDocument/2006/relationships/hyperlink" Target="https://www.gov.uk/guidance/when-to-notify-historic-environment-organisations-about-forestry-proposals" TargetMode="External"/><Relationship Id="rId4"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8" Type="http://schemas.openxmlformats.org/officeDocument/2006/relationships/hyperlink" Target="https://www.gov.uk/guidance/manage-threats-to-woodland-destructive-animals-invasive-species" TargetMode="External"/><Relationship Id="rId3" Type="http://schemas.openxmlformats.org/officeDocument/2006/relationships/hyperlink" Target="https://www.gov.uk/government/publications/woodland-creation-and-mitigating-the-impacts-of-deer/woodland-creation-and-mitigating-the-impacts-of-deer" TargetMode="External"/><Relationship Id="rId7" Type="http://schemas.openxmlformats.org/officeDocument/2006/relationships/hyperlink" Target="https://www.gov.uk/government/publications/assessment-of-potential-wildfire-risk-resulting-from-planned-deforestation-to-open-habitat-operations-note-40" TargetMode="External"/><Relationship Id="rId2" Type="http://schemas.openxmlformats.org/officeDocument/2006/relationships/hyperlink" Target="https://www.forestresearch.gov.uk/climate-change/adaptation-measures/establishment-and-management/" TargetMode="External"/><Relationship Id="rId1" Type="http://schemas.openxmlformats.org/officeDocument/2006/relationships/hyperlink" Target="https://assets.publishing.service.gov.uk/media/60bfdbbde90e0743ae8c2884/ON053_-_Appendix_2_-_Classifying_Agricultural_Soils_for_use_in_Woodland_Creation_Grants_v1.0_issued_09062021.pdf" TargetMode="External"/><Relationship Id="rId6" Type="http://schemas.openxmlformats.org/officeDocument/2006/relationships/hyperlink" Target="https://www.forestergis.com/Apps/MapBrowser/" TargetMode="External"/><Relationship Id="rId11" Type="http://schemas.openxmlformats.org/officeDocument/2006/relationships/drawing" Target="../drawings/drawing9.xml"/><Relationship Id="rId5" Type="http://schemas.openxmlformats.org/officeDocument/2006/relationships/hyperlink" Target="https://www.forestresearch.gov.uk/tools-and-resources/fthr/ecological-site-classification/" TargetMode="External"/><Relationship Id="rId10" Type="http://schemas.openxmlformats.org/officeDocument/2006/relationships/printerSettings" Target="../printerSettings/printerSettings9.bin"/><Relationship Id="rId4" Type="http://schemas.openxmlformats.org/officeDocument/2006/relationships/hyperlink" Target="https://www.gov.uk/government/publications/guidance-on-cultivation-and-ukfs-compliance-for-application-in-england-operations-note-53/guidance-on-cultivation-and-ukfs-compliance-for-application-in-england-operations-note-53" TargetMode="External"/><Relationship Id="rId9" Type="http://schemas.openxmlformats.org/officeDocument/2006/relationships/hyperlink" Target="https://www.forestergis.com/Apps/MapBrows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E8C56-7BAD-4231-9CA6-BB8FA71CB103}">
  <sheetPr codeName="Sheet2">
    <tabColor rgb="FFB94700"/>
    <pageSetUpPr fitToPage="1"/>
  </sheetPr>
  <dimension ref="A1:X83"/>
  <sheetViews>
    <sheetView showGridLines="0" tabSelected="1" zoomScaleNormal="100" workbookViewId="0">
      <selection activeCell="B30" sqref="B30"/>
    </sheetView>
  </sheetViews>
  <sheetFormatPr defaultColWidth="0" defaultRowHeight="14.5" zeroHeight="1" x14ac:dyDescent="0.35"/>
  <cols>
    <col min="1" max="1" width="3.453125" customWidth="1"/>
    <col min="2" max="2" width="54.81640625" customWidth="1"/>
    <col min="3" max="3" width="70.81640625" customWidth="1"/>
    <col min="4" max="4" width="84.453125" customWidth="1"/>
    <col min="5" max="5" width="2.26953125" customWidth="1"/>
    <col min="6" max="24" width="0" hidden="1" customWidth="1"/>
    <col min="25" max="16384" width="8.7265625" hidden="1"/>
  </cols>
  <sheetData>
    <row r="1" spans="2:18" x14ac:dyDescent="0.35"/>
    <row r="2" spans="2:18" ht="38.5" customHeight="1" x14ac:dyDescent="0.45">
      <c r="B2" s="613" t="s">
        <v>0</v>
      </c>
      <c r="C2" s="613"/>
      <c r="D2" s="613"/>
      <c r="E2" s="613"/>
      <c r="F2" s="613"/>
      <c r="G2" s="613"/>
      <c r="H2" s="613"/>
      <c r="I2" s="6"/>
      <c r="J2" s="6"/>
      <c r="K2" s="6"/>
      <c r="L2" s="6"/>
      <c r="M2" s="6"/>
      <c r="N2" s="6"/>
      <c r="O2" s="6"/>
      <c r="P2" s="6"/>
      <c r="Q2" s="6"/>
      <c r="R2" s="6"/>
    </row>
    <row r="3" spans="2:18" x14ac:dyDescent="0.35"/>
    <row r="4" spans="2:18" ht="30.75" customHeight="1" x14ac:dyDescent="0.35">
      <c r="B4" s="618" t="s">
        <v>1414</v>
      </c>
      <c r="C4" s="619"/>
      <c r="D4" s="353"/>
    </row>
    <row r="5" spans="2:18" ht="19.5" customHeight="1" x14ac:dyDescent="0.35">
      <c r="B5" s="318" t="str">
        <f>HYPERLINK("https://www.gov.uk/guidance/woodland-creation-planning-grant","Woodland Creation Planning Grant - GOV.UK")</f>
        <v>Woodland Creation Planning Grant - GOV.UK</v>
      </c>
      <c r="C5" s="354"/>
      <c r="D5" s="290"/>
    </row>
    <row r="6" spans="2:18" ht="12.75" customHeight="1" x14ac:dyDescent="0.35">
      <c r="B6" s="620" t="s">
        <v>1419</v>
      </c>
      <c r="C6" s="621"/>
      <c r="D6" s="356"/>
    </row>
    <row r="7" spans="2:18" s="357" customFormat="1" ht="19.5" customHeight="1" x14ac:dyDescent="0.35">
      <c r="B7" s="605" t="str">
        <f>HYPERLINK("https://www.gov.uk/government/publications/a-guide-to-planning-new-woodland-in-england","A guide to planning new woodland in England - GOV.UK")</f>
        <v>A guide to planning new woodland in England - GOV.UK</v>
      </c>
      <c r="C7" s="606"/>
      <c r="D7" s="291"/>
    </row>
    <row r="8" spans="2:18" ht="39" customHeight="1" x14ac:dyDescent="0.35">
      <c r="B8" s="620" t="s">
        <v>1420</v>
      </c>
      <c r="C8" s="621"/>
      <c r="D8" s="624"/>
    </row>
    <row r="9" spans="2:18" s="357" customFormat="1" ht="20.149999999999999" customHeight="1" x14ac:dyDescent="0.35">
      <c r="B9" s="318" t="str">
        <f>HYPERLINK("https://www.gov.uk/government/publications/the-uk-forestry-standard","The UK Forestry Standard - GOV.UK")</f>
        <v>The UK Forestry Standard - GOV.UK</v>
      </c>
      <c r="C9" s="355"/>
      <c r="D9" s="292"/>
    </row>
    <row r="10" spans="2:18" ht="15" customHeight="1" x14ac:dyDescent="0.35">
      <c r="B10" s="620" t="s">
        <v>1418</v>
      </c>
      <c r="C10" s="621"/>
      <c r="D10" s="356"/>
    </row>
    <row r="11" spans="2:18" ht="20.149999999999999" customHeight="1" x14ac:dyDescent="0.35">
      <c r="B11" s="318" t="str">
        <f>HYPERLINK("https://www.gov.uk/guidance/forestry-project-checks-constraints","Forestry project checks: constraints - GOV.UK")</f>
        <v>Forestry project checks: constraints - GOV.UK</v>
      </c>
      <c r="C11" s="355"/>
      <c r="D11" s="292"/>
    </row>
    <row r="12" spans="2:18" ht="84" customHeight="1" x14ac:dyDescent="0.35">
      <c r="B12" s="620" t="s">
        <v>1501</v>
      </c>
      <c r="C12" s="621"/>
      <c r="D12" s="624"/>
    </row>
    <row r="13" spans="2:18" ht="12" customHeight="1" x14ac:dyDescent="0.35">
      <c r="B13" s="622" t="s">
        <v>1415</v>
      </c>
      <c r="C13" s="623"/>
      <c r="D13" s="358"/>
    </row>
    <row r="14" spans="2:18" ht="14.25" customHeight="1" x14ac:dyDescent="0.35">
      <c r="B14" s="620" t="s">
        <v>1416</v>
      </c>
      <c r="C14" s="621"/>
      <c r="D14" s="356"/>
    </row>
    <row r="15" spans="2:18" ht="20.25" customHeight="1" x14ac:dyDescent="0.35">
      <c r="B15" s="318" t="str">
        <f>HYPERLINK("https://www.gov.uk/government/publications/woodland-creation-planning-grant-application-form","Woodland Creation Planning Grant documentation - GOV.UK")</f>
        <v>Woodland Creation Planning Grant documentation - GOV.UK</v>
      </c>
      <c r="C15" s="355"/>
      <c r="D15" s="292"/>
    </row>
    <row r="16" spans="2:18" ht="12.75" customHeight="1" x14ac:dyDescent="0.35">
      <c r="B16" s="620" t="s">
        <v>1417</v>
      </c>
      <c r="C16" s="621"/>
      <c r="D16" s="292"/>
    </row>
    <row r="17" spans="2:4" ht="16.5" customHeight="1" x14ac:dyDescent="0.35">
      <c r="B17" s="319" t="str">
        <f>HYPERLINK("WCPG@forestrycommission.gov.uk","WCPG@forestrycommission.gov.uk")</f>
        <v>WCPG@forestrycommission.gov.uk</v>
      </c>
      <c r="C17" s="359"/>
      <c r="D17" s="360"/>
    </row>
    <row r="18" spans="2:4" x14ac:dyDescent="0.35"/>
    <row r="19" spans="2:4" ht="15" x14ac:dyDescent="0.35">
      <c r="B19" s="581" t="s">
        <v>1</v>
      </c>
      <c r="C19" s="614"/>
      <c r="D19" s="582"/>
    </row>
    <row r="20" spans="2:4" ht="34" customHeight="1" x14ac:dyDescent="0.35">
      <c r="B20" s="590" t="s">
        <v>1087</v>
      </c>
      <c r="C20" s="591"/>
      <c r="D20" s="592"/>
    </row>
    <row r="21" spans="2:4" ht="15" x14ac:dyDescent="0.35">
      <c r="B21" s="7" t="s">
        <v>2</v>
      </c>
      <c r="C21" s="581" t="s">
        <v>3</v>
      </c>
      <c r="D21" s="582"/>
    </row>
    <row r="22" spans="2:4" x14ac:dyDescent="0.35">
      <c r="B22" s="8" t="s">
        <v>4</v>
      </c>
      <c r="C22" s="583" t="s">
        <v>5</v>
      </c>
      <c r="D22" s="584"/>
    </row>
    <row r="23" spans="2:4" x14ac:dyDescent="0.35">
      <c r="B23" s="8" t="s">
        <v>6</v>
      </c>
      <c r="C23" s="583" t="s">
        <v>7</v>
      </c>
      <c r="D23" s="584"/>
    </row>
    <row r="24" spans="2:4" x14ac:dyDescent="0.35">
      <c r="B24" s="9" t="s">
        <v>8</v>
      </c>
      <c r="C24" s="583" t="s">
        <v>9</v>
      </c>
      <c r="D24" s="584"/>
    </row>
    <row r="25" spans="2:4" x14ac:dyDescent="0.35">
      <c r="B25" s="9" t="s">
        <v>10</v>
      </c>
      <c r="C25" s="583" t="s">
        <v>11</v>
      </c>
      <c r="D25" s="584"/>
    </row>
    <row r="26" spans="2:4" x14ac:dyDescent="0.35">
      <c r="B26" s="9" t="s">
        <v>12</v>
      </c>
      <c r="C26" s="583" t="s">
        <v>13</v>
      </c>
      <c r="D26" s="584"/>
    </row>
    <row r="27" spans="2:4" x14ac:dyDescent="0.35"/>
    <row r="28" spans="2:4" ht="20.149999999999999" customHeight="1" x14ac:dyDescent="0.35">
      <c r="B28" s="615" t="s">
        <v>14</v>
      </c>
      <c r="C28" s="616"/>
      <c r="D28" s="617"/>
    </row>
    <row r="29" spans="2:4" ht="14.25" customHeight="1" x14ac:dyDescent="0.35">
      <c r="B29" s="587" t="s">
        <v>1422</v>
      </c>
      <c r="C29" s="588"/>
      <c r="D29" s="589"/>
    </row>
    <row r="30" spans="2:4" ht="24.75" customHeight="1" x14ac:dyDescent="0.35">
      <c r="B30" s="320" t="str">
        <f>HYPERLINK("https://www.gov.uk/government/publications/a-guide-to-planning-new-woodland-in-england","A-guide-to-planning-new-woodland-in-england - GOV.UK")</f>
        <v>A-guide-to-planning-new-woodland-in-england - GOV.UK</v>
      </c>
      <c r="C30" s="258"/>
      <c r="D30" s="259"/>
    </row>
    <row r="31" spans="2:4" ht="14.25" customHeight="1" x14ac:dyDescent="0.35">
      <c r="B31" s="607" t="s">
        <v>1518</v>
      </c>
      <c r="C31" s="608"/>
      <c r="D31" s="609"/>
    </row>
    <row r="32" spans="2:4" s="357" customFormat="1" ht="24.75" customHeight="1" x14ac:dyDescent="0.35">
      <c r="B32" s="318" t="str">
        <f>HYPERLINK("https://www.gov.uk/guidance/forestry-project-checks-constraints","Forestry project checks: constraints - GOV.UK")</f>
        <v>Forestry project checks: constraints - GOV.UK</v>
      </c>
      <c r="C32" s="294"/>
      <c r="D32" s="292"/>
    </row>
    <row r="33" spans="2:5" ht="29.25" customHeight="1" x14ac:dyDescent="0.35">
      <c r="B33" s="610" t="s">
        <v>1421</v>
      </c>
      <c r="C33" s="611"/>
      <c r="D33" s="612"/>
    </row>
    <row r="34" spans="2:5" ht="15" customHeight="1" x14ac:dyDescent="0.35"/>
    <row r="35" spans="2:5" ht="15" x14ac:dyDescent="0.35">
      <c r="B35" s="4" t="s">
        <v>2</v>
      </c>
      <c r="C35" s="4" t="s">
        <v>3</v>
      </c>
      <c r="D35" s="5" t="s">
        <v>15</v>
      </c>
    </row>
    <row r="36" spans="2:5" x14ac:dyDescent="0.35">
      <c r="B36" s="5" t="s">
        <v>16</v>
      </c>
      <c r="C36" s="361" t="s">
        <v>17</v>
      </c>
      <c r="D36" s="361" t="s">
        <v>18</v>
      </c>
    </row>
    <row r="37" spans="2:5" x14ac:dyDescent="0.35">
      <c r="B37" s="5" t="s">
        <v>19</v>
      </c>
      <c r="C37" s="361" t="s">
        <v>20</v>
      </c>
      <c r="D37" s="361" t="s">
        <v>21</v>
      </c>
    </row>
    <row r="38" spans="2:5" x14ac:dyDescent="0.35">
      <c r="B38" s="5" t="s">
        <v>22</v>
      </c>
      <c r="C38" s="362" t="s">
        <v>23</v>
      </c>
      <c r="D38" s="361" t="s">
        <v>24</v>
      </c>
    </row>
    <row r="39" spans="2:5" ht="27.65" customHeight="1" x14ac:dyDescent="0.35">
      <c r="B39" s="602" t="s">
        <v>25</v>
      </c>
      <c r="C39" s="599" t="s">
        <v>26</v>
      </c>
      <c r="D39" s="363" t="s">
        <v>1491</v>
      </c>
    </row>
    <row r="40" spans="2:5" x14ac:dyDescent="0.35">
      <c r="B40" s="603"/>
      <c r="C40" s="600"/>
      <c r="D40" s="321" t="str">
        <f>HYPERLINK("https://www.forestresearch.gov.uk/tools-and-resources/fthr/resilience-implementation-framework/","Resilience Implementation Framework - Forest Research")</f>
        <v>Resilience Implementation Framework - Forest Research</v>
      </c>
    </row>
    <row r="41" spans="2:5" x14ac:dyDescent="0.35">
      <c r="B41" s="603"/>
      <c r="C41" s="600"/>
      <c r="D41" s="321" t="str">
        <f>HYPERLINK("https://www.forestresearch.gov.uk/tools-and-resources/fthr/forest-development-types/","Forest Development Types - Forest Research")</f>
        <v>Forest Development Types - Forest Research</v>
      </c>
    </row>
    <row r="42" spans="2:5" x14ac:dyDescent="0.35">
      <c r="B42" s="604"/>
      <c r="C42" s="601"/>
      <c r="D42" s="322" t="str">
        <f>HYPERLINK("https://jncc.gov.uk/our-work/nvc/","National Vegetation Classification")</f>
        <v>National Vegetation Classification</v>
      </c>
    </row>
    <row r="43" spans="2:5" x14ac:dyDescent="0.35">
      <c r="B43" s="256" t="s">
        <v>27</v>
      </c>
      <c r="C43" s="364" t="s">
        <v>28</v>
      </c>
      <c r="D43" s="365" t="s">
        <v>29</v>
      </c>
    </row>
    <row r="44" spans="2:5" x14ac:dyDescent="0.35">
      <c r="B44" s="256" t="s">
        <v>30</v>
      </c>
      <c r="C44" s="361" t="s">
        <v>31</v>
      </c>
      <c r="D44" s="365" t="s">
        <v>32</v>
      </c>
    </row>
    <row r="45" spans="2:5" x14ac:dyDescent="0.35">
      <c r="B45" s="257" t="s">
        <v>33</v>
      </c>
      <c r="C45" s="366" t="s">
        <v>34</v>
      </c>
      <c r="D45" s="366" t="s">
        <v>1413</v>
      </c>
    </row>
    <row r="46" spans="2:5" ht="26.15" customHeight="1" x14ac:dyDescent="0.35">
      <c r="B46" s="256"/>
      <c r="C46" s="367"/>
      <c r="D46" s="323" t="str">
        <f>HYPERLINK("https://www.gov.uk/government/publications/woodland-creation-design-plan-example-documents/landscape-character-appraisal-examples-for-woodland-creation-a-lowland-site","Landscape character appraisal examples for woodland creation: a lowland site - GOV.UK")</f>
        <v>Landscape character appraisal examples for woodland creation: a lowland site - GOV.UK</v>
      </c>
      <c r="E46" s="368"/>
    </row>
    <row r="47" spans="2:5" ht="13" customHeight="1" x14ac:dyDescent="0.35">
      <c r="C47" s="369"/>
      <c r="D47" s="370"/>
    </row>
    <row r="48" spans="2:5" ht="20.5" customHeight="1" x14ac:dyDescent="0.35">
      <c r="B48" s="593" t="s">
        <v>35</v>
      </c>
      <c r="C48" s="594"/>
      <c r="D48" s="595"/>
    </row>
    <row r="49" spans="2:4" ht="97.5" customHeight="1" x14ac:dyDescent="0.35">
      <c r="B49" s="590" t="s">
        <v>1423</v>
      </c>
      <c r="C49" s="591"/>
      <c r="D49" s="592"/>
    </row>
    <row r="50" spans="2:4" ht="15" x14ac:dyDescent="0.35">
      <c r="B50" s="371" t="s">
        <v>2</v>
      </c>
      <c r="C50" s="372" t="s">
        <v>3</v>
      </c>
      <c r="D50" s="150" t="s">
        <v>15</v>
      </c>
    </row>
    <row r="51" spans="2:4" x14ac:dyDescent="0.35">
      <c r="B51" s="373" t="s">
        <v>36</v>
      </c>
      <c r="C51" s="361" t="s">
        <v>37</v>
      </c>
      <c r="D51" s="361" t="s">
        <v>1468</v>
      </c>
    </row>
    <row r="52" spans="2:4" x14ac:dyDescent="0.35">
      <c r="B52" s="373" t="s">
        <v>38</v>
      </c>
      <c r="C52" s="374" t="s">
        <v>39</v>
      </c>
      <c r="D52" s="375"/>
    </row>
    <row r="53" spans="2:4" x14ac:dyDescent="0.35">
      <c r="B53" s="373" t="s">
        <v>40</v>
      </c>
      <c r="C53" s="361" t="s">
        <v>41</v>
      </c>
      <c r="D53" s="375"/>
    </row>
    <row r="54" spans="2:4" ht="27.5" x14ac:dyDescent="0.35">
      <c r="B54" s="373" t="s">
        <v>42</v>
      </c>
      <c r="C54" s="374" t="s">
        <v>43</v>
      </c>
      <c r="D54" s="375"/>
    </row>
    <row r="55" spans="2:4" x14ac:dyDescent="0.35">
      <c r="B55" s="373" t="s">
        <v>44</v>
      </c>
      <c r="C55" s="361" t="s">
        <v>45</v>
      </c>
      <c r="D55" s="375"/>
    </row>
    <row r="56" spans="2:4" x14ac:dyDescent="0.35">
      <c r="B56" s="373" t="s">
        <v>46</v>
      </c>
      <c r="C56" s="374" t="s">
        <v>47</v>
      </c>
      <c r="D56" s="375"/>
    </row>
    <row r="57" spans="2:4" x14ac:dyDescent="0.35"/>
    <row r="58" spans="2:4" ht="21.65" customHeight="1" x14ac:dyDescent="0.35">
      <c r="B58" s="596" t="s">
        <v>48</v>
      </c>
      <c r="C58" s="597"/>
      <c r="D58" s="598"/>
    </row>
    <row r="59" spans="2:4" ht="14.5" customHeight="1" x14ac:dyDescent="0.35">
      <c r="B59" s="590" t="s">
        <v>49</v>
      </c>
      <c r="C59" s="591"/>
      <c r="D59" s="592"/>
    </row>
    <row r="60" spans="2:4" ht="15" x14ac:dyDescent="0.35">
      <c r="B60" s="376" t="s">
        <v>2</v>
      </c>
      <c r="C60" s="377" t="s">
        <v>3</v>
      </c>
      <c r="D60" s="149" t="s">
        <v>15</v>
      </c>
    </row>
    <row r="61" spans="2:4" x14ac:dyDescent="0.35">
      <c r="B61" s="378" t="s">
        <v>50</v>
      </c>
      <c r="C61" s="361" t="s">
        <v>51</v>
      </c>
      <c r="D61" s="375"/>
    </row>
    <row r="62" spans="2:4" x14ac:dyDescent="0.35">
      <c r="B62" s="378" t="s">
        <v>52</v>
      </c>
      <c r="C62" s="361" t="s">
        <v>53</v>
      </c>
      <c r="D62" s="375"/>
    </row>
    <row r="63" spans="2:4" x14ac:dyDescent="0.35">
      <c r="B63" s="378" t="s">
        <v>54</v>
      </c>
      <c r="C63" s="361" t="s">
        <v>55</v>
      </c>
      <c r="D63" s="375"/>
    </row>
    <row r="64" spans="2:4" x14ac:dyDescent="0.35"/>
    <row r="65" spans="2:4" ht="15" x14ac:dyDescent="0.35">
      <c r="B65" s="379" t="s">
        <v>56</v>
      </c>
      <c r="C65" s="585" t="s">
        <v>3</v>
      </c>
      <c r="D65" s="586"/>
    </row>
    <row r="66" spans="2:4" x14ac:dyDescent="0.35">
      <c r="B66" s="380" t="s">
        <v>57</v>
      </c>
      <c r="C66" s="583" t="s">
        <v>58</v>
      </c>
      <c r="D66" s="584"/>
    </row>
    <row r="67" spans="2:4" x14ac:dyDescent="0.35">
      <c r="B67" s="381" t="s">
        <v>59</v>
      </c>
      <c r="C67" s="583" t="s">
        <v>60</v>
      </c>
      <c r="D67" s="584"/>
    </row>
    <row r="68" spans="2:4" x14ac:dyDescent="0.35"/>
    <row r="69" spans="2:4" ht="183" customHeight="1" x14ac:dyDescent="0.35">
      <c r="B69" s="578" t="s">
        <v>1424</v>
      </c>
      <c r="C69" s="579"/>
      <c r="D69" s="580"/>
    </row>
    <row r="70" spans="2:4" ht="20.5" customHeight="1" x14ac:dyDescent="0.35"/>
    <row r="71" spans="2:4" ht="202.5" customHeight="1" x14ac:dyDescent="6.2">
      <c r="B71" s="382"/>
      <c r="D71" s="383"/>
    </row>
    <row r="81" customFormat="1" hidden="1" x14ac:dyDescent="0.35"/>
    <row r="82" customFormat="1" hidden="1" x14ac:dyDescent="0.35"/>
    <row r="83" customFormat="1" hidden="1" x14ac:dyDescent="0.35"/>
  </sheetData>
  <sheetProtection algorithmName="SHA-512" hashValue="CgnNzVTZdTdgwbultwV7iYQA9xKc2FPQDtP4Ih0tSmhEX0FTuzzRu+f8Yo0hdIro1f9JGMbOeDdfm+u9oBAXAA==" saltValue="FAlvw5v9OtUqH4SRyFSCGA==" spinCount="100000" sheet="1" objects="1" scenarios="1"/>
  <mergeCells count="32">
    <mergeCell ref="B39:B42"/>
    <mergeCell ref="B7:C7"/>
    <mergeCell ref="B31:D31"/>
    <mergeCell ref="B33:D33"/>
    <mergeCell ref="B2:H2"/>
    <mergeCell ref="B20:D20"/>
    <mergeCell ref="B19:D19"/>
    <mergeCell ref="B28:D28"/>
    <mergeCell ref="B4:C4"/>
    <mergeCell ref="B16:C16"/>
    <mergeCell ref="B6:C6"/>
    <mergeCell ref="B13:C13"/>
    <mergeCell ref="B10:C10"/>
    <mergeCell ref="B12:D12"/>
    <mergeCell ref="B14:C14"/>
    <mergeCell ref="B8:D8"/>
    <mergeCell ref="B69:D69"/>
    <mergeCell ref="C21:D21"/>
    <mergeCell ref="C22:D22"/>
    <mergeCell ref="C23:D23"/>
    <mergeCell ref="C24:D24"/>
    <mergeCell ref="C25:D25"/>
    <mergeCell ref="C26:D26"/>
    <mergeCell ref="C66:D66"/>
    <mergeCell ref="C67:D67"/>
    <mergeCell ref="C65:D65"/>
    <mergeCell ref="B29:D29"/>
    <mergeCell ref="B49:D49"/>
    <mergeCell ref="B48:D48"/>
    <mergeCell ref="B58:D58"/>
    <mergeCell ref="B59:D59"/>
    <mergeCell ref="C39:C42"/>
  </mergeCells>
  <phoneticPr fontId="21" type="noConversion"/>
  <hyperlinks>
    <hyperlink ref="D46" r:id="rId1" display="Landscape character appraisal examples for woodland creation: a lowland site - GOV.UK" xr:uid="{DC4155C5-061B-4F6E-84D2-2894E31283F0}"/>
    <hyperlink ref="B5" r:id="rId2" display="https://www.gov.uk/guidance/woodland-creation-planning-grant" xr:uid="{790924E4-6D49-4AB0-9885-D8147C7482DB}"/>
    <hyperlink ref="B7" r:id="rId3" display="A guide to planning new woodland in England - GOV.UK" xr:uid="{E8961F5C-D542-4159-AFE1-830608C3BEF1}"/>
    <hyperlink ref="B9" r:id="rId4" display="https://www.gov.uk/government/publications/the-uk-forestry-standard" xr:uid="{5B828AF1-4D29-46BD-89BA-ECC2FC2E3E69}"/>
    <hyperlink ref="B11" r:id="rId5" display="https://www.gov.uk/guidance/forestry-project-checks-constraints" xr:uid="{E78DD373-41A6-4A47-830B-34E28F148690}"/>
    <hyperlink ref="B15" r:id="rId6" display="Woodland Creation Planning Grant documentation - GOV.UK" xr:uid="{4653E9F7-6B02-4C3D-8530-02B086C18D7F}"/>
    <hyperlink ref="B17" r:id="rId7" display="WCPG@forestrycommission.gov.uk" xr:uid="{647B5320-642E-4618-9034-F387C8F8A20D}"/>
    <hyperlink ref="B30" r:id="rId8" display="https://www.gov.uk/government/publications/a-guide-to-planning-new-woodland-in-england" xr:uid="{C0A49861-7007-4EE9-9590-1BCFFFF9484A}"/>
    <hyperlink ref="B32" r:id="rId9" display="https://www.gov.uk/guidance/forestry-project-checks-constraints" xr:uid="{86D69C3F-9631-4E0E-B9EE-4EF84DBDB21B}"/>
    <hyperlink ref="B30" r:id="rId10" display="A-guide-to-planning-new-woodland-in-england - GOV.UK" xr:uid="{96675EC4-C86B-4EDD-9208-FE9683B7CFBB}"/>
    <hyperlink ref="D40" r:id="rId11" display="Resilience Implementation Framework - Forest Research" xr:uid="{8425070E-C369-4900-859B-48B3BAEE1731}"/>
    <hyperlink ref="D41" r:id="rId12" display="Forest Development Types - Forest Research" xr:uid="{D97D6A80-2068-4D1B-A428-9E3BF1EDAD47}"/>
    <hyperlink ref="D42" r:id="rId13" display="National Vegetation Classification" xr:uid="{4926892F-F342-4E89-98AA-1D4E35D1B528}"/>
  </hyperlinks>
  <pageMargins left="0.70866141732283472" right="0.70866141732283472" top="0.74803149606299213" bottom="0.74803149606299213" header="0.31496062992125984" footer="0.31496062992125984"/>
  <pageSetup paperSize="9" scale="43" orientation="portrait" r:id="rId14"/>
  <drawing r:id="rId1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BC0CE-4298-45D1-AECD-C52F3A6620ED}">
  <sheetPr codeName="Sheet10">
    <tabColor rgb="FF006939"/>
    <pageSetUpPr fitToPage="1"/>
  </sheetPr>
  <dimension ref="A1:Q54"/>
  <sheetViews>
    <sheetView showGridLines="0" zoomScaleNormal="100" workbookViewId="0">
      <selection activeCell="A6" sqref="A1:XFD1048576"/>
    </sheetView>
  </sheetViews>
  <sheetFormatPr defaultColWidth="0" defaultRowHeight="14.5" zeroHeight="1" x14ac:dyDescent="0.35"/>
  <cols>
    <col min="1" max="1" width="3.81640625" customWidth="1"/>
    <col min="2" max="2" width="53" customWidth="1"/>
    <col min="3" max="3" width="49.81640625" customWidth="1"/>
    <col min="4" max="4" width="19.26953125" customWidth="1"/>
    <col min="5" max="5" width="75.81640625" customWidth="1"/>
    <col min="6" max="6" width="19.26953125" customWidth="1"/>
    <col min="7" max="7" width="6.1796875" customWidth="1"/>
    <col min="8" max="16" width="8.7265625" hidden="1" customWidth="1"/>
    <col min="17" max="17" width="0" hidden="1" customWidth="1"/>
    <col min="18" max="16384" width="8.7265625" hidden="1"/>
  </cols>
  <sheetData>
    <row r="1" spans="2:7" x14ac:dyDescent="0.35"/>
    <row r="2" spans="2:7" ht="36.65" customHeight="1" x14ac:dyDescent="0.45">
      <c r="B2" s="673" t="s">
        <v>199</v>
      </c>
      <c r="C2" s="673"/>
      <c r="D2" s="673"/>
      <c r="E2" s="673"/>
      <c r="F2" s="443"/>
      <c r="G2" s="500"/>
    </row>
    <row r="3" spans="2:7" ht="8.5" customHeight="1" x14ac:dyDescent="0.35">
      <c r="D3" s="501"/>
      <c r="G3" s="501"/>
    </row>
    <row r="4" spans="2:7" ht="27.75" customHeight="1" x14ac:dyDescent="0.35">
      <c r="B4" s="618" t="s">
        <v>1533</v>
      </c>
      <c r="C4" s="740"/>
      <c r="D4" s="740"/>
      <c r="E4" s="740"/>
      <c r="F4" s="741"/>
      <c r="G4" s="501"/>
    </row>
    <row r="5" spans="2:7" ht="18" customHeight="1" x14ac:dyDescent="0.35">
      <c r="B5" s="728" t="str">
        <f>HYPERLINK("https://magic.defra.gov.uk/MagicMap.html","Magic Map Application")</f>
        <v>Magic Map Application</v>
      </c>
      <c r="C5" s="742"/>
      <c r="D5" s="742"/>
      <c r="E5" s="742"/>
      <c r="F5" s="743"/>
      <c r="G5" s="501"/>
    </row>
    <row r="6" spans="2:7" ht="99" customHeight="1" x14ac:dyDescent="0.35">
      <c r="B6" s="646" t="s">
        <v>1534</v>
      </c>
      <c r="C6" s="737"/>
      <c r="D6" s="737"/>
      <c r="E6" s="737"/>
      <c r="F6" s="738"/>
    </row>
    <row r="7" spans="2:7" x14ac:dyDescent="0.35"/>
    <row r="8" spans="2:7" ht="21" customHeight="1" x14ac:dyDescent="0.35">
      <c r="B8" s="3" t="s">
        <v>78</v>
      </c>
      <c r="C8" s="159" t="str">
        <f>IF(ISBLANK('Site Details'!C6),"",'Site Details'!C6)</f>
        <v/>
      </c>
    </row>
    <row r="9" spans="2:7" ht="21" customHeight="1" x14ac:dyDescent="0.35">
      <c r="B9" s="3" t="s">
        <v>64</v>
      </c>
      <c r="C9" s="159" t="str">
        <f>IF(ISBLANK('Site Details'!C7),"",'Site Details'!C7)</f>
        <v/>
      </c>
    </row>
    <row r="10" spans="2:7" x14ac:dyDescent="0.35"/>
    <row r="11" spans="2:7" ht="15" x14ac:dyDescent="0.35">
      <c r="B11" s="645" t="s">
        <v>200</v>
      </c>
      <c r="C11" s="645"/>
      <c r="D11" s="645"/>
      <c r="E11" s="645"/>
      <c r="F11" s="645"/>
    </row>
    <row r="12" spans="2:7" ht="27" x14ac:dyDescent="0.35">
      <c r="B12" s="412" t="s">
        <v>109</v>
      </c>
      <c r="C12" s="412" t="s">
        <v>110</v>
      </c>
      <c r="D12" s="412" t="s">
        <v>111</v>
      </c>
      <c r="E12" s="412" t="s">
        <v>112</v>
      </c>
      <c r="F12" s="433" t="s">
        <v>113</v>
      </c>
      <c r="G12" s="435"/>
    </row>
    <row r="13" spans="2:7" s="357" customFormat="1" ht="14.25" customHeight="1" x14ac:dyDescent="0.35">
      <c r="B13" s="502" t="s">
        <v>1447</v>
      </c>
      <c r="C13" s="429" t="s">
        <v>1492</v>
      </c>
      <c r="D13" s="665"/>
      <c r="E13" s="651"/>
      <c r="F13" s="654"/>
      <c r="G13" s="435"/>
    </row>
    <row r="14" spans="2:7" s="357" customFormat="1" ht="14.25" customHeight="1" x14ac:dyDescent="0.35">
      <c r="B14" s="503" t="s">
        <v>1448</v>
      </c>
      <c r="C14" s="329" t="str">
        <f>HYPERLINK("https://designatedsites.naturalengland.org.uk/GreenInfrastructure/Home.aspx","Green Infrastructure Home")</f>
        <v>Green Infrastructure Home</v>
      </c>
      <c r="D14" s="739"/>
      <c r="E14" s="710"/>
      <c r="F14" s="655"/>
      <c r="G14" s="435"/>
    </row>
    <row r="15" spans="2:7" s="357" customFormat="1" ht="225" customHeight="1" x14ac:dyDescent="0.35">
      <c r="B15" s="452" t="s">
        <v>1449</v>
      </c>
      <c r="C15" s="314" t="s">
        <v>1521</v>
      </c>
      <c r="D15" s="666"/>
      <c r="E15" s="652"/>
      <c r="F15" s="656"/>
      <c r="G15" s="435"/>
    </row>
    <row r="16" spans="2:7" ht="160.5" customHeight="1" x14ac:dyDescent="0.35">
      <c r="B16" s="434" t="s">
        <v>201</v>
      </c>
      <c r="C16" s="504" t="s">
        <v>202</v>
      </c>
      <c r="D16" s="484"/>
      <c r="E16" s="449"/>
      <c r="F16" s="449"/>
      <c r="G16" s="435"/>
    </row>
    <row r="17" spans="2:7" ht="209.25" customHeight="1" x14ac:dyDescent="0.35">
      <c r="B17" s="434" t="s">
        <v>203</v>
      </c>
      <c r="C17" s="505" t="s">
        <v>1520</v>
      </c>
      <c r="D17" s="484"/>
      <c r="E17" s="449"/>
      <c r="F17" s="449"/>
    </row>
    <row r="18" spans="2:7" ht="149.25" customHeight="1" x14ac:dyDescent="0.35">
      <c r="B18" s="434" t="s">
        <v>204</v>
      </c>
      <c r="C18" s="423" t="s">
        <v>205</v>
      </c>
      <c r="D18" s="484"/>
      <c r="E18" s="449"/>
      <c r="F18" s="449"/>
    </row>
    <row r="19" spans="2:7" ht="60" customHeight="1" x14ac:dyDescent="0.35">
      <c r="B19" s="434" t="s">
        <v>206</v>
      </c>
      <c r="C19" s="423" t="s">
        <v>207</v>
      </c>
      <c r="D19" s="484"/>
      <c r="E19" s="449"/>
      <c r="F19" s="449"/>
    </row>
    <row r="20" spans="2:7" ht="73" customHeight="1" x14ac:dyDescent="0.35">
      <c r="B20" s="451" t="s">
        <v>208</v>
      </c>
      <c r="C20" s="506" t="s">
        <v>1450</v>
      </c>
      <c r="D20" s="649"/>
      <c r="E20" s="651"/>
      <c r="F20" s="651"/>
    </row>
    <row r="21" spans="2:7" ht="31.5" customHeight="1" x14ac:dyDescent="0.35">
      <c r="B21" s="463"/>
      <c r="C21" s="344" t="str">
        <f>HYPERLINK("https://timbertransportforum.org.uk/","The Timber Transport Forum Homepage - The Timber Transport Forum")</f>
        <v>The Timber Transport Forum Homepage - The Timber Transport Forum</v>
      </c>
      <c r="D21" s="653"/>
      <c r="E21" s="710"/>
      <c r="F21" s="710"/>
    </row>
    <row r="22" spans="2:7" ht="83.15" customHeight="1" x14ac:dyDescent="0.35">
      <c r="B22" s="452"/>
      <c r="C22" s="315" t="s">
        <v>1451</v>
      </c>
      <c r="D22" s="650"/>
      <c r="E22" s="652"/>
      <c r="F22" s="652"/>
    </row>
    <row r="23" spans="2:7" ht="14.5" customHeight="1" x14ac:dyDescent="0.35">
      <c r="B23" s="435"/>
      <c r="C23" s="435"/>
      <c r="D23" s="435"/>
      <c r="E23" s="435"/>
      <c r="F23" s="435"/>
      <c r="G23" s="435"/>
    </row>
    <row r="24" spans="2:7" ht="32.5" customHeight="1" x14ac:dyDescent="0.35">
      <c r="B24" s="734" t="s">
        <v>209</v>
      </c>
      <c r="C24" s="735"/>
      <c r="D24" s="735"/>
      <c r="E24" s="735"/>
      <c r="F24" s="736"/>
      <c r="G24" s="435"/>
    </row>
    <row r="25" spans="2:7" ht="42" customHeight="1" x14ac:dyDescent="0.35">
      <c r="B25" s="412" t="s">
        <v>210</v>
      </c>
      <c r="C25" s="412" t="s">
        <v>211</v>
      </c>
      <c r="D25" s="412" t="s">
        <v>212</v>
      </c>
      <c r="E25" s="412" t="s">
        <v>112</v>
      </c>
      <c r="F25" s="433" t="s">
        <v>113</v>
      </c>
      <c r="G25" s="435"/>
    </row>
    <row r="26" spans="2:7" x14ac:dyDescent="0.35">
      <c r="B26" s="449"/>
      <c r="C26" s="449"/>
      <c r="D26" s="507"/>
      <c r="E26" s="449"/>
      <c r="F26" s="449"/>
    </row>
    <row r="27" spans="2:7" x14ac:dyDescent="0.35">
      <c r="B27" s="449"/>
      <c r="C27" s="449"/>
      <c r="D27" s="507"/>
      <c r="E27" s="449"/>
      <c r="F27" s="449"/>
    </row>
    <row r="28" spans="2:7" x14ac:dyDescent="0.35">
      <c r="B28" s="449"/>
      <c r="C28" s="449"/>
      <c r="D28" s="507"/>
      <c r="E28" s="449"/>
      <c r="F28" s="449"/>
    </row>
    <row r="29" spans="2:7" ht="14.5" customHeight="1" x14ac:dyDescent="0.35">
      <c r="B29" s="449"/>
      <c r="C29" s="449"/>
      <c r="D29" s="507"/>
      <c r="E29" s="449"/>
      <c r="F29" s="449"/>
    </row>
    <row r="30" spans="2:7" ht="14.5" customHeight="1" x14ac:dyDescent="0.35">
      <c r="B30" s="449"/>
      <c r="C30" s="449"/>
      <c r="D30" s="507"/>
      <c r="E30" s="449"/>
      <c r="F30" s="449"/>
      <c r="G30" s="435"/>
    </row>
    <row r="31" spans="2:7" x14ac:dyDescent="0.35">
      <c r="B31" s="449"/>
      <c r="C31" s="449"/>
      <c r="D31" s="507"/>
      <c r="E31" s="449"/>
      <c r="F31" s="449"/>
    </row>
    <row r="32" spans="2:7" x14ac:dyDescent="0.35">
      <c r="B32" s="449"/>
      <c r="C32" s="449"/>
      <c r="D32" s="507"/>
      <c r="E32" s="449"/>
      <c r="F32" s="449"/>
    </row>
    <row r="33" spans="2:7" ht="23.5" customHeight="1" x14ac:dyDescent="0.35"/>
    <row r="35" spans="2:7" ht="14.5" hidden="1" customHeight="1" x14ac:dyDescent="0.35">
      <c r="B35" s="435"/>
      <c r="C35" s="435"/>
      <c r="D35" s="435"/>
      <c r="E35" s="435"/>
      <c r="F35" s="435"/>
      <c r="G35" s="435"/>
    </row>
    <row r="36" spans="2:7" ht="14.5" hidden="1" customHeight="1" x14ac:dyDescent="0.35">
      <c r="B36" s="435"/>
      <c r="C36" s="435"/>
      <c r="D36" s="435"/>
      <c r="E36" s="435"/>
      <c r="F36" s="435"/>
      <c r="G36" s="435"/>
    </row>
    <row r="37" spans="2:7" hidden="1" x14ac:dyDescent="0.35">
      <c r="B37" s="435"/>
      <c r="C37" s="435"/>
      <c r="D37" s="435"/>
      <c r="E37" s="435"/>
      <c r="F37" s="435"/>
      <c r="G37" s="435"/>
    </row>
    <row r="38" spans="2:7" hidden="1" x14ac:dyDescent="0.35">
      <c r="B38" s="435"/>
      <c r="C38" s="435"/>
      <c r="D38" s="435"/>
      <c r="E38" s="435"/>
      <c r="F38" s="435"/>
      <c r="G38" s="435"/>
    </row>
    <row r="39" spans="2:7" ht="14.5" hidden="1" customHeight="1" x14ac:dyDescent="0.35">
      <c r="B39" s="496"/>
      <c r="C39" s="496"/>
      <c r="D39" s="496"/>
      <c r="E39" s="496"/>
      <c r="F39" s="496"/>
      <c r="G39" s="496"/>
    </row>
    <row r="40" spans="2:7" hidden="1" x14ac:dyDescent="0.35">
      <c r="B40" s="496"/>
      <c r="C40" s="496"/>
      <c r="D40" s="496"/>
      <c r="E40" s="496"/>
      <c r="F40" s="496"/>
      <c r="G40" s="496"/>
    </row>
    <row r="41" spans="2:7" hidden="1" x14ac:dyDescent="0.35">
      <c r="B41" s="496"/>
      <c r="C41" s="496"/>
      <c r="D41" s="496"/>
      <c r="E41" s="496"/>
      <c r="F41" s="496"/>
      <c r="G41" s="496"/>
    </row>
    <row r="42" spans="2:7" ht="36.65" hidden="1" customHeight="1" x14ac:dyDescent="0.35"/>
    <row r="44" spans="2:7" ht="14.5" hidden="1" customHeight="1" x14ac:dyDescent="0.35">
      <c r="B44" s="435"/>
      <c r="C44" s="435"/>
      <c r="D44" s="435"/>
      <c r="E44" s="435"/>
      <c r="F44" s="435"/>
      <c r="G44" s="435"/>
    </row>
    <row r="45" spans="2:7" ht="14.5" hidden="1" customHeight="1" x14ac:dyDescent="0.35">
      <c r="B45" s="435"/>
      <c r="C45" s="435"/>
      <c r="D45" s="435"/>
      <c r="E45" s="435"/>
      <c r="F45" s="435"/>
      <c r="G45" s="435"/>
    </row>
    <row r="49" spans="2:7" ht="14.5" hidden="1" customHeight="1" x14ac:dyDescent="0.35">
      <c r="B49" s="435"/>
      <c r="C49" s="435"/>
      <c r="D49" s="435"/>
      <c r="E49" s="435"/>
      <c r="F49" s="435"/>
      <c r="G49" s="435"/>
    </row>
    <row r="50" spans="2:7" ht="14.5" hidden="1" customHeight="1" x14ac:dyDescent="0.35">
      <c r="B50" s="435"/>
      <c r="C50" s="435"/>
      <c r="D50" s="435"/>
      <c r="E50" s="435"/>
      <c r="F50" s="435"/>
      <c r="G50" s="435"/>
    </row>
    <row r="51" spans="2:7" hidden="1" x14ac:dyDescent="0.35">
      <c r="B51" s="501"/>
    </row>
    <row r="53" spans="2:7" ht="14.5" hidden="1" customHeight="1" x14ac:dyDescent="0.35">
      <c r="B53" s="496"/>
      <c r="C53" s="496"/>
      <c r="D53" s="496"/>
      <c r="E53" s="496"/>
      <c r="F53" s="496"/>
      <c r="G53" s="496"/>
    </row>
    <row r="54" spans="2:7" ht="14.5" hidden="1" customHeight="1" x14ac:dyDescent="0.35">
      <c r="B54" s="496"/>
      <c r="C54" s="496"/>
      <c r="D54" s="496"/>
      <c r="E54" s="496"/>
      <c r="F54" s="496"/>
      <c r="G54" s="496"/>
    </row>
  </sheetData>
  <sheetProtection algorithmName="SHA-512" hashValue="z3d11ZpkoHlCWoPpqk3F/zfga1md2JDeDFvSnVU55nnVXJ3+l9GJxlvqOYQyBvHnl0+8EIukbIz/UQCcSyVECA==" saltValue="3i4SlOH6VaC070YbqVGELQ==" spinCount="100000" sheet="1" objects="1" scenarios="1"/>
  <mergeCells count="12">
    <mergeCell ref="B2:E2"/>
    <mergeCell ref="B11:F11"/>
    <mergeCell ref="B24:F24"/>
    <mergeCell ref="B6:F6"/>
    <mergeCell ref="D13:D15"/>
    <mergeCell ref="E13:E15"/>
    <mergeCell ref="F13:F15"/>
    <mergeCell ref="D20:D22"/>
    <mergeCell ref="E20:E22"/>
    <mergeCell ref="F20:F22"/>
    <mergeCell ref="B4:F4"/>
    <mergeCell ref="B5:F5"/>
  </mergeCells>
  <conditionalFormatting sqref="D13:E13">
    <cfRule type="containsBlanks" dxfId="34" priority="1">
      <formula>LEN(TRIM(D13))=0</formula>
    </cfRule>
  </conditionalFormatting>
  <conditionalFormatting sqref="D16:E20 B26:E32">
    <cfRule type="containsBlanks" dxfId="33" priority="6">
      <formula>LEN(TRIM(B16))=0</formula>
    </cfRule>
  </conditionalFormatting>
  <conditionalFormatting sqref="F13 F16:F20">
    <cfRule type="containsBlanks" dxfId="32" priority="4">
      <formula>LEN(TRIM(F13))=0</formula>
    </cfRule>
  </conditionalFormatting>
  <conditionalFormatting sqref="F26:F32">
    <cfRule type="containsBlanks" dxfId="31" priority="3">
      <formula>LEN(TRIM(F26))=0</formula>
    </cfRule>
  </conditionalFormatting>
  <dataValidations count="1">
    <dataValidation type="list" allowBlank="1" showInputMessage="1" showErrorMessage="1" sqref="D16:D20 D13:D15" xr:uid="{EADF1B01-92C6-43FB-87C1-FC192566A369}">
      <formula1>"Yes,No"</formula1>
    </dataValidation>
  </dataValidations>
  <hyperlinks>
    <hyperlink ref="C14" r:id="rId1" display="https://designatedsites.naturalengland.org.uk/GreenInfrastructure/Home.aspx" xr:uid="{4215ABAD-AF32-4083-A3C0-24FCFEBF0D88}"/>
    <hyperlink ref="C21" r:id="rId2" display="https://timbertransportforum.org.uk/" xr:uid="{F9DB551D-00C9-4710-8CB1-684544951666}"/>
  </hyperlinks>
  <pageMargins left="0.70866141732283472" right="0.70866141732283472" top="0.74803149606299213" bottom="0.74803149606299213" header="0.31496062992125984" footer="0.31496062992125984"/>
  <pageSetup paperSize="9" scale="38" orientation="portrait" r:id="rId3"/>
  <drawing r:id="rId4"/>
  <extLst>
    <ext xmlns:x14="http://schemas.microsoft.com/office/spreadsheetml/2009/9/main" uri="{CCE6A557-97BC-4b89-ADB6-D9C93CAAB3DF}">
      <x14:dataValidations xmlns:xm="http://schemas.microsoft.com/office/excel/2006/main" count="1">
        <x14:dataValidation type="list" allowBlank="1" showInputMessage="1" showErrorMessage="1" xr:uid="{2BEC4DF1-D1AB-414F-A221-CCE2ECC41BD7}">
          <x14:formula1>
            <xm:f>'Data (hidden)'!$J$3:$J$5</xm:f>
          </x14:formula1>
          <xm:sqref>F13 F16:F20 F26:F32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72DD5-8AC2-4A9A-9499-30E8D48DF6BB}">
  <sheetPr codeName="Sheet11">
    <tabColor rgb="FF006939"/>
    <pageSetUpPr fitToPage="1"/>
  </sheetPr>
  <dimension ref="A1:H87"/>
  <sheetViews>
    <sheetView showGridLines="0" zoomScaleNormal="100" workbookViewId="0">
      <selection activeCell="B7" sqref="B7"/>
    </sheetView>
  </sheetViews>
  <sheetFormatPr defaultColWidth="0" defaultRowHeight="14.5" zeroHeight="1" x14ac:dyDescent="0.35"/>
  <cols>
    <col min="1" max="1" width="4.1796875" customWidth="1"/>
    <col min="2" max="2" width="50.7265625" customWidth="1"/>
    <col min="3" max="4" width="42.1796875" customWidth="1"/>
    <col min="5" max="5" width="41.1796875" customWidth="1"/>
    <col min="6" max="6" width="39.54296875" style="2" customWidth="1"/>
    <col min="7" max="7" width="44.1796875" customWidth="1"/>
    <col min="8" max="8" width="5.26953125" customWidth="1"/>
    <col min="9" max="16384" width="8.7265625" hidden="1"/>
  </cols>
  <sheetData>
    <row r="1" spans="2:7" x14ac:dyDescent="0.35"/>
    <row r="2" spans="2:7" ht="40" customHeight="1" x14ac:dyDescent="0.45">
      <c r="B2" s="508" t="s">
        <v>213</v>
      </c>
    </row>
    <row r="3" spans="2:7" ht="7" customHeight="1" x14ac:dyDescent="0.45">
      <c r="B3" s="508"/>
    </row>
    <row r="4" spans="2:7" s="357" customFormat="1" ht="34.5" customHeight="1" x14ac:dyDescent="0.35">
      <c r="B4" s="744" t="s">
        <v>1452</v>
      </c>
      <c r="C4" s="745"/>
      <c r="D4" s="745"/>
      <c r="E4" s="745"/>
      <c r="F4" s="745"/>
      <c r="G4" s="746"/>
    </row>
    <row r="5" spans="2:7" s="357" customFormat="1" ht="21.75" customHeight="1" x14ac:dyDescent="0.35">
      <c r="B5" s="318" t="str">
        <f>HYPERLINK("https://www.gov.uk/government/publications/woodland-creation-planning-grant-application-form","Woodland Creation Planning Grant application form - GOV.UK")</f>
        <v>Woodland Creation Planning Grant application form - GOV.UK</v>
      </c>
      <c r="C5" s="509"/>
      <c r="D5" s="509"/>
      <c r="E5" s="509"/>
      <c r="F5" s="509"/>
      <c r="G5" s="510"/>
    </row>
    <row r="6" spans="2:7" s="357" customFormat="1" ht="30.75" customHeight="1" x14ac:dyDescent="0.35">
      <c r="B6" s="747" t="s">
        <v>1453</v>
      </c>
      <c r="C6" s="748"/>
      <c r="D6" s="748"/>
      <c r="E6" s="748"/>
      <c r="F6" s="748"/>
      <c r="G6" s="749"/>
    </row>
    <row r="7" spans="2:7" s="357" customFormat="1" ht="29.25" customHeight="1" x14ac:dyDescent="0.35">
      <c r="B7" s="318" t="str">
        <f>HYPERLINK("https://www.gov.uk/guidance/woodland-creation-planning-grant","Woodland Creation Planning Grant - GOV.UK")</f>
        <v>Woodland Creation Planning Grant - GOV.UK</v>
      </c>
      <c r="C7" s="509"/>
      <c r="D7" s="509"/>
      <c r="E7" s="509"/>
      <c r="F7" s="509"/>
      <c r="G7" s="510"/>
    </row>
    <row r="8" spans="2:7" ht="54.75" customHeight="1" x14ac:dyDescent="0.35">
      <c r="B8" s="750" t="s">
        <v>1454</v>
      </c>
      <c r="C8" s="751"/>
      <c r="D8" s="751"/>
      <c r="E8" s="751"/>
      <c r="F8" s="751"/>
      <c r="G8" s="752"/>
    </row>
    <row r="9" spans="2:7" x14ac:dyDescent="0.35"/>
    <row r="10" spans="2:7" ht="21" customHeight="1" x14ac:dyDescent="0.35">
      <c r="B10" s="753" t="s">
        <v>78</v>
      </c>
      <c r="C10" s="754"/>
      <c r="D10" s="159" t="str">
        <f>IF(ISBLANK('Site Details'!C6),"",'Site Details'!C6)</f>
        <v/>
      </c>
      <c r="E10" s="2"/>
      <c r="F10"/>
    </row>
    <row r="11" spans="2:7" ht="21" customHeight="1" x14ac:dyDescent="0.35">
      <c r="B11" s="753" t="s">
        <v>64</v>
      </c>
      <c r="C11" s="754"/>
      <c r="D11" s="159" t="str">
        <f>IF(ISBLANK('Site Details'!C7),"",'Site Details'!C7)</f>
        <v/>
      </c>
      <c r="E11" s="2"/>
      <c r="F11"/>
    </row>
    <row r="12" spans="2:7" x14ac:dyDescent="0.35">
      <c r="B12" s="13"/>
      <c r="C12" s="13"/>
      <c r="D12" s="13"/>
    </row>
    <row r="13" spans="2:7" ht="15" x14ac:dyDescent="0.35">
      <c r="B13" s="674" t="s">
        <v>214</v>
      </c>
      <c r="C13" s="675"/>
      <c r="D13" s="675"/>
      <c r="E13" s="676"/>
      <c r="F13"/>
    </row>
    <row r="14" spans="2:7" ht="29.25" customHeight="1" x14ac:dyDescent="0.35">
      <c r="B14" s="253" t="s">
        <v>215</v>
      </c>
      <c r="C14" s="254" t="s">
        <v>216</v>
      </c>
      <c r="D14" s="758" t="s">
        <v>217</v>
      </c>
      <c r="E14" s="758"/>
      <c r="F14"/>
    </row>
    <row r="15" spans="2:7" ht="73.5" customHeight="1" x14ac:dyDescent="0.35">
      <c r="B15" s="3" t="s">
        <v>218</v>
      </c>
      <c r="C15" s="511"/>
      <c r="D15" s="759"/>
      <c r="E15" s="760"/>
      <c r="F15"/>
    </row>
    <row r="16" spans="2:7" ht="65.25" customHeight="1" x14ac:dyDescent="0.35">
      <c r="B16" s="3" t="s">
        <v>219</v>
      </c>
      <c r="C16" s="511"/>
      <c r="D16" s="759"/>
      <c r="E16" s="760"/>
      <c r="F16"/>
    </row>
    <row r="17" spans="2:6" x14ac:dyDescent="0.35">
      <c r="F17"/>
    </row>
    <row r="18" spans="2:6" ht="15" x14ac:dyDescent="0.35">
      <c r="B18" s="674" t="s">
        <v>220</v>
      </c>
      <c r="C18" s="675"/>
      <c r="D18" s="675"/>
      <c r="E18" s="676"/>
      <c r="F18"/>
    </row>
    <row r="19" spans="2:6" ht="27" x14ac:dyDescent="0.35">
      <c r="B19" s="72" t="s">
        <v>221</v>
      </c>
      <c r="C19" s="72" t="s">
        <v>222</v>
      </c>
      <c r="D19" s="72" t="s">
        <v>223</v>
      </c>
      <c r="E19" s="72" t="s">
        <v>224</v>
      </c>
      <c r="F19"/>
    </row>
    <row r="20" spans="2:6" x14ac:dyDescent="0.35">
      <c r="B20" s="74" t="s">
        <v>225</v>
      </c>
      <c r="C20" s="73" t="s">
        <v>226</v>
      </c>
      <c r="D20" s="73" t="s">
        <v>227</v>
      </c>
      <c r="E20" s="74" t="s">
        <v>228</v>
      </c>
      <c r="F20"/>
    </row>
    <row r="21" spans="2:6" x14ac:dyDescent="0.35">
      <c r="B21" s="512" t="s">
        <v>229</v>
      </c>
      <c r="C21" s="513"/>
      <c r="D21" s="513"/>
      <c r="E21" s="507"/>
      <c r="F21"/>
    </row>
    <row r="22" spans="2:6" x14ac:dyDescent="0.35">
      <c r="B22" s="512" t="s">
        <v>230</v>
      </c>
      <c r="C22" s="513"/>
      <c r="D22" s="513"/>
      <c r="E22" s="507"/>
      <c r="F22"/>
    </row>
    <row r="23" spans="2:6" x14ac:dyDescent="0.35">
      <c r="B23" s="512" t="s">
        <v>231</v>
      </c>
      <c r="C23" s="513"/>
      <c r="D23" s="513"/>
      <c r="E23" s="507"/>
      <c r="F23"/>
    </row>
    <row r="24" spans="2:6" x14ac:dyDescent="0.35">
      <c r="B24" s="512" t="s">
        <v>164</v>
      </c>
      <c r="C24" s="513"/>
      <c r="D24" s="514"/>
      <c r="E24" s="507"/>
      <c r="F24"/>
    </row>
    <row r="25" spans="2:6" ht="27" x14ac:dyDescent="0.35">
      <c r="B25" s="512" t="s">
        <v>232</v>
      </c>
      <c r="C25" s="513"/>
      <c r="D25" s="513"/>
      <c r="E25" s="507"/>
      <c r="F25"/>
    </row>
    <row r="26" spans="2:6" x14ac:dyDescent="0.35">
      <c r="B26" s="512" t="s">
        <v>233</v>
      </c>
      <c r="C26" s="513"/>
      <c r="D26" s="515"/>
      <c r="E26" s="507"/>
      <c r="F26"/>
    </row>
    <row r="27" spans="2:6" x14ac:dyDescent="0.35">
      <c r="B27" s="512" t="s">
        <v>234</v>
      </c>
      <c r="C27" s="513"/>
      <c r="D27" s="513"/>
      <c r="E27" s="507"/>
      <c r="F27"/>
    </row>
    <row r="28" spans="2:6" x14ac:dyDescent="0.35">
      <c r="B28" s="512" t="s">
        <v>235</v>
      </c>
      <c r="C28" s="513"/>
      <c r="D28" s="513"/>
      <c r="E28" s="507"/>
      <c r="F28"/>
    </row>
    <row r="29" spans="2:6" x14ac:dyDescent="0.35">
      <c r="B29" s="516"/>
      <c r="F29"/>
    </row>
    <row r="30" spans="2:6" ht="29.15" customHeight="1" x14ac:dyDescent="0.35">
      <c r="B30" s="755" t="s">
        <v>1086</v>
      </c>
      <c r="C30" s="675"/>
      <c r="D30" s="675"/>
      <c r="E30" s="675"/>
      <c r="F30" s="676"/>
    </row>
    <row r="31" spans="2:6" x14ac:dyDescent="0.35">
      <c r="B31" s="412" t="s">
        <v>236</v>
      </c>
      <c r="C31" s="517" t="s">
        <v>237</v>
      </c>
      <c r="D31" s="517" t="s">
        <v>238</v>
      </c>
      <c r="E31" s="757" t="s">
        <v>239</v>
      </c>
      <c r="F31" s="757"/>
    </row>
    <row r="32" spans="2:6" ht="49" customHeight="1" x14ac:dyDescent="0.35">
      <c r="B32" s="518"/>
      <c r="C32" s="519"/>
      <c r="D32" s="519"/>
      <c r="E32" s="756"/>
      <c r="F32" s="756"/>
    </row>
    <row r="33" spans="2:7" x14ac:dyDescent="0.35"/>
    <row r="34" spans="2:7" ht="36" customHeight="1" x14ac:dyDescent="0.35">
      <c r="B34" s="283" t="s">
        <v>240</v>
      </c>
      <c r="C34" s="21"/>
      <c r="D34" s="287" t="str" cm="1">
        <f t="array" ref="D34">_xlfn.LET(_xlpm.r,_xlfn.VSTACK('Biodiversity &amp; Geology'!F13,'Biodiversity &amp; Geology'!F18,'Biodiversity &amp; Geology'!F20:F24,'Biodiversity &amp; Geology'!F29:F36,'Biodiversity &amp; Geology'!F40,'Biodiversity &amp; Geology'!F42:F45,'Biodiversity &amp; Geology'!F48,'Biodiversity &amp; Geology'!F53:F54,Landscape!F16:F20,Landscape!F22,Water!F13,Water!F20,Water!F27,Water!F32,Water!F35,Water!F42,Water!F47,'Historic Environment'!F14:F19,'Historic Environment'!F22,'Historic Environment'!F26,'Silviculture, Soil &amp; Climate'!F13, 'Silviculture, Soil &amp; Climate'!F18, 'Silviculture, Soil &amp; Climate'!F20,  'Silviculture, Soil &amp; Climate'!F23,'Silviculture, Soil &amp; Climate'!F24, 'Silviculture, Soil &amp; Climate'!F25, 'Silviculture, Soil &amp; Climate'!F29, 'Silviculture, Soil &amp; Climate'!F32, 'Silviculture, Soil &amp; Climate'!F36, 'Silviculture, Soil &amp; Climate'!F39, 'Silviculture, Soil &amp; Climate'!F42, 'Silviculture, Soil &amp; Climate'!F48:F54,'Access &amp; Local Interests'!F13,'Access &amp; Local Interests'!F16:F20,'Access &amp; Local Interests'!F26:F32),ROWS(_xlpm.r)-SUM(--(LEN(TRIM(_xlpm.r))&gt;0))&amp;" checks remaining for completion across all categories")</f>
        <v>75 checks remaining for completion across all categories</v>
      </c>
      <c r="E34" s="21"/>
      <c r="F34" s="153"/>
      <c r="G34" s="21"/>
    </row>
    <row r="35" spans="2:7" ht="18.75" customHeight="1" x14ac:dyDescent="0.35">
      <c r="B35" s="285" t="s">
        <v>241</v>
      </c>
      <c r="C35" s="285" t="s">
        <v>151</v>
      </c>
      <c r="D35" s="285" t="s">
        <v>164</v>
      </c>
      <c r="E35" s="285" t="s">
        <v>231</v>
      </c>
      <c r="F35" s="285" t="s">
        <v>242</v>
      </c>
      <c r="G35" s="285" t="s">
        <v>243</v>
      </c>
    </row>
    <row r="36" spans="2:7" ht="18.75" customHeight="1" x14ac:dyDescent="0.35">
      <c r="B36" s="286" t="str" cm="1">
        <f t="array" ref="B36">_xlfn.LET(_xlpm.r,_xlfn.VSTACK('Biodiversity &amp; Geology'!F13,'Biodiversity &amp; Geology'!F18,'Biodiversity &amp; Geology'!F20:F24,'Biodiversity &amp; Geology'!F29:F36,'Biodiversity &amp; Geology'!F40,'Biodiversity &amp; Geology'!F42:F45,'Biodiversity &amp; Geology'!F48,'Biodiversity &amp; Geology'!F53:F54),SUM(--(LEN(TRIM(_xlpm.r))&gt;0))&amp;" of "&amp;ROWS(_xlpm.r)&amp;" sections complete")</f>
        <v>0 of 23 sections complete</v>
      </c>
      <c r="C36" s="286" t="str" cm="1">
        <f t="array" ref="C36">_xlfn.LET(_xlpm.r,_xlfn.VSTACK(Landscape!F16:F20,Landscape!F22),SUM(--(LEN(TRIM(_xlpm.r))&gt;0))&amp;" of "&amp;ROWS(_xlpm.r)&amp;" sections complete")</f>
        <v>0 of 6 sections complete</v>
      </c>
      <c r="D36" s="286" t="str" cm="1">
        <f t="array" ref="D36">_xlfn.LET(_xlpm.r,_xlfn.VSTACK(Water!F13,Water!F20,Water!F27,Water!F32,Water!F35,Water!F42,Water!F47),SUM(--(LEN(TRIM(_xlpm.r))&gt;0))&amp;" of "&amp;ROWS(_xlpm.r)&amp;" sections complete")</f>
        <v>0 of 7 sections complete</v>
      </c>
      <c r="E36" s="286" t="str" cm="1">
        <f t="array" ref="E36">_xlfn.LET(_xlpm.r,_xlfn.VSTACK('Historic Environment'!F14:F19,'Historic Environment'!F22,'Historic Environment'!F26),SUM(--(LEN(TRIM(_xlpm.r))&gt;0))&amp;" of "&amp;ROWS(_xlpm.r)&amp;" sections complete")</f>
        <v>0 of 8 sections complete</v>
      </c>
      <c r="F36" s="288" t="str" cm="1">
        <f t="array" ref="F36">_xlfn.LET(_xlpm.r,_xlfn.VSTACK('Silviculture, Soil &amp; Climate'!F13, 'Silviculture, Soil &amp; Climate'!F18, 'Silviculture, Soil &amp; Climate'!F20, 'Silviculture, Soil &amp; Climate'!F24, 'Silviculture, Soil &amp; Climate'!F23, 'Silviculture, Soil &amp; Climate'!F25, 'Silviculture, Soil &amp; Climate'!F29, 'Silviculture, Soil &amp; Climate'!F32, 'Silviculture, Soil &amp; Climate'!F36, 'Silviculture, Soil &amp; Climate'!F39, 'Silviculture, Soil &amp; Climate'!F42, 'Silviculture, Soil &amp; Climate'!F48:F54),SUM(--(LEN(TRIM(_xlpm.r))&gt;0))&amp;" of "&amp;ROWS(_xlpm.r)&amp;" sections complete")</f>
        <v>0 of 18 sections complete</v>
      </c>
      <c r="G36" s="286" t="str" cm="1">
        <f t="array" ref="G36">_xlfn.LET(_xlpm.r,_xlfn.VSTACK('Access &amp; Local Interests'!F13,'Access &amp; Local Interests'!F16:F20,'Access &amp; Local Interests'!F26:F32),SUM(--(LEN(TRIM(_xlpm.r))&gt;0))&amp;" of "&amp;ROWS(_xlpm.r)&amp;" sections complete")</f>
        <v>0 of 13 sections complete</v>
      </c>
    </row>
    <row r="37" spans="2:7" x14ac:dyDescent="0.35">
      <c r="B37" s="284" t="s">
        <v>244</v>
      </c>
      <c r="C37" s="20" t="s">
        <v>244</v>
      </c>
      <c r="D37" s="20" t="s">
        <v>244</v>
      </c>
      <c r="E37" s="20" t="s">
        <v>244</v>
      </c>
      <c r="F37" s="154" t="s">
        <v>244</v>
      </c>
      <c r="G37" s="20" t="s">
        <v>244</v>
      </c>
    </row>
    <row r="38" spans="2:7" x14ac:dyDescent="0.35">
      <c r="B38" s="520" t="str" cm="1">
        <f t="array" ref="B38">IFERROR(_xlfn._xlws.FILTER('Biodiversity &amp; Geology'!B13:B54, 'Biodiversity &amp; Geology'!F13:F54="Flag in summary"),"")</f>
        <v/>
      </c>
      <c r="C38" s="520" t="str" cm="1">
        <f t="array" ref="C38">IFERROR(_xlfn._xlws.FILTER(Landscape!B16:B23,Landscape!F16:F23="Flag in summary"),"")</f>
        <v/>
      </c>
      <c r="D38" s="520" t="str" cm="1">
        <f t="array" ref="D38">IFERROR(_xlfn._xlws.FILTER(Water!B13:B47,Water!F13:F47="Flag in summary"),"")</f>
        <v/>
      </c>
      <c r="E38" s="520" t="str" cm="1">
        <f t="array" ref="E38">IFERROR(_xlfn._xlws.FILTER('Historic Environment'!B14:B26,'Historic Environment'!F14:F26="Flag in summary"),"")</f>
        <v/>
      </c>
      <c r="F38" s="520" t="str" cm="1">
        <f t="array" ref="F38">IFERROR(_xlfn._xlws.FILTER('Silviculture, Soil &amp; Climate'!B13:B54,'Silviculture, Soil &amp; Climate'!F13:F54="Flag in summary"),"")</f>
        <v/>
      </c>
      <c r="G38" s="520" t="str" cm="1">
        <f t="array" ref="G38">IFERROR(_xlfn._xlws.FILTER('Access &amp; Local Interests'!B13:B32,'Access &amp; Local Interests'!F13:F32="Flag in summary"),"")</f>
        <v/>
      </c>
    </row>
    <row r="39" spans="2:7" x14ac:dyDescent="0.35">
      <c r="B39" s="520"/>
      <c r="C39" s="520"/>
      <c r="D39" s="520"/>
      <c r="E39" s="520"/>
      <c r="F39" s="520"/>
      <c r="G39" s="520"/>
    </row>
    <row r="40" spans="2:7" x14ac:dyDescent="0.35">
      <c r="B40" s="520"/>
      <c r="C40" s="520"/>
      <c r="D40" s="520"/>
      <c r="E40" s="520"/>
      <c r="F40" s="520"/>
      <c r="G40" s="520"/>
    </row>
    <row r="41" spans="2:7" x14ac:dyDescent="0.35">
      <c r="B41" s="520"/>
      <c r="C41" s="520"/>
      <c r="D41" s="520"/>
      <c r="E41" s="520"/>
      <c r="F41" s="520"/>
      <c r="G41" s="520"/>
    </row>
    <row r="42" spans="2:7" x14ac:dyDescent="0.35">
      <c r="B42" s="520"/>
      <c r="C42" s="520"/>
      <c r="D42" s="520"/>
      <c r="E42" s="520"/>
      <c r="F42" s="520"/>
      <c r="G42" s="520"/>
    </row>
    <row r="43" spans="2:7" x14ac:dyDescent="0.35">
      <c r="B43" s="520"/>
      <c r="C43" s="520"/>
      <c r="D43" s="520"/>
      <c r="E43" s="520"/>
      <c r="F43" s="520"/>
      <c r="G43" s="520"/>
    </row>
    <row r="44" spans="2:7" x14ac:dyDescent="0.35">
      <c r="B44" s="520"/>
      <c r="C44" s="520"/>
      <c r="D44" s="520"/>
      <c r="E44" s="520"/>
      <c r="F44" s="520"/>
      <c r="G44" s="520"/>
    </row>
    <row r="45" spans="2:7" x14ac:dyDescent="0.35">
      <c r="B45" s="520"/>
      <c r="C45" s="520"/>
      <c r="D45" s="520"/>
      <c r="E45" s="520"/>
      <c r="F45" s="520"/>
      <c r="G45" s="520"/>
    </row>
    <row r="46" spans="2:7" x14ac:dyDescent="0.35">
      <c r="B46" s="520"/>
      <c r="C46" s="520"/>
      <c r="D46" s="520"/>
      <c r="E46" s="520"/>
      <c r="F46" s="520"/>
      <c r="G46" s="520"/>
    </row>
    <row r="47" spans="2:7" x14ac:dyDescent="0.35">
      <c r="B47" s="520"/>
      <c r="C47" s="520"/>
      <c r="D47" s="520"/>
      <c r="E47" s="520"/>
      <c r="F47" s="520"/>
      <c r="G47" s="520"/>
    </row>
    <row r="48" spans="2:7" x14ac:dyDescent="0.35">
      <c r="B48" s="520"/>
      <c r="C48" s="520"/>
      <c r="D48" s="520"/>
      <c r="E48" s="520"/>
      <c r="F48" s="520"/>
      <c r="G48" s="520"/>
    </row>
    <row r="49" spans="2:7" x14ac:dyDescent="0.35">
      <c r="B49" s="520"/>
      <c r="C49" s="520"/>
      <c r="D49" s="520"/>
      <c r="E49" s="520"/>
      <c r="F49" s="520"/>
      <c r="G49" s="520"/>
    </row>
    <row r="50" spans="2:7" x14ac:dyDescent="0.35">
      <c r="B50" s="520"/>
      <c r="C50" s="520"/>
      <c r="D50" s="520"/>
      <c r="E50" s="520"/>
      <c r="F50" s="520"/>
      <c r="G50" s="520"/>
    </row>
    <row r="51" spans="2:7" x14ac:dyDescent="0.35">
      <c r="B51" s="520"/>
      <c r="C51" s="520"/>
      <c r="D51" s="520"/>
      <c r="E51" s="520"/>
      <c r="F51" s="520"/>
      <c r="G51" s="520"/>
    </row>
    <row r="52" spans="2:7" x14ac:dyDescent="0.35">
      <c r="B52" s="520"/>
      <c r="C52" s="520"/>
      <c r="D52" s="520"/>
      <c r="E52" s="520"/>
      <c r="F52" s="520"/>
      <c r="G52" s="520"/>
    </row>
    <row r="53" spans="2:7" x14ac:dyDescent="0.35">
      <c r="B53" s="520"/>
      <c r="C53" s="520"/>
      <c r="D53" s="520"/>
      <c r="E53" s="520"/>
      <c r="F53" s="520"/>
      <c r="G53" s="520"/>
    </row>
    <row r="54" spans="2:7" x14ac:dyDescent="0.35">
      <c r="B54" s="520"/>
      <c r="C54" s="520"/>
      <c r="D54" s="520"/>
      <c r="E54" s="520"/>
      <c r="F54" s="520"/>
      <c r="G54" s="520"/>
    </row>
    <row r="55" spans="2:7" x14ac:dyDescent="0.35">
      <c r="B55" s="520"/>
      <c r="C55" s="520"/>
      <c r="D55" s="520"/>
      <c r="E55" s="520"/>
      <c r="F55" s="520"/>
      <c r="G55" s="520"/>
    </row>
    <row r="56" spans="2:7" x14ac:dyDescent="0.35">
      <c r="B56" s="520"/>
      <c r="C56" s="520"/>
      <c r="D56" s="520"/>
      <c r="E56" s="520"/>
      <c r="F56" s="520"/>
      <c r="G56" s="520"/>
    </row>
    <row r="57" spans="2:7" x14ac:dyDescent="0.35">
      <c r="B57" s="520"/>
      <c r="C57" s="520"/>
      <c r="D57" s="520"/>
      <c r="E57" s="520"/>
      <c r="F57" s="520"/>
      <c r="G57" s="520"/>
    </row>
    <row r="58" spans="2:7" x14ac:dyDescent="0.35">
      <c r="B58" s="520"/>
      <c r="C58" s="520"/>
      <c r="D58" s="520"/>
      <c r="E58" s="520"/>
      <c r="F58" s="520"/>
      <c r="G58" s="520"/>
    </row>
    <row r="59" spans="2:7" x14ac:dyDescent="0.35">
      <c r="B59" s="520"/>
      <c r="C59" s="520"/>
      <c r="D59" s="520"/>
      <c r="E59" s="520"/>
      <c r="F59" s="520"/>
      <c r="G59" s="520"/>
    </row>
    <row r="60" spans="2:7" x14ac:dyDescent="0.35">
      <c r="B60" s="520"/>
      <c r="C60" s="520"/>
      <c r="D60" s="520"/>
      <c r="E60" s="520"/>
      <c r="F60" s="520"/>
      <c r="G60" s="520"/>
    </row>
    <row r="61" spans="2:7" x14ac:dyDescent="0.35">
      <c r="B61" s="520"/>
      <c r="C61" s="520"/>
      <c r="D61" s="520"/>
      <c r="E61" s="520"/>
      <c r="F61" s="520"/>
      <c r="G61" s="520"/>
    </row>
    <row r="62" spans="2:7" x14ac:dyDescent="0.35">
      <c r="B62" s="520"/>
      <c r="C62" s="520"/>
      <c r="D62" s="520"/>
      <c r="E62" s="520"/>
      <c r="F62" s="520"/>
      <c r="G62" s="520"/>
    </row>
    <row r="63" spans="2:7" x14ac:dyDescent="0.35">
      <c r="B63" s="520"/>
      <c r="C63" s="520"/>
      <c r="D63" s="520"/>
      <c r="E63" s="520"/>
      <c r="F63" s="520"/>
      <c r="G63" s="520"/>
    </row>
    <row r="64" spans="2:7" x14ac:dyDescent="0.35">
      <c r="B64" s="520"/>
      <c r="C64" s="520"/>
      <c r="D64" s="520"/>
      <c r="E64" s="520"/>
      <c r="F64" s="520"/>
      <c r="G64" s="520"/>
    </row>
    <row r="65" spans="2:7" x14ac:dyDescent="0.35">
      <c r="B65" s="520"/>
      <c r="C65" s="520"/>
      <c r="D65" s="520"/>
      <c r="E65" s="520"/>
      <c r="F65" s="520"/>
      <c r="G65" s="520"/>
    </row>
    <row r="66" spans="2:7" x14ac:dyDescent="0.35">
      <c r="B66" s="520"/>
      <c r="C66" s="520"/>
      <c r="D66" s="520"/>
      <c r="E66" s="520"/>
      <c r="F66" s="520"/>
      <c r="G66" s="520"/>
    </row>
    <row r="67" spans="2:7" x14ac:dyDescent="0.35">
      <c r="B67" s="520"/>
      <c r="C67" s="520"/>
      <c r="D67" s="520"/>
      <c r="E67" s="520"/>
      <c r="F67" s="520"/>
      <c r="G67" s="520"/>
    </row>
    <row r="68" spans="2:7" x14ac:dyDescent="0.35">
      <c r="B68" s="520"/>
      <c r="C68" s="520"/>
      <c r="D68" s="520"/>
      <c r="E68" s="520"/>
      <c r="F68" s="520"/>
      <c r="G68" s="520"/>
    </row>
    <row r="69" spans="2:7" x14ac:dyDescent="0.35">
      <c r="B69" s="520"/>
      <c r="C69" s="520"/>
      <c r="D69" s="520"/>
      <c r="E69" s="520"/>
      <c r="F69" s="520"/>
      <c r="G69" s="520"/>
    </row>
    <row r="70" spans="2:7" x14ac:dyDescent="0.35">
      <c r="B70" s="520"/>
      <c r="C70" s="520"/>
      <c r="D70" s="520"/>
      <c r="E70" s="520"/>
      <c r="F70" s="520"/>
      <c r="G70" s="520"/>
    </row>
    <row r="71" spans="2:7" x14ac:dyDescent="0.35">
      <c r="B71" s="520"/>
      <c r="C71" s="520"/>
      <c r="D71" s="520"/>
      <c r="E71" s="520"/>
      <c r="F71" s="520"/>
      <c r="G71" s="520"/>
    </row>
    <row r="72" spans="2:7" x14ac:dyDescent="0.35">
      <c r="B72" s="520"/>
      <c r="C72" s="520"/>
      <c r="D72" s="520"/>
      <c r="E72" s="520"/>
      <c r="F72" s="520"/>
      <c r="G72" s="520"/>
    </row>
    <row r="73" spans="2:7" x14ac:dyDescent="0.35">
      <c r="B73" s="520"/>
      <c r="C73" s="520"/>
      <c r="D73" s="520"/>
      <c r="E73" s="520"/>
      <c r="F73" s="520"/>
      <c r="G73" s="520"/>
    </row>
    <row r="74" spans="2:7" x14ac:dyDescent="0.35">
      <c r="B74" s="520"/>
      <c r="C74" s="520"/>
      <c r="D74" s="520"/>
      <c r="E74" s="520"/>
      <c r="F74" s="520"/>
      <c r="G74" s="520"/>
    </row>
    <row r="75" spans="2:7" x14ac:dyDescent="0.35">
      <c r="B75" s="520"/>
      <c r="C75" s="520"/>
      <c r="D75" s="520"/>
      <c r="E75" s="520"/>
      <c r="F75" s="520"/>
      <c r="G75" s="520"/>
    </row>
    <row r="76" spans="2:7" x14ac:dyDescent="0.35">
      <c r="B76" s="520"/>
      <c r="C76" s="520"/>
      <c r="D76" s="520"/>
      <c r="E76" s="520"/>
      <c r="F76" s="520"/>
      <c r="G76" s="520"/>
    </row>
    <row r="77" spans="2:7" x14ac:dyDescent="0.35">
      <c r="B77" s="520"/>
      <c r="C77" s="520"/>
      <c r="D77" s="520"/>
      <c r="E77" s="520"/>
      <c r="F77" s="520"/>
      <c r="G77" s="520"/>
    </row>
    <row r="78" spans="2:7" x14ac:dyDescent="0.35">
      <c r="B78" s="520"/>
      <c r="C78" s="520"/>
      <c r="D78" s="520"/>
      <c r="E78" s="520"/>
      <c r="F78" s="520"/>
      <c r="G78" s="520"/>
    </row>
    <row r="79" spans="2:7" x14ac:dyDescent="0.35">
      <c r="B79" s="520"/>
      <c r="C79" s="520"/>
      <c r="D79" s="520"/>
      <c r="E79" s="520"/>
      <c r="F79" s="520"/>
      <c r="G79" s="520"/>
    </row>
    <row r="80" spans="2:7" x14ac:dyDescent="0.35">
      <c r="B80" s="520"/>
      <c r="C80" s="520"/>
      <c r="D80" s="520"/>
      <c r="E80" s="520"/>
      <c r="F80" s="520"/>
      <c r="G80" s="520"/>
    </row>
    <row r="81" spans="2:7" x14ac:dyDescent="0.35">
      <c r="B81" s="520"/>
      <c r="C81" s="520"/>
      <c r="D81" s="520"/>
      <c r="E81" s="520"/>
      <c r="F81" s="520"/>
      <c r="G81" s="520"/>
    </row>
    <row r="82" spans="2:7" x14ac:dyDescent="0.35">
      <c r="B82" s="520"/>
      <c r="C82" s="520"/>
      <c r="D82" s="520"/>
      <c r="E82" s="520"/>
      <c r="F82" s="520"/>
      <c r="G82" s="520"/>
    </row>
    <row r="83" spans="2:7" x14ac:dyDescent="0.35">
      <c r="B83" s="520"/>
      <c r="C83" s="520"/>
      <c r="D83" s="520"/>
      <c r="E83" s="520"/>
      <c r="F83" s="520"/>
      <c r="G83" s="520"/>
    </row>
    <row r="84" spans="2:7" x14ac:dyDescent="0.35">
      <c r="B84" s="520"/>
      <c r="C84" s="520"/>
      <c r="D84" s="520"/>
      <c r="E84" s="520"/>
      <c r="F84" s="520"/>
      <c r="G84" s="520"/>
    </row>
    <row r="85" spans="2:7" x14ac:dyDescent="0.35">
      <c r="B85" s="520"/>
      <c r="C85" s="520"/>
      <c r="D85" s="520"/>
      <c r="E85" s="520"/>
      <c r="F85" s="520"/>
      <c r="G85" s="520"/>
    </row>
    <row r="86" spans="2:7" x14ac:dyDescent="0.35"/>
    <row r="87" spans="2:7" x14ac:dyDescent="0.35"/>
  </sheetData>
  <sheetProtection algorithmName="SHA-512" hashValue="orC6cy+qEVRLPIMU4lzQ4y78cwu7L78mC26YaP1xl2Y2Bb+66aW2jO49E8aU2j9HvmOzRcEsPf9e7SBPuPGtWA==" saltValue="j3uOQV6c8Rs4PPzwq44Hjg==" spinCount="100000" sheet="1" objects="1" scenarios="1"/>
  <mergeCells count="13">
    <mergeCell ref="B13:E13"/>
    <mergeCell ref="B30:F30"/>
    <mergeCell ref="E32:F32"/>
    <mergeCell ref="E31:F31"/>
    <mergeCell ref="D14:E14"/>
    <mergeCell ref="D15:E15"/>
    <mergeCell ref="D16:E16"/>
    <mergeCell ref="B18:E18"/>
    <mergeCell ref="B4:G4"/>
    <mergeCell ref="B6:G6"/>
    <mergeCell ref="B8:G8"/>
    <mergeCell ref="B10:C10"/>
    <mergeCell ref="B11:C11"/>
  </mergeCells>
  <conditionalFormatting sqref="B16:D16">
    <cfRule type="expression" dxfId="30" priority="3">
      <formula>NOT($C$15="Yes")</formula>
    </cfRule>
  </conditionalFormatting>
  <conditionalFormatting sqref="B32:F32">
    <cfRule type="containsBlanks" dxfId="29" priority="13">
      <formula>LEN(TRIM(B32))=0</formula>
    </cfRule>
  </conditionalFormatting>
  <conditionalFormatting sqref="B38:G85">
    <cfRule type="notContainsBlanks" dxfId="28" priority="19">
      <formula>LEN(TRIM(B38))&gt;0</formula>
    </cfRule>
  </conditionalFormatting>
  <conditionalFormatting sqref="C15:E16 C21:E28">
    <cfRule type="containsBlanks" dxfId="27" priority="6">
      <formula>LEN(TRIM(C15))=0</formula>
    </cfRule>
  </conditionalFormatting>
  <conditionalFormatting sqref="D15">
    <cfRule type="cellIs" dxfId="26" priority="4" operator="equal">
      <formula>#REF!</formula>
    </cfRule>
  </conditionalFormatting>
  <dataValidations count="2">
    <dataValidation type="list" allowBlank="1" showInputMessage="1" showErrorMessage="1" sqref="B32" xr:uid="{12BE5BCB-8E77-46E2-A017-D3CD0086B648}">
      <formula1>"Proceed to Stage 2, Not viable (no offer to proceed), Other (please detail in comments)"</formula1>
    </dataValidation>
    <dataValidation type="list" allowBlank="1" showInputMessage="1" showErrorMessage="1" sqref="F17 E21:E28 F29" xr:uid="{C787E6D1-2AD8-44E8-9C3F-8528F5020896}">
      <formula1>"Yes, No"</formula1>
    </dataValidation>
  </dataValidations>
  <hyperlinks>
    <hyperlink ref="B5" r:id="rId1" display="https://www.gov.uk/government/publications/woodland-creation-planning-grant-application-form" xr:uid="{2B681522-06F1-4C81-B0B2-7C640DA52B46}"/>
    <hyperlink ref="B7" r:id="rId2" display="https://www.gov.uk/guidance/woodland-creation-planning-grant" xr:uid="{AFFD3496-22AA-4B08-B611-A0A38D756F42}"/>
  </hyperlinks>
  <pageMargins left="0.70866141732283472" right="0.70866141732283472" top="0.74803149606299213" bottom="0.74803149606299213" header="0.31496062992125984" footer="0.31496062992125984"/>
  <pageSetup paperSize="9" scale="26" orientation="portrait" r:id="rId3"/>
  <drawing r:id="rId4"/>
  <extLst>
    <ext xmlns:x14="http://schemas.microsoft.com/office/spreadsheetml/2009/9/main" uri="{CCE6A557-97BC-4b89-ADB6-D9C93CAAB3DF}">
      <x14:dataValidations xmlns:xm="http://schemas.microsoft.com/office/excel/2006/main" count="1">
        <x14:dataValidation type="list" allowBlank="1" showInputMessage="1" showErrorMessage="1" xr:uid="{2DE2E60F-ABE3-46D1-9C7D-21460B0EB45D}">
          <x14:formula1>
            <xm:f>'Data (hidden)'!$B$4:$B$5</xm:f>
          </x14:formula1>
          <xm:sqref>C15:C16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4C7CA-A4CD-41E5-B04F-2F76EF4CFC34}">
  <sheetPr codeName="Sheet12">
    <tabColor rgb="FF007390"/>
    <pageSetUpPr fitToPage="1"/>
  </sheetPr>
  <dimension ref="A1:R40"/>
  <sheetViews>
    <sheetView showGridLines="0" zoomScaleNormal="100" workbookViewId="0">
      <selection activeCell="D21" sqref="D21"/>
    </sheetView>
  </sheetViews>
  <sheetFormatPr defaultColWidth="0" defaultRowHeight="13.5" zeroHeight="1" x14ac:dyDescent="0.3"/>
  <cols>
    <col min="1" max="1" width="3.453125" style="521" customWidth="1"/>
    <col min="2" max="2" width="45.453125" style="521" customWidth="1"/>
    <col min="3" max="3" width="47.54296875" style="521" customWidth="1"/>
    <col min="4" max="4" width="41.1796875" style="521" customWidth="1"/>
    <col min="5" max="5" width="4.7265625" style="521" customWidth="1"/>
    <col min="6" max="18" width="0" style="521" hidden="1" customWidth="1"/>
    <col min="19" max="16384" width="8.7265625" style="521" hidden="1"/>
  </cols>
  <sheetData>
    <row r="1" spans="2:4" ht="25.5" customHeight="1" x14ac:dyDescent="0.3"/>
    <row r="2" spans="2:4" ht="26.5" customHeight="1" x14ac:dyDescent="0.45">
      <c r="B2" s="508" t="s">
        <v>264</v>
      </c>
      <c r="C2" s="508"/>
      <c r="D2" s="508"/>
    </row>
    <row r="3" spans="2:4" ht="11.15" customHeight="1" x14ac:dyDescent="0.45">
      <c r="B3" s="508"/>
      <c r="C3" s="508"/>
      <c r="D3" s="508"/>
    </row>
    <row r="4" spans="2:4" ht="42.75" customHeight="1" x14ac:dyDescent="0.3">
      <c r="B4" s="761" t="s">
        <v>1455</v>
      </c>
      <c r="C4" s="762"/>
      <c r="D4" s="763"/>
    </row>
    <row r="5" spans="2:4" s="522" customFormat="1" ht="19.5" customHeight="1" x14ac:dyDescent="0.35">
      <c r="B5" s="293" t="str">
        <f>HYPERLINK("https://www.gov.uk/guidance/habitats-regulations-assessments-protecting-a-european-site","Habitats regulations assessments: protecting a European site - GOV.UK")</f>
        <v>Habitats regulations assessments: protecting a European site - GOV.UK</v>
      </c>
      <c r="C5" s="408"/>
      <c r="D5" s="409"/>
    </row>
    <row r="6" spans="2:4" ht="20.25" customHeight="1" x14ac:dyDescent="0.3">
      <c r="B6" s="770" t="s">
        <v>265</v>
      </c>
      <c r="C6" s="770"/>
      <c r="D6" s="770"/>
    </row>
    <row r="7" spans="2:4" ht="19.5" customHeight="1" x14ac:dyDescent="0.3">
      <c r="B7" s="771" t="s">
        <v>266</v>
      </c>
      <c r="C7" s="771"/>
      <c r="D7" s="771"/>
    </row>
    <row r="8" spans="2:4" s="522" customFormat="1" ht="39.75" customHeight="1" x14ac:dyDescent="0.35">
      <c r="B8" s="764" t="s">
        <v>1456</v>
      </c>
      <c r="C8" s="765"/>
      <c r="D8" s="766"/>
    </row>
    <row r="9" spans="2:4" s="522" customFormat="1" ht="19.5" customHeight="1" x14ac:dyDescent="0.35">
      <c r="B9" s="289" t="str">
        <f>HYPERLINK("https://publications.naturalengland.org.uk/category/6490068894089216","Natural England Access to Evidence - Conservation Objectives for European Sites")</f>
        <v>Natural England Access to Evidence - Conservation Objectives for European Sites</v>
      </c>
      <c r="C9" s="267"/>
      <c r="D9" s="269"/>
    </row>
    <row r="10" spans="2:4" ht="19.5" customHeight="1" x14ac:dyDescent="0.3">
      <c r="B10" s="523" t="s">
        <v>1457</v>
      </c>
      <c r="C10" s="268"/>
      <c r="D10" s="270"/>
    </row>
    <row r="11" spans="2:4" s="522" customFormat="1" ht="22.5" customHeight="1" x14ac:dyDescent="0.35">
      <c r="B11" s="293" t="str">
        <f>HYPERLINK("https://rsis.ramsar.org/","Home | Ramsar Sites Information Service")</f>
        <v>Home | Ramsar Sites Information Service</v>
      </c>
      <c r="C11" s="271"/>
      <c r="D11" s="272"/>
    </row>
    <row r="12" spans="2:4" ht="20.25" customHeight="1" x14ac:dyDescent="0.3">
      <c r="B12" s="524" t="s">
        <v>267</v>
      </c>
      <c r="C12" s="652"/>
      <c r="D12" s="652"/>
    </row>
    <row r="13" spans="2:4" ht="19.5" customHeight="1" x14ac:dyDescent="0.3">
      <c r="B13" s="525" t="s">
        <v>268</v>
      </c>
      <c r="C13" s="768"/>
      <c r="D13" s="768"/>
    </row>
    <row r="14" spans="2:4" ht="18.75" customHeight="1" x14ac:dyDescent="0.3">
      <c r="B14" s="526" t="s">
        <v>269</v>
      </c>
      <c r="C14" s="768"/>
      <c r="D14" s="768"/>
    </row>
    <row r="15" spans="2:4" ht="17.5" customHeight="1" x14ac:dyDescent="0.3">
      <c r="B15" s="527"/>
      <c r="C15" s="528"/>
      <c r="D15" s="528"/>
    </row>
    <row r="16" spans="2:4" ht="17.5" customHeight="1" x14ac:dyDescent="0.3">
      <c r="B16" s="767" t="s">
        <v>270</v>
      </c>
      <c r="C16" s="767"/>
      <c r="D16" s="767"/>
    </row>
    <row r="17" spans="2:4" ht="40.5" customHeight="1" x14ac:dyDescent="0.3">
      <c r="B17" s="769" t="s">
        <v>271</v>
      </c>
      <c r="C17" s="769"/>
      <c r="D17" s="769"/>
    </row>
    <row r="18" spans="2:4" ht="96" customHeight="1" x14ac:dyDescent="0.3">
      <c r="B18" s="529" t="s">
        <v>272</v>
      </c>
      <c r="C18" s="529" t="s">
        <v>273</v>
      </c>
      <c r="D18" s="529" t="s">
        <v>274</v>
      </c>
    </row>
    <row r="19" spans="2:4" ht="15.75" customHeight="1" x14ac:dyDescent="0.3">
      <c r="B19" s="530"/>
      <c r="C19" s="530" t="s">
        <v>275</v>
      </c>
      <c r="D19" s="530"/>
    </row>
    <row r="20" spans="2:4" ht="15.75" customHeight="1" x14ac:dyDescent="0.3">
      <c r="B20" s="530"/>
      <c r="C20" s="530"/>
      <c r="D20" s="530"/>
    </row>
    <row r="21" spans="2:4" ht="15.75" customHeight="1" x14ac:dyDescent="0.3">
      <c r="B21" s="530"/>
      <c r="C21" s="530"/>
      <c r="D21" s="530"/>
    </row>
    <row r="22" spans="2:4" ht="15.75" customHeight="1" x14ac:dyDescent="0.3">
      <c r="B22" s="530"/>
      <c r="C22" s="530"/>
      <c r="D22" s="530"/>
    </row>
    <row r="23" spans="2:4" ht="15.75" customHeight="1" x14ac:dyDescent="0.3">
      <c r="B23" s="530"/>
      <c r="C23" s="530"/>
      <c r="D23" s="530"/>
    </row>
    <row r="24" spans="2:4" ht="15.75" customHeight="1" x14ac:dyDescent="0.3">
      <c r="B24" s="530"/>
      <c r="C24" s="530"/>
      <c r="D24" s="530"/>
    </row>
    <row r="25" spans="2:4" ht="15.75" customHeight="1" x14ac:dyDescent="0.3">
      <c r="B25" s="530"/>
      <c r="C25" s="530"/>
      <c r="D25" s="530"/>
    </row>
    <row r="26" spans="2:4" ht="15.75" customHeight="1" x14ac:dyDescent="0.3">
      <c r="B26" s="530"/>
      <c r="C26" s="530"/>
      <c r="D26" s="530"/>
    </row>
    <row r="27" spans="2:4" ht="15.75" customHeight="1" x14ac:dyDescent="0.3">
      <c r="B27" s="530"/>
      <c r="C27" s="530"/>
      <c r="D27" s="530"/>
    </row>
    <row r="28" spans="2:4" ht="15.75" customHeight="1" x14ac:dyDescent="0.3">
      <c r="B28" s="530"/>
      <c r="C28" s="530"/>
      <c r="D28" s="530"/>
    </row>
    <row r="29" spans="2:4" ht="15.75" customHeight="1" x14ac:dyDescent="0.3">
      <c r="B29" s="530"/>
      <c r="C29" s="530"/>
      <c r="D29" s="530"/>
    </row>
    <row r="30" spans="2:4" ht="15.75" customHeight="1" x14ac:dyDescent="0.3">
      <c r="B30" s="530"/>
      <c r="C30" s="530"/>
      <c r="D30" s="530"/>
    </row>
    <row r="31" spans="2:4" ht="15.75" customHeight="1" x14ac:dyDescent="0.3">
      <c r="B31" s="530"/>
      <c r="C31" s="530"/>
      <c r="D31" s="530"/>
    </row>
    <row r="32" spans="2:4" ht="15.75" customHeight="1" x14ac:dyDescent="0.3">
      <c r="B32" s="530"/>
      <c r="C32" s="530"/>
      <c r="D32" s="530"/>
    </row>
    <row r="33" spans="2:4" ht="15.75" customHeight="1" x14ac:dyDescent="0.3">
      <c r="B33" s="530"/>
      <c r="C33" s="530"/>
      <c r="D33" s="530"/>
    </row>
    <row r="34" spans="2:4" ht="15.75" customHeight="1" x14ac:dyDescent="0.3">
      <c r="B34" s="530"/>
      <c r="C34" s="530"/>
      <c r="D34" s="530"/>
    </row>
    <row r="35" spans="2:4" ht="15.75" customHeight="1" x14ac:dyDescent="0.3">
      <c r="B35" s="530"/>
      <c r="C35" s="530"/>
      <c r="D35" s="530"/>
    </row>
    <row r="36" spans="2:4" ht="15.75" customHeight="1" x14ac:dyDescent="0.3">
      <c r="B36" s="530"/>
      <c r="C36" s="530"/>
      <c r="D36" s="530"/>
    </row>
    <row r="37" spans="2:4" ht="15.75" customHeight="1" x14ac:dyDescent="0.3">
      <c r="B37" s="530"/>
      <c r="C37" s="530"/>
      <c r="D37" s="530"/>
    </row>
    <row r="38" spans="2:4" ht="15.75" customHeight="1" x14ac:dyDescent="0.3">
      <c r="B38" s="530"/>
      <c r="C38" s="530"/>
      <c r="D38" s="530"/>
    </row>
    <row r="39" spans="2:4" ht="15.75" customHeight="1" x14ac:dyDescent="0.3">
      <c r="B39" s="530"/>
      <c r="C39" s="530"/>
      <c r="D39" s="530"/>
    </row>
    <row r="40" spans="2:4" ht="34.5" customHeight="1" x14ac:dyDescent="0.3"/>
  </sheetData>
  <sheetProtection sheet="1" objects="1" scenarios="1"/>
  <mergeCells count="9">
    <mergeCell ref="B4:D4"/>
    <mergeCell ref="B8:D8"/>
    <mergeCell ref="B16:D16"/>
    <mergeCell ref="C14:D14"/>
    <mergeCell ref="B17:D17"/>
    <mergeCell ref="B6:D6"/>
    <mergeCell ref="C12:D12"/>
    <mergeCell ref="C13:D13"/>
    <mergeCell ref="B7:D7"/>
  </mergeCells>
  <conditionalFormatting sqref="B19:D39">
    <cfRule type="containsBlanks" dxfId="25" priority="7">
      <formula>LEN(TRIM(B19))=0</formula>
    </cfRule>
  </conditionalFormatting>
  <conditionalFormatting sqref="C12:C14">
    <cfRule type="containsBlanks" dxfId="24" priority="1">
      <formula>LEN(TRIM(C12))=0</formula>
    </cfRule>
  </conditionalFormatting>
  <dataValidations count="1">
    <dataValidation type="list" allowBlank="1" showInputMessage="1" showErrorMessage="1" sqref="D19:D39" xr:uid="{8667600E-C262-4B7C-BB54-62B72F7BC382}">
      <formula1>"High,Medium,Low,None"</formula1>
    </dataValidation>
  </dataValidations>
  <hyperlinks>
    <hyperlink ref="B9" r:id="rId1" display="https://publications.naturalengland.org.uk/category/6490068894089216" xr:uid="{477B12AB-6819-486C-A77C-490DC3A670D3}"/>
    <hyperlink ref="B11" r:id="rId2" display="https://rsis.ramsar.org/" xr:uid="{3F327D81-1E3A-4D6D-A8F8-10EA2627DD72}"/>
  </hyperlinks>
  <pageMargins left="0.70866141732283472" right="0.70866141732283472" top="0.74803149606299213" bottom="0.74803149606299213" header="0.31496062992125984" footer="0.31496062992125984"/>
  <pageSetup paperSize="9" scale="62" orientation="portrait" r:id="rId3"/>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4FCD6-A3FA-44EA-B5DB-1F7249E33916}">
  <sheetPr codeName="Sheet13">
    <tabColor rgb="FF007390"/>
    <pageSetUpPr fitToPage="1"/>
  </sheetPr>
  <dimension ref="A1:G84"/>
  <sheetViews>
    <sheetView showGridLines="0" zoomScaleNormal="100" workbookViewId="0">
      <selection sqref="A1:XFD1048576"/>
    </sheetView>
  </sheetViews>
  <sheetFormatPr defaultColWidth="0" defaultRowHeight="15" customHeight="1" zeroHeight="1" x14ac:dyDescent="0.35"/>
  <cols>
    <col min="1" max="1" width="3.1796875" customWidth="1"/>
    <col min="2" max="2" width="52.7265625" customWidth="1"/>
    <col min="3" max="3" width="45.453125" customWidth="1"/>
    <col min="4" max="4" width="61.1796875" customWidth="1"/>
    <col min="5" max="5" width="5.7265625" customWidth="1"/>
    <col min="6" max="7" width="0" hidden="1" customWidth="1"/>
    <col min="8" max="16384" width="8.7265625" hidden="1"/>
  </cols>
  <sheetData>
    <row r="1" spans="2:4" ht="14.5" x14ac:dyDescent="0.35"/>
    <row r="2" spans="2:4" ht="33.65" customHeight="1" x14ac:dyDescent="0.45">
      <c r="B2" s="508" t="s">
        <v>245</v>
      </c>
      <c r="C2" s="508"/>
      <c r="D2" s="508"/>
    </row>
    <row r="3" spans="2:4" ht="11.5" customHeight="1" x14ac:dyDescent="0.45">
      <c r="B3" s="508"/>
      <c r="C3" s="508"/>
      <c r="D3" s="508"/>
    </row>
    <row r="4" spans="2:4" s="176" customFormat="1" ht="65.5" customHeight="1" x14ac:dyDescent="0.35">
      <c r="B4" s="775" t="s">
        <v>1458</v>
      </c>
      <c r="C4" s="775"/>
      <c r="D4" s="775"/>
    </row>
    <row r="5" spans="2:4" ht="14.5" x14ac:dyDescent="0.35">
      <c r="B5" s="480"/>
      <c r="C5" s="480"/>
      <c r="D5" s="480"/>
    </row>
    <row r="6" spans="2:4" ht="20.25" customHeight="1" x14ac:dyDescent="0.35">
      <c r="B6" s="3" t="s">
        <v>78</v>
      </c>
      <c r="C6" s="159" t="str">
        <f>IF(ISBLANK('Site Details'!C6),"",'Site Details'!C6)</f>
        <v/>
      </c>
    </row>
    <row r="7" spans="2:4" ht="24.75" customHeight="1" x14ac:dyDescent="0.35">
      <c r="B7" s="3" t="s">
        <v>64</v>
      </c>
      <c r="C7" s="159" t="str">
        <f>IF(ISBLANK('Site Details'!C7),"",'Site Details'!C7)</f>
        <v/>
      </c>
    </row>
    <row r="8" spans="2:4" ht="14.5" x14ac:dyDescent="0.35">
      <c r="B8" s="13"/>
    </row>
    <row r="9" spans="2:4" x14ac:dyDescent="0.35">
      <c r="B9" s="776" t="s">
        <v>246</v>
      </c>
      <c r="C9" s="776"/>
      <c r="D9" s="776"/>
    </row>
    <row r="10" spans="2:4" ht="193.5" customHeight="1" x14ac:dyDescent="0.35">
      <c r="B10" s="777" t="s">
        <v>1459</v>
      </c>
      <c r="C10" s="778"/>
      <c r="D10" s="778"/>
    </row>
    <row r="11" spans="2:4" ht="14.5" x14ac:dyDescent="0.35"/>
    <row r="12" spans="2:4" x14ac:dyDescent="0.35">
      <c r="B12" s="75" t="s">
        <v>247</v>
      </c>
      <c r="C12" s="76"/>
      <c r="D12" s="76"/>
    </row>
    <row r="13" spans="2:4" ht="14.5" x14ac:dyDescent="0.35">
      <c r="B13" s="531" t="s">
        <v>248</v>
      </c>
      <c r="C13" s="531" t="s">
        <v>249</v>
      </c>
      <c r="D13" s="531" t="s">
        <v>250</v>
      </c>
    </row>
    <row r="14" spans="2:4" ht="14.5" x14ac:dyDescent="0.35">
      <c r="B14" s="530"/>
      <c r="C14" s="532"/>
      <c r="D14" s="533"/>
    </row>
    <row r="15" spans="2:4" ht="14.5" x14ac:dyDescent="0.35">
      <c r="B15" s="530"/>
      <c r="C15" s="532"/>
      <c r="D15" s="530"/>
    </row>
    <row r="16" spans="2:4" ht="14.5" x14ac:dyDescent="0.35">
      <c r="B16" s="530"/>
      <c r="C16" s="532"/>
      <c r="D16" s="530"/>
    </row>
    <row r="17" spans="2:6" ht="14.5" x14ac:dyDescent="0.35">
      <c r="B17" s="530"/>
      <c r="C17" s="532"/>
      <c r="D17" s="530"/>
    </row>
    <row r="18" spans="2:6" ht="14.5" x14ac:dyDescent="0.35">
      <c r="B18" s="530"/>
      <c r="C18" s="532"/>
      <c r="D18" s="530"/>
    </row>
    <row r="19" spans="2:6" ht="14.5" x14ac:dyDescent="0.35">
      <c r="B19" s="530"/>
      <c r="C19" s="532"/>
      <c r="D19" s="530"/>
    </row>
    <row r="20" spans="2:6" ht="14.5" x14ac:dyDescent="0.35">
      <c r="B20" s="530"/>
      <c r="C20" s="532"/>
      <c r="D20" s="530"/>
    </row>
    <row r="21" spans="2:6" ht="14.5" x14ac:dyDescent="0.35">
      <c r="B21" s="530"/>
      <c r="C21" s="532"/>
      <c r="D21" s="530"/>
    </row>
    <row r="22" spans="2:6" ht="14.5" x14ac:dyDescent="0.35">
      <c r="B22" s="440"/>
      <c r="C22" s="532"/>
      <c r="D22" s="530"/>
    </row>
    <row r="23" spans="2:6" ht="14.5" x14ac:dyDescent="0.35">
      <c r="B23" s="530"/>
      <c r="C23" s="532"/>
      <c r="D23" s="530"/>
    </row>
    <row r="24" spans="2:6" ht="14.5" x14ac:dyDescent="0.35"/>
    <row r="25" spans="2:6" x14ac:dyDescent="0.35">
      <c r="B25" s="776" t="s">
        <v>251</v>
      </c>
      <c r="C25" s="776"/>
      <c r="D25" s="776"/>
    </row>
    <row r="26" spans="2:6" ht="14.5" x14ac:dyDescent="0.35">
      <c r="B26" s="778" t="s">
        <v>252</v>
      </c>
      <c r="C26" s="778"/>
      <c r="D26" s="778"/>
    </row>
    <row r="27" spans="2:6" ht="14.5" x14ac:dyDescent="0.35"/>
    <row r="28" spans="2:6" x14ac:dyDescent="0.35">
      <c r="B28" s="776" t="s">
        <v>253</v>
      </c>
      <c r="C28" s="776"/>
      <c r="D28" s="776"/>
    </row>
    <row r="29" spans="2:6" ht="32.25" customHeight="1" x14ac:dyDescent="0.35">
      <c r="B29" s="779" t="s">
        <v>254</v>
      </c>
      <c r="C29" s="780"/>
      <c r="D29" s="780"/>
    </row>
    <row r="30" spans="2:6" ht="55.5" customHeight="1" x14ac:dyDescent="0.35">
      <c r="B30" s="781"/>
      <c r="C30" s="782"/>
      <c r="D30" s="783"/>
    </row>
    <row r="31" spans="2:6" ht="14.5" x14ac:dyDescent="0.35"/>
    <row r="32" spans="2:6" x14ac:dyDescent="0.35">
      <c r="B32" s="776" t="s">
        <v>255</v>
      </c>
      <c r="C32" s="776"/>
      <c r="D32" s="776"/>
      <c r="F32" s="77"/>
    </row>
    <row r="33" spans="2:4" ht="42" x14ac:dyDescent="0.35">
      <c r="B33" s="534" t="s">
        <v>256</v>
      </c>
      <c r="C33" s="534" t="s">
        <v>257</v>
      </c>
      <c r="D33" s="534" t="s">
        <v>258</v>
      </c>
    </row>
    <row r="34" spans="2:4" ht="14.5" x14ac:dyDescent="0.35">
      <c r="B34" s="535" t="s">
        <v>229</v>
      </c>
      <c r="C34" s="530"/>
      <c r="D34" s="530"/>
    </row>
    <row r="35" spans="2:4" ht="14.5" x14ac:dyDescent="0.35">
      <c r="B35" s="535" t="s">
        <v>259</v>
      </c>
      <c r="C35" s="530"/>
      <c r="D35" s="530"/>
    </row>
    <row r="36" spans="2:4" ht="14.5" x14ac:dyDescent="0.35">
      <c r="B36" s="535" t="s">
        <v>164</v>
      </c>
      <c r="C36" s="530"/>
      <c r="D36" s="536"/>
    </row>
    <row r="37" spans="2:4" ht="14.5" x14ac:dyDescent="0.35">
      <c r="B37" s="535" t="s">
        <v>231</v>
      </c>
      <c r="C37" s="530"/>
      <c r="D37" s="530"/>
    </row>
    <row r="38" spans="2:4" ht="14.5" x14ac:dyDescent="0.35">
      <c r="B38" s="537" t="s">
        <v>260</v>
      </c>
      <c r="C38" s="530"/>
      <c r="D38" s="530"/>
    </row>
    <row r="39" spans="2:4" ht="14.5" x14ac:dyDescent="0.35">
      <c r="B39" s="535" t="s">
        <v>261</v>
      </c>
      <c r="C39" s="530"/>
      <c r="D39" s="530"/>
    </row>
    <row r="40" spans="2:4" ht="14.5" x14ac:dyDescent="0.35">
      <c r="B40" s="535" t="s">
        <v>262</v>
      </c>
      <c r="C40" s="530"/>
      <c r="D40" s="530"/>
    </row>
    <row r="41" spans="2:4" ht="14.5" x14ac:dyDescent="0.35">
      <c r="B41" s="535" t="s">
        <v>263</v>
      </c>
      <c r="C41" s="530"/>
      <c r="D41" s="530"/>
    </row>
    <row r="42" spans="2:4" ht="14.5" x14ac:dyDescent="0.35">
      <c r="B42" s="435"/>
      <c r="C42" s="435"/>
      <c r="D42" s="435"/>
    </row>
    <row r="43" spans="2:4" ht="18" customHeight="1" x14ac:dyDescent="0.35">
      <c r="B43" s="771" t="s">
        <v>44</v>
      </c>
      <c r="C43" s="771"/>
      <c r="D43" s="771"/>
    </row>
    <row r="44" spans="2:4" ht="80.25" customHeight="1" x14ac:dyDescent="0.35">
      <c r="B44" s="772" t="s">
        <v>1460</v>
      </c>
      <c r="C44" s="773"/>
      <c r="D44" s="774"/>
    </row>
    <row r="45" spans="2:4" ht="12.75" customHeight="1" x14ac:dyDescent="0.35">
      <c r="B45" s="345" t="str">
        <f>HYPERLINK("https://www.gov.uk/government/publications/the-uk-forestry-standard","The UK Forestry Standard - GOV.UK")</f>
        <v>The UK Forestry Standard - GOV.UK</v>
      </c>
      <c r="C45" s="268"/>
      <c r="D45" s="270"/>
    </row>
    <row r="46" spans="2:4" ht="21.75" customHeight="1" x14ac:dyDescent="0.35">
      <c r="B46" s="523" t="s">
        <v>1461</v>
      </c>
      <c r="C46" s="268"/>
      <c r="D46" s="270"/>
    </row>
    <row r="47" spans="2:4" s="357" customFormat="1" ht="17.149999999999999" customHeight="1" x14ac:dyDescent="0.35">
      <c r="B47" s="318" t="str">
        <f>HYPERLINK("https://www.gov.uk/government/publications/a-guide-to-planning-new-woodland-in-england","A guide to planning new woodland in England - GOV.UK")</f>
        <v>A guide to planning new woodland in England - GOV.UK</v>
      </c>
      <c r="C47" s="267"/>
      <c r="D47" s="269"/>
    </row>
    <row r="48" spans="2:4" s="357" customFormat="1" ht="17.149999999999999" customHeight="1" x14ac:dyDescent="0.35">
      <c r="B48" s="319" t="str">
        <f>HYPERLINK("https://www.gov.uk/government/publications/design-techniques-for-forest-management-planning-practice-guide","Design techniques for forest management planning: practice guide - GOV.UK")</f>
        <v>Design techniques for forest management planning: practice guide - GOV.UK</v>
      </c>
      <c r="C48" s="273"/>
      <c r="D48" s="274"/>
    </row>
    <row r="49" spans="2:4" ht="18" customHeight="1" x14ac:dyDescent="0.35"/>
    <row r="50" spans="2:4" ht="30" hidden="1" customHeight="1" x14ac:dyDescent="0.35"/>
    <row r="51" spans="2:4" ht="29.15" hidden="1" customHeight="1" x14ac:dyDescent="0.35"/>
    <row r="52" spans="2:4" ht="14.5" hidden="1" x14ac:dyDescent="0.35">
      <c r="B52" s="435"/>
      <c r="C52" s="435"/>
      <c r="D52" s="435"/>
    </row>
    <row r="53" spans="2:4" ht="14.5" hidden="1" customHeight="1" x14ac:dyDescent="0.35">
      <c r="B53" s="435"/>
      <c r="C53" s="435"/>
      <c r="D53" s="435"/>
    </row>
    <row r="54" spans="2:4" ht="14.5" hidden="1" customHeight="1" x14ac:dyDescent="0.35">
      <c r="B54" s="435"/>
      <c r="C54" s="435"/>
      <c r="D54" s="435"/>
    </row>
    <row r="55" spans="2:4" ht="14.5" hidden="1" x14ac:dyDescent="0.35">
      <c r="B55" s="435"/>
      <c r="C55" s="435"/>
      <c r="D55" s="435"/>
    </row>
    <row r="56" spans="2:4" ht="14.5" hidden="1" x14ac:dyDescent="0.35">
      <c r="B56" s="435"/>
      <c r="C56" s="435"/>
      <c r="D56" s="435"/>
    </row>
    <row r="57" spans="2:4" ht="14.5" hidden="1" x14ac:dyDescent="0.35">
      <c r="B57" s="435"/>
      <c r="C57" s="435"/>
      <c r="D57" s="435"/>
    </row>
    <row r="58" spans="2:4" ht="14.5" hidden="1" x14ac:dyDescent="0.35">
      <c r="B58" s="435"/>
      <c r="C58" s="435"/>
      <c r="D58" s="435"/>
    </row>
    <row r="59" spans="2:4" ht="14.5" hidden="1" x14ac:dyDescent="0.35">
      <c r="B59" s="435"/>
      <c r="C59" s="435"/>
      <c r="D59" s="435"/>
    </row>
    <row r="60" spans="2:4" ht="14.5" hidden="1" x14ac:dyDescent="0.35">
      <c r="B60" s="435"/>
      <c r="C60" s="435"/>
      <c r="D60" s="435"/>
    </row>
    <row r="61" spans="2:4" ht="14.5" hidden="1" x14ac:dyDescent="0.35">
      <c r="B61" s="435"/>
      <c r="C61" s="435"/>
      <c r="D61" s="435"/>
    </row>
    <row r="62" spans="2:4" ht="14.5" hidden="1" customHeight="1" x14ac:dyDescent="0.35">
      <c r="B62" s="435"/>
      <c r="C62" s="435"/>
      <c r="D62" s="435"/>
    </row>
    <row r="63" spans="2:4" ht="14.5" hidden="1" x14ac:dyDescent="0.35">
      <c r="B63" s="435"/>
      <c r="C63" s="435"/>
      <c r="D63" s="435"/>
    </row>
    <row r="64" spans="2:4" ht="14.5" hidden="1" x14ac:dyDescent="0.35">
      <c r="B64" s="435"/>
      <c r="C64" s="435"/>
      <c r="D64" s="435"/>
    </row>
    <row r="65" spans="2:4" ht="14.5" hidden="1" x14ac:dyDescent="0.35">
      <c r="B65" s="435"/>
      <c r="C65" s="435"/>
      <c r="D65" s="435"/>
    </row>
    <row r="66" spans="2:4" ht="14.5" hidden="1" x14ac:dyDescent="0.35">
      <c r="B66" s="435"/>
      <c r="C66" s="435"/>
      <c r="D66" s="435"/>
    </row>
    <row r="67" spans="2:4" ht="14.5" hidden="1" x14ac:dyDescent="0.35">
      <c r="B67" s="435"/>
      <c r="C67" s="435"/>
      <c r="D67" s="435"/>
    </row>
    <row r="68" spans="2:4" ht="14.5" hidden="1" x14ac:dyDescent="0.35">
      <c r="B68" s="435"/>
      <c r="C68" s="435"/>
      <c r="D68" s="435"/>
    </row>
    <row r="69" spans="2:4" ht="14.5" hidden="1" x14ac:dyDescent="0.35">
      <c r="B69" s="435"/>
      <c r="C69" s="435"/>
      <c r="D69" s="435"/>
    </row>
    <row r="70" spans="2:4" ht="14.5" hidden="1" x14ac:dyDescent="0.35">
      <c r="B70" s="435"/>
      <c r="C70" s="435"/>
      <c r="D70" s="435"/>
    </row>
    <row r="71" spans="2:4" ht="14.5" hidden="1" customHeight="1" x14ac:dyDescent="0.35">
      <c r="B71" s="435"/>
      <c r="C71" s="435"/>
      <c r="D71" s="435"/>
    </row>
    <row r="72" spans="2:4" ht="14.5" hidden="1" x14ac:dyDescent="0.35">
      <c r="B72" s="435"/>
      <c r="C72" s="435"/>
      <c r="D72" s="435"/>
    </row>
    <row r="73" spans="2:4" ht="14.5" hidden="1" x14ac:dyDescent="0.35">
      <c r="B73" s="435"/>
      <c r="C73" s="435"/>
      <c r="D73" s="435"/>
    </row>
    <row r="74" spans="2:4" ht="14.5" hidden="1" x14ac:dyDescent="0.35">
      <c r="B74" s="435"/>
      <c r="C74" s="435"/>
      <c r="D74" s="435"/>
    </row>
    <row r="75" spans="2:4" ht="14.5" hidden="1" x14ac:dyDescent="0.35">
      <c r="B75" s="435"/>
      <c r="C75" s="435"/>
      <c r="D75" s="435"/>
    </row>
    <row r="76" spans="2:4" ht="14.5" hidden="1" x14ac:dyDescent="0.35">
      <c r="B76" s="435"/>
      <c r="C76" s="435"/>
      <c r="D76" s="435"/>
    </row>
    <row r="77" spans="2:4" ht="14.5" hidden="1" x14ac:dyDescent="0.35">
      <c r="B77" s="435"/>
      <c r="C77" s="435"/>
      <c r="D77" s="435"/>
    </row>
    <row r="78" spans="2:4" ht="14.5" hidden="1" x14ac:dyDescent="0.35">
      <c r="B78" s="435"/>
      <c r="C78" s="435"/>
      <c r="D78" s="435"/>
    </row>
    <row r="79" spans="2:4" ht="14.5" hidden="1" x14ac:dyDescent="0.35">
      <c r="B79" s="435"/>
      <c r="C79" s="435"/>
      <c r="D79" s="435"/>
    </row>
    <row r="80" spans="2:4" ht="14.5" hidden="1" x14ac:dyDescent="0.35">
      <c r="B80" s="435"/>
      <c r="C80" s="435"/>
      <c r="D80" s="435"/>
    </row>
    <row r="81" spans="2:4" ht="14.5" hidden="1" x14ac:dyDescent="0.35">
      <c r="B81" s="435"/>
      <c r="C81" s="435"/>
      <c r="D81" s="435"/>
    </row>
    <row r="82" spans="2:4" ht="14.5" hidden="1" x14ac:dyDescent="0.35">
      <c r="B82" s="435"/>
      <c r="C82" s="435"/>
      <c r="D82" s="435"/>
    </row>
    <row r="83" spans="2:4" ht="14.5" hidden="1" x14ac:dyDescent="0.35">
      <c r="B83" s="435"/>
      <c r="C83" s="435"/>
      <c r="D83" s="435"/>
    </row>
    <row r="84" spans="2:4" ht="14.5" hidden="1" x14ac:dyDescent="0.35">
      <c r="B84" s="435"/>
      <c r="C84" s="435"/>
      <c r="D84" s="435"/>
    </row>
  </sheetData>
  <sheetProtection algorithmName="SHA-512" hashValue="BL19bdTmxM9u9tpr4+LWVaSiyLVy3ajPgNbYbOlOoGh2bca1o3TYKxhGVUgr5WBxdxYTY5FnSXK1EQD2wDBj+w==" saltValue="/6Qdo5yo6lQVpxQdDZAGFA==" spinCount="100000" sheet="1" objects="1" scenarios="1"/>
  <mergeCells count="11">
    <mergeCell ref="B44:D44"/>
    <mergeCell ref="B43:D43"/>
    <mergeCell ref="B4:D4"/>
    <mergeCell ref="B9:D9"/>
    <mergeCell ref="B10:D10"/>
    <mergeCell ref="B25:D25"/>
    <mergeCell ref="B26:D26"/>
    <mergeCell ref="B32:D32"/>
    <mergeCell ref="B28:D28"/>
    <mergeCell ref="B29:D29"/>
    <mergeCell ref="B30:D30"/>
  </mergeCells>
  <conditionalFormatting sqref="B14:D23 B25:D26">
    <cfRule type="containsBlanks" dxfId="23" priority="3">
      <formula>LEN(TRIM(B14))=0</formula>
    </cfRule>
  </conditionalFormatting>
  <conditionalFormatting sqref="B28:D29 B30">
    <cfRule type="containsBlanks" dxfId="22" priority="1">
      <formula>LEN(TRIM(B28))=0</formula>
    </cfRule>
  </conditionalFormatting>
  <conditionalFormatting sqref="C34:D41">
    <cfRule type="containsBlanks" dxfId="21" priority="2">
      <formula>LEN(TRIM(C34))=0</formula>
    </cfRule>
  </conditionalFormatting>
  <hyperlinks>
    <hyperlink ref="B45" r:id="rId1" display="https://www.gov.uk/government/publications/the-uk-forestry-standard" xr:uid="{36DFE98F-0680-4C73-801B-E5BB8F68CCD1}"/>
    <hyperlink ref="B47" r:id="rId2" display="https://www.gov.uk/government/publications/a-guide-to-planning-new-woodland-in-england" xr:uid="{F379F847-333E-42AA-9F76-92A0994A16CB}"/>
    <hyperlink ref="B48" r:id="rId3" display="https://www.gov.uk/government/publications/design-techniques-for-forest-management-planning-practice-guide" xr:uid="{308B6AD8-EB1C-4F6E-BECD-6852C991E320}"/>
  </hyperlinks>
  <pageMargins left="0.70866141732283472" right="0.70866141732283472" top="0.74803149606299213" bottom="0.74803149606299213" header="0.31496062992125984" footer="0.31496062992125984"/>
  <pageSetup paperSize="9" scale="52" orientation="portrait" r:id="rId4"/>
  <drawing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B5836-4B91-439B-BF5D-9A2CF39630EC}">
  <sheetPr codeName="Sheet14">
    <tabColor rgb="FF007390"/>
    <pageSetUpPr fitToPage="1"/>
  </sheetPr>
  <dimension ref="A1:G70"/>
  <sheetViews>
    <sheetView showGridLines="0" zoomScaleNormal="100" workbookViewId="0">
      <selection activeCell="A4" sqref="A1:XFD1048576"/>
    </sheetView>
  </sheetViews>
  <sheetFormatPr defaultColWidth="0" defaultRowHeight="14.5" zeroHeight="1" x14ac:dyDescent="0.35"/>
  <cols>
    <col min="1" max="1" width="3" customWidth="1"/>
    <col min="2" max="2" width="65" customWidth="1"/>
    <col min="3" max="3" width="46.54296875" customWidth="1"/>
    <col min="4" max="4" width="45.81640625" customWidth="1"/>
    <col min="5" max="5" width="5.26953125" customWidth="1"/>
    <col min="6" max="7" width="0" hidden="1" customWidth="1"/>
    <col min="8" max="16384" width="8.7265625" hidden="1"/>
  </cols>
  <sheetData>
    <row r="1" spans="2:4" ht="22" customHeight="1" x14ac:dyDescent="0.35"/>
    <row r="2" spans="2:4" ht="29.15" customHeight="1" x14ac:dyDescent="0.45">
      <c r="B2" s="508" t="s">
        <v>276</v>
      </c>
      <c r="C2" s="508"/>
    </row>
    <row r="3" spans="2:4" ht="11.5" customHeight="1" x14ac:dyDescent="0.45">
      <c r="B3" s="508"/>
      <c r="C3" s="508"/>
    </row>
    <row r="4" spans="2:4" s="176" customFormat="1" ht="87.75" customHeight="1" x14ac:dyDescent="0.35">
      <c r="B4" s="775" t="s">
        <v>1462</v>
      </c>
      <c r="C4" s="775"/>
      <c r="D4" s="775"/>
    </row>
    <row r="5" spans="2:4" x14ac:dyDescent="0.35">
      <c r="B5" s="480"/>
      <c r="C5" s="480"/>
    </row>
    <row r="6" spans="2:4" x14ac:dyDescent="0.35">
      <c r="B6" s="3" t="s">
        <v>78</v>
      </c>
      <c r="C6" s="159" t="str">
        <f>IF(ISBLANK('Site Details'!C6),"",'Site Details'!C6)</f>
        <v/>
      </c>
    </row>
    <row r="7" spans="2:4" x14ac:dyDescent="0.35">
      <c r="B7" s="3" t="s">
        <v>64</v>
      </c>
      <c r="C7" s="159" t="str">
        <f>IF(ISBLANK('Site Details'!C7),"",'Site Details'!C7)</f>
        <v/>
      </c>
    </row>
    <row r="8" spans="2:4" x14ac:dyDescent="0.35">
      <c r="B8" s="480"/>
      <c r="C8" s="480"/>
    </row>
    <row r="9" spans="2:4" ht="15" x14ac:dyDescent="0.35">
      <c r="B9" s="787" t="s">
        <v>277</v>
      </c>
      <c r="C9" s="788"/>
      <c r="D9" s="789"/>
    </row>
    <row r="10" spans="2:4" ht="15" x14ac:dyDescent="0.35">
      <c r="B10" s="784" t="s">
        <v>278</v>
      </c>
      <c r="C10" s="785"/>
      <c r="D10" s="786"/>
    </row>
    <row r="11" spans="2:4" ht="75" customHeight="1" x14ac:dyDescent="0.35">
      <c r="B11" s="790"/>
      <c r="C11" s="791"/>
      <c r="D11" s="792"/>
    </row>
    <row r="12" spans="2:4" ht="15.65" customHeight="1" x14ac:dyDescent="0.35"/>
    <row r="13" spans="2:4" ht="15" x14ac:dyDescent="0.35">
      <c r="B13" s="787" t="s">
        <v>279</v>
      </c>
      <c r="C13" s="788"/>
      <c r="D13" s="789"/>
    </row>
    <row r="14" spans="2:4" ht="28.5" x14ac:dyDescent="0.35">
      <c r="B14" s="534" t="s">
        <v>280</v>
      </c>
      <c r="C14" s="534" t="s">
        <v>281</v>
      </c>
      <c r="D14" s="538" t="s">
        <v>282</v>
      </c>
    </row>
    <row r="15" spans="2:4" x14ac:dyDescent="0.35">
      <c r="B15" s="535" t="s">
        <v>229</v>
      </c>
      <c r="C15" s="530"/>
      <c r="D15" s="530"/>
    </row>
    <row r="16" spans="2:4" x14ac:dyDescent="0.35">
      <c r="B16" s="535" t="s">
        <v>283</v>
      </c>
      <c r="C16" s="530"/>
      <c r="D16" s="530"/>
    </row>
    <row r="17" spans="2:4" x14ac:dyDescent="0.35">
      <c r="B17" s="535" t="s">
        <v>164</v>
      </c>
      <c r="C17" s="530"/>
      <c r="D17" s="530"/>
    </row>
    <row r="18" spans="2:4" x14ac:dyDescent="0.35">
      <c r="B18" s="535" t="s">
        <v>231</v>
      </c>
      <c r="C18" s="530"/>
      <c r="D18" s="530"/>
    </row>
    <row r="19" spans="2:4" x14ac:dyDescent="0.35">
      <c r="B19" s="537" t="s">
        <v>260</v>
      </c>
      <c r="C19" s="530"/>
      <c r="D19" s="530"/>
    </row>
    <row r="20" spans="2:4" x14ac:dyDescent="0.35">
      <c r="B20" s="535" t="s">
        <v>284</v>
      </c>
      <c r="C20" s="530"/>
      <c r="D20" s="530"/>
    </row>
    <row r="21" spans="2:4" x14ac:dyDescent="0.35">
      <c r="B21" s="535" t="s">
        <v>285</v>
      </c>
      <c r="C21" s="530"/>
      <c r="D21" s="530"/>
    </row>
    <row r="22" spans="2:4" x14ac:dyDescent="0.35">
      <c r="B22" s="535" t="s">
        <v>286</v>
      </c>
      <c r="C22" s="530"/>
      <c r="D22" s="530"/>
    </row>
    <row r="23" spans="2:4" x14ac:dyDescent="0.35">
      <c r="B23" s="535" t="s">
        <v>287</v>
      </c>
      <c r="C23" s="530"/>
      <c r="D23" s="530"/>
    </row>
    <row r="24" spans="2:4" x14ac:dyDescent="0.35">
      <c r="B24" s="539"/>
    </row>
    <row r="25" spans="2:4" ht="15" x14ac:dyDescent="0.35">
      <c r="B25" s="776" t="s">
        <v>288</v>
      </c>
      <c r="C25" s="776"/>
      <c r="D25" s="776"/>
    </row>
    <row r="26" spans="2:4" ht="15" x14ac:dyDescent="0.35">
      <c r="B26" s="534" t="s">
        <v>256</v>
      </c>
      <c r="C26" s="793" t="s">
        <v>289</v>
      </c>
      <c r="D26" s="794"/>
    </row>
    <row r="27" spans="2:4" ht="168" customHeight="1" x14ac:dyDescent="0.35">
      <c r="B27" s="540" t="s">
        <v>1474</v>
      </c>
      <c r="C27" s="714"/>
      <c r="D27" s="715"/>
    </row>
    <row r="28" spans="2:4" ht="202.5" customHeight="1" x14ac:dyDescent="0.35">
      <c r="B28" s="541" t="s">
        <v>290</v>
      </c>
      <c r="C28" s="714"/>
      <c r="D28" s="715"/>
    </row>
    <row r="29" spans="2:4" ht="213" customHeight="1" x14ac:dyDescent="0.35">
      <c r="B29" s="535" t="s">
        <v>291</v>
      </c>
      <c r="C29" s="714"/>
      <c r="D29" s="715"/>
    </row>
    <row r="30" spans="2:4" ht="133.5" customHeight="1" x14ac:dyDescent="0.35">
      <c r="B30" s="535" t="s">
        <v>292</v>
      </c>
      <c r="C30" s="714"/>
      <c r="D30" s="715"/>
    </row>
    <row r="31" spans="2:4" ht="120.65" customHeight="1" x14ac:dyDescent="0.35">
      <c r="B31" s="535" t="s">
        <v>1486</v>
      </c>
      <c r="C31" s="714"/>
      <c r="D31" s="715"/>
    </row>
    <row r="32" spans="2:4" ht="230.25" customHeight="1" x14ac:dyDescent="0.35">
      <c r="B32" s="541" t="s">
        <v>1488</v>
      </c>
      <c r="C32" s="714"/>
      <c r="D32" s="715"/>
    </row>
    <row r="33" spans="2:4" ht="125.25" customHeight="1" x14ac:dyDescent="0.35">
      <c r="B33" s="541" t="s">
        <v>1487</v>
      </c>
      <c r="C33" s="714"/>
      <c r="D33" s="715"/>
    </row>
    <row r="34" spans="2:4" ht="80.150000000000006" customHeight="1" x14ac:dyDescent="0.35">
      <c r="B34" s="542" t="s">
        <v>293</v>
      </c>
      <c r="C34" s="768"/>
      <c r="D34" s="768"/>
    </row>
    <row r="35" spans="2:4" x14ac:dyDescent="0.35">
      <c r="B35" s="435"/>
      <c r="C35" s="435"/>
    </row>
    <row r="36" spans="2:4" ht="17.149999999999999" customHeight="1" x14ac:dyDescent="0.35">
      <c r="B36" s="776" t="s">
        <v>46</v>
      </c>
      <c r="C36" s="776"/>
      <c r="D36" s="776"/>
    </row>
    <row r="37" spans="2:4" ht="97.5" customHeight="1" x14ac:dyDescent="0.35">
      <c r="B37" s="769" t="s">
        <v>294</v>
      </c>
      <c r="C37" s="769"/>
      <c r="D37" s="769"/>
    </row>
    <row r="38" spans="2:4" ht="22.5" customHeight="1" x14ac:dyDescent="0.35">
      <c r="B38" s="435"/>
      <c r="C38" s="435"/>
    </row>
    <row r="39" spans="2:4" ht="14.5" hidden="1" customHeight="1" x14ac:dyDescent="0.35">
      <c r="B39" s="435"/>
      <c r="C39" s="435"/>
    </row>
    <row r="40" spans="2:4" ht="14.5" hidden="1" customHeight="1" x14ac:dyDescent="0.35">
      <c r="B40" s="435"/>
      <c r="C40" s="435"/>
    </row>
    <row r="41" spans="2:4" hidden="1" x14ac:dyDescent="0.35">
      <c r="B41" s="435"/>
      <c r="C41" s="435"/>
    </row>
    <row r="42" spans="2:4" hidden="1" x14ac:dyDescent="0.35">
      <c r="B42" s="435"/>
      <c r="C42" s="435"/>
    </row>
    <row r="43" spans="2:4" hidden="1" x14ac:dyDescent="0.35">
      <c r="B43" s="435"/>
      <c r="C43" s="435"/>
    </row>
    <row r="44" spans="2:4" hidden="1" x14ac:dyDescent="0.35">
      <c r="B44" s="435"/>
      <c r="C44" s="435"/>
    </row>
    <row r="45" spans="2:4" hidden="1" x14ac:dyDescent="0.35">
      <c r="B45" s="435"/>
      <c r="C45" s="435"/>
    </row>
    <row r="46" spans="2:4" hidden="1" x14ac:dyDescent="0.35">
      <c r="B46" s="435"/>
      <c r="C46" s="435"/>
    </row>
    <row r="47" spans="2:4" hidden="1" x14ac:dyDescent="0.35">
      <c r="B47" s="435"/>
      <c r="C47" s="435"/>
    </row>
    <row r="48" spans="2:4" ht="14.5" hidden="1" customHeight="1" x14ac:dyDescent="0.35">
      <c r="B48" s="435"/>
      <c r="C48" s="435"/>
    </row>
    <row r="49" spans="2:3" hidden="1" x14ac:dyDescent="0.35">
      <c r="B49" s="435"/>
      <c r="C49" s="435"/>
    </row>
    <row r="50" spans="2:3" hidden="1" x14ac:dyDescent="0.35">
      <c r="B50" s="435"/>
      <c r="C50" s="435"/>
    </row>
    <row r="51" spans="2:3" hidden="1" x14ac:dyDescent="0.35">
      <c r="B51" s="435"/>
      <c r="C51" s="435"/>
    </row>
    <row r="52" spans="2:3" hidden="1" x14ac:dyDescent="0.35">
      <c r="B52" s="435"/>
      <c r="C52" s="435"/>
    </row>
    <row r="53" spans="2:3" hidden="1" x14ac:dyDescent="0.35">
      <c r="B53" s="435"/>
      <c r="C53" s="435"/>
    </row>
    <row r="54" spans="2:3" hidden="1" x14ac:dyDescent="0.35">
      <c r="B54" s="435"/>
      <c r="C54" s="435"/>
    </row>
    <row r="55" spans="2:3" hidden="1" x14ac:dyDescent="0.35">
      <c r="B55" s="435"/>
      <c r="C55" s="435"/>
    </row>
    <row r="56" spans="2:3" hidden="1" x14ac:dyDescent="0.35">
      <c r="B56" s="435"/>
      <c r="C56" s="435"/>
    </row>
    <row r="57" spans="2:3" ht="14.5" hidden="1" customHeight="1" x14ac:dyDescent="0.35">
      <c r="B57" s="435"/>
      <c r="C57" s="435"/>
    </row>
    <row r="58" spans="2:3" hidden="1" x14ac:dyDescent="0.35">
      <c r="B58" s="435"/>
      <c r="C58" s="435"/>
    </row>
    <row r="59" spans="2:3" hidden="1" x14ac:dyDescent="0.35">
      <c r="B59" s="435"/>
      <c r="C59" s="435"/>
    </row>
    <row r="60" spans="2:3" hidden="1" x14ac:dyDescent="0.35">
      <c r="B60" s="435"/>
      <c r="C60" s="435"/>
    </row>
    <row r="61" spans="2:3" hidden="1" x14ac:dyDescent="0.35">
      <c r="B61" s="435"/>
      <c r="C61" s="435"/>
    </row>
    <row r="62" spans="2:3" hidden="1" x14ac:dyDescent="0.35">
      <c r="B62" s="435"/>
      <c r="C62" s="435"/>
    </row>
    <row r="63" spans="2:3" hidden="1" x14ac:dyDescent="0.35">
      <c r="B63" s="435"/>
      <c r="C63" s="435"/>
    </row>
    <row r="64" spans="2:3" hidden="1" x14ac:dyDescent="0.35">
      <c r="B64" s="435"/>
      <c r="C64" s="435"/>
    </row>
    <row r="65" spans="2:3" hidden="1" x14ac:dyDescent="0.35">
      <c r="B65" s="435"/>
      <c r="C65" s="435"/>
    </row>
    <row r="66" spans="2:3" hidden="1" x14ac:dyDescent="0.35">
      <c r="B66" s="435"/>
      <c r="C66" s="435"/>
    </row>
    <row r="67" spans="2:3" hidden="1" x14ac:dyDescent="0.35">
      <c r="B67" s="435"/>
      <c r="C67" s="435"/>
    </row>
    <row r="68" spans="2:3" hidden="1" x14ac:dyDescent="0.35">
      <c r="B68" s="435"/>
      <c r="C68" s="435"/>
    </row>
    <row r="69" spans="2:3" hidden="1" x14ac:dyDescent="0.35">
      <c r="B69" s="435"/>
      <c r="C69" s="435"/>
    </row>
    <row r="70" spans="2:3" hidden="1" x14ac:dyDescent="0.35">
      <c r="B70" s="435"/>
      <c r="C70" s="435"/>
    </row>
  </sheetData>
  <sheetProtection algorithmName="SHA-512" hashValue="BtSGl/yUibtpyX3qRXGCGoxBYuiS4yK9J5C+SbQXqGcYTi3OgWbwZiPa2QtwMhhlWpTniOjy3GzfLRsoHiL1SA==" saltValue="m5GleoIqh5h8VVD4iCCARg==" spinCount="100000" sheet="1" objects="1" scenarios="1"/>
  <mergeCells count="17">
    <mergeCell ref="B37:D37"/>
    <mergeCell ref="B36:D36"/>
    <mergeCell ref="B25:D25"/>
    <mergeCell ref="C26:D26"/>
    <mergeCell ref="C34:D34"/>
    <mergeCell ref="C27:D27"/>
    <mergeCell ref="C33:D33"/>
    <mergeCell ref="B4:D4"/>
    <mergeCell ref="C28:D28"/>
    <mergeCell ref="C29:D29"/>
    <mergeCell ref="C30:D30"/>
    <mergeCell ref="C32:D32"/>
    <mergeCell ref="B10:D10"/>
    <mergeCell ref="B13:D13"/>
    <mergeCell ref="B11:D11"/>
    <mergeCell ref="B9:D9"/>
    <mergeCell ref="C31:D31"/>
  </mergeCells>
  <conditionalFormatting sqref="B11 C15:D23 C27:C34">
    <cfRule type="containsBlanks" dxfId="20" priority="2">
      <formula>LEN(TRIM(B11))=0</formula>
    </cfRule>
  </conditionalFormatting>
  <pageMargins left="0.70866141732283472" right="0.70866141732283472" top="0.74803149606299213" bottom="0.74803149606299213" header="0.31496062992125984" footer="0.31496062992125984"/>
  <pageSetup paperSize="9" scale="4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24243-AAFA-4A4F-869F-A386099A8106}">
  <sheetPr codeName="Sheet15">
    <tabColor rgb="FF007390"/>
    <pageSetUpPr fitToPage="1"/>
  </sheetPr>
  <dimension ref="A1:Z56"/>
  <sheetViews>
    <sheetView showGridLines="0" zoomScaleNormal="100" workbookViewId="0">
      <selection sqref="A1:XFD1048576"/>
    </sheetView>
  </sheetViews>
  <sheetFormatPr defaultColWidth="0" defaultRowHeight="14.5" zeroHeight="1" x14ac:dyDescent="0.35"/>
  <cols>
    <col min="1" max="1" width="3.7265625" customWidth="1"/>
    <col min="2" max="2" width="52.54296875" customWidth="1"/>
    <col min="3" max="3" width="25.1796875" customWidth="1"/>
    <col min="4" max="4" width="27.54296875" customWidth="1"/>
    <col min="5" max="5" width="45.1796875" customWidth="1"/>
    <col min="6" max="6" width="46.26953125" customWidth="1"/>
    <col min="7" max="7" width="52.81640625" customWidth="1"/>
    <col min="8" max="8" width="5.453125" customWidth="1"/>
    <col min="9" max="26" width="0" hidden="1" customWidth="1"/>
    <col min="27" max="16384" width="8.7265625" hidden="1"/>
  </cols>
  <sheetData>
    <row r="1" spans="2:21" x14ac:dyDescent="0.35"/>
    <row r="2" spans="2:21" ht="39.65" customHeight="1" x14ac:dyDescent="0.45">
      <c r="B2" s="508" t="s">
        <v>295</v>
      </c>
      <c r="C2" s="508"/>
      <c r="D2" s="508"/>
      <c r="E2" s="508"/>
      <c r="F2" s="508"/>
      <c r="G2" s="508"/>
    </row>
    <row r="3" spans="2:21" ht="11.15" customHeight="1" x14ac:dyDescent="0.45">
      <c r="B3" s="508"/>
      <c r="C3" s="508"/>
      <c r="D3" s="508"/>
      <c r="E3" s="508"/>
      <c r="F3" s="508"/>
      <c r="G3" s="508"/>
    </row>
    <row r="4" spans="2:21" ht="132" customHeight="1" x14ac:dyDescent="0.35">
      <c r="B4" s="618" t="s">
        <v>1463</v>
      </c>
      <c r="C4" s="619"/>
      <c r="D4" s="619"/>
      <c r="E4" s="619"/>
      <c r="F4" s="619"/>
      <c r="G4" s="683"/>
    </row>
    <row r="5" spans="2:21" s="357" customFormat="1" ht="22.5" customHeight="1" x14ac:dyDescent="0.35">
      <c r="B5" s="319" t="str">
        <f>HYPERLINK("https://www.gov.uk/government/publications/a-guide-to-planning-new-woodland-in-england","A guide to planning new woodland in England - GOV.UK")</f>
        <v>A guide to planning new woodland in England - GOV.UK</v>
      </c>
      <c r="C5" s="408"/>
      <c r="D5" s="408"/>
      <c r="E5" s="408"/>
      <c r="F5" s="408"/>
      <c r="G5" s="409"/>
    </row>
    <row r="6" spans="2:21" x14ac:dyDescent="0.35">
      <c r="B6" s="444"/>
      <c r="C6" s="444"/>
      <c r="D6" s="444"/>
      <c r="E6" s="444"/>
      <c r="F6" s="444"/>
      <c r="G6" s="444"/>
    </row>
    <row r="7" spans="2:21" ht="18.75" customHeight="1" x14ac:dyDescent="0.35">
      <c r="B7" s="3" t="s">
        <v>78</v>
      </c>
      <c r="C7" s="799" t="str">
        <f>IF(ISBLANK('Site Details'!C6),"",'Site Details'!C6)</f>
        <v/>
      </c>
      <c r="D7" s="800"/>
    </row>
    <row r="8" spans="2:21" ht="22.5" customHeight="1" x14ac:dyDescent="0.35">
      <c r="B8" s="3" t="s">
        <v>64</v>
      </c>
      <c r="C8" s="799" t="str">
        <f>IF(ISBLANK('Site Details'!C7),"",'Site Details'!C7)</f>
        <v/>
      </c>
      <c r="D8" s="800" t="str">
        <f>IF(ISBLANK('Site Details'!D7),"",'Site Details'!D7)</f>
        <v/>
      </c>
    </row>
    <row r="9" spans="2:21" x14ac:dyDescent="0.35">
      <c r="B9" s="444"/>
      <c r="C9" s="444"/>
      <c r="D9" s="444"/>
      <c r="E9" s="444"/>
      <c r="F9" s="444"/>
      <c r="G9" s="444"/>
    </row>
    <row r="10" spans="2:21" ht="15" x14ac:dyDescent="0.35">
      <c r="B10" s="787" t="s">
        <v>296</v>
      </c>
      <c r="C10" s="788"/>
      <c r="D10" s="788"/>
      <c r="E10" s="788"/>
      <c r="F10" s="788"/>
      <c r="G10" s="788"/>
      <c r="P10" s="795"/>
      <c r="Q10" s="796"/>
      <c r="R10" s="796"/>
      <c r="S10" s="796"/>
      <c r="T10" s="796"/>
      <c r="U10" s="796"/>
    </row>
    <row r="11" spans="2:21" ht="45" x14ac:dyDescent="0.35">
      <c r="B11" s="534" t="s">
        <v>297</v>
      </c>
      <c r="C11" s="534" t="s">
        <v>298</v>
      </c>
      <c r="D11" s="534" t="s">
        <v>299</v>
      </c>
      <c r="E11" s="534" t="s">
        <v>300</v>
      </c>
      <c r="F11" s="534" t="s">
        <v>301</v>
      </c>
      <c r="G11" s="534" t="s">
        <v>302</v>
      </c>
      <c r="P11" s="795"/>
      <c r="Q11" s="796"/>
      <c r="R11" s="796"/>
      <c r="S11" s="796"/>
      <c r="T11" s="796"/>
      <c r="U11" s="796"/>
    </row>
    <row r="12" spans="2:21" x14ac:dyDescent="0.35">
      <c r="B12" s="543" t="str">
        <f>IF(ISBLANK('Access &amp; Local Interests'!B26),"",'Access &amp; Local Interests'!B26)</f>
        <v/>
      </c>
      <c r="C12" s="544" t="str">
        <f>IF(ISBLANK('Access &amp; Local Interests'!D26),"",'Access &amp; Local Interests'!D26)</f>
        <v/>
      </c>
      <c r="D12" s="511"/>
      <c r="E12" s="425"/>
      <c r="F12" s="425"/>
      <c r="G12" s="545"/>
      <c r="P12" s="795"/>
      <c r="Q12" s="796"/>
      <c r="R12" s="796"/>
      <c r="S12" s="796"/>
      <c r="T12" s="796"/>
      <c r="U12" s="796"/>
    </row>
    <row r="13" spans="2:21" x14ac:dyDescent="0.35">
      <c r="B13" s="543" t="str">
        <f>IF(ISBLANK('Access &amp; Local Interests'!B27),"",'Access &amp; Local Interests'!B27)</f>
        <v/>
      </c>
      <c r="C13" s="544" t="str">
        <f>IF(ISBLANK('Access &amp; Local Interests'!D27),"",'Access &amp; Local Interests'!D27)</f>
        <v/>
      </c>
      <c r="D13" s="511"/>
      <c r="E13" s="425"/>
      <c r="F13" s="425"/>
      <c r="G13" s="545"/>
      <c r="P13" s="797"/>
      <c r="Q13" s="798"/>
      <c r="R13" s="798"/>
      <c r="S13" s="798"/>
      <c r="T13" s="798"/>
      <c r="U13" s="798"/>
    </row>
    <row r="14" spans="2:21" x14ac:dyDescent="0.35">
      <c r="B14" s="543" t="str">
        <f>IF(ISBLANK('Access &amp; Local Interests'!B28),"",'Access &amp; Local Interests'!B28)</f>
        <v/>
      </c>
      <c r="C14" s="544" t="str">
        <f>IF(ISBLANK('Access &amp; Local Interests'!D28),"",'Access &amp; Local Interests'!D28)</f>
        <v/>
      </c>
      <c r="D14" s="511"/>
      <c r="E14" s="425"/>
      <c r="F14" s="425"/>
      <c r="G14" s="545"/>
    </row>
    <row r="15" spans="2:21" x14ac:dyDescent="0.35">
      <c r="B15" s="543" t="str">
        <f>IF(ISBLANK('Access &amp; Local Interests'!B29),"",'Access &amp; Local Interests'!B29)</f>
        <v/>
      </c>
      <c r="C15" s="544" t="str">
        <f>IF(ISBLANK('Access &amp; Local Interests'!D29),"",'Access &amp; Local Interests'!D29)</f>
        <v/>
      </c>
      <c r="D15" s="511"/>
      <c r="E15" s="425"/>
      <c r="F15" s="425"/>
      <c r="G15" s="545"/>
    </row>
    <row r="16" spans="2:21" x14ac:dyDescent="0.35">
      <c r="B16" s="543" t="str">
        <f>IF(ISBLANK('Access &amp; Local Interests'!B30),"",'Access &amp; Local Interests'!B30)</f>
        <v/>
      </c>
      <c r="C16" s="544" t="str">
        <f>IF(ISBLANK('Access &amp; Local Interests'!D30),"",'Access &amp; Local Interests'!D30)</f>
        <v/>
      </c>
      <c r="D16" s="511"/>
      <c r="E16" s="425"/>
      <c r="F16" s="425"/>
      <c r="G16" s="545"/>
    </row>
    <row r="17" spans="2:7" x14ac:dyDescent="0.35">
      <c r="B17" s="543" t="str">
        <f>IF(ISBLANK('Access &amp; Local Interests'!B31),"",'Access &amp; Local Interests'!B31)</f>
        <v/>
      </c>
      <c r="C17" s="544" t="str">
        <f>IF(ISBLANK('Access &amp; Local Interests'!D31),"",'Access &amp; Local Interests'!D31)</f>
        <v/>
      </c>
      <c r="D17" s="511"/>
      <c r="E17" s="425"/>
      <c r="F17" s="425"/>
      <c r="G17" s="545"/>
    </row>
    <row r="18" spans="2:7" x14ac:dyDescent="0.35">
      <c r="B18" s="543" t="str">
        <f>IF(ISBLANK('Access &amp; Local Interests'!B32),"",'Access &amp; Local Interests'!B32)</f>
        <v/>
      </c>
      <c r="C18" s="544" t="str">
        <f>IF(ISBLANK('Access &amp; Local Interests'!D32),"",'Access &amp; Local Interests'!D32)</f>
        <v/>
      </c>
      <c r="D18" s="511"/>
      <c r="E18" s="425"/>
      <c r="F18" s="425"/>
      <c r="G18" s="545"/>
    </row>
    <row r="19" spans="2:7" x14ac:dyDescent="0.35">
      <c r="B19" s="511"/>
      <c r="C19" s="546"/>
      <c r="D19" s="511"/>
      <c r="E19" s="425"/>
      <c r="F19" s="425"/>
      <c r="G19" s="545"/>
    </row>
    <row r="20" spans="2:7" x14ac:dyDescent="0.35">
      <c r="B20" s="511"/>
      <c r="C20" s="546"/>
      <c r="D20" s="511"/>
      <c r="E20" s="425"/>
      <c r="F20" s="425"/>
      <c r="G20" s="545"/>
    </row>
    <row r="21" spans="2:7" x14ac:dyDescent="0.35">
      <c r="B21" s="511"/>
      <c r="C21" s="546"/>
      <c r="D21" s="511"/>
      <c r="E21" s="425"/>
      <c r="F21" s="425"/>
      <c r="G21" s="545"/>
    </row>
    <row r="22" spans="2:7" x14ac:dyDescent="0.35">
      <c r="B22" s="511"/>
      <c r="C22" s="546"/>
      <c r="D22" s="511"/>
      <c r="E22" s="425"/>
      <c r="F22" s="425"/>
      <c r="G22" s="545"/>
    </row>
    <row r="23" spans="2:7" x14ac:dyDescent="0.35">
      <c r="B23" s="511"/>
      <c r="C23" s="546"/>
      <c r="D23" s="511"/>
      <c r="E23" s="425"/>
      <c r="F23" s="425"/>
      <c r="G23" s="545"/>
    </row>
    <row r="24" spans="2:7" x14ac:dyDescent="0.35">
      <c r="B24" s="511"/>
      <c r="C24" s="546"/>
      <c r="D24" s="511"/>
      <c r="E24" s="425"/>
      <c r="F24" s="425"/>
      <c r="G24" s="545"/>
    </row>
    <row r="25" spans="2:7" x14ac:dyDescent="0.35">
      <c r="B25" s="511"/>
      <c r="C25" s="546"/>
      <c r="D25" s="511"/>
      <c r="E25" s="425"/>
      <c r="F25" s="425"/>
      <c r="G25" s="545"/>
    </row>
    <row r="26" spans="2:7" x14ac:dyDescent="0.35">
      <c r="B26" s="511"/>
      <c r="C26" s="546"/>
      <c r="D26" s="511"/>
      <c r="E26" s="425"/>
      <c r="F26" s="425"/>
      <c r="G26" s="545"/>
    </row>
    <row r="27" spans="2:7" x14ac:dyDescent="0.35">
      <c r="B27" s="511"/>
      <c r="C27" s="546"/>
      <c r="D27" s="511"/>
      <c r="E27" s="425"/>
      <c r="F27" s="425"/>
      <c r="G27" s="545"/>
    </row>
    <row r="28" spans="2:7" x14ac:dyDescent="0.35">
      <c r="B28" s="511"/>
      <c r="C28" s="546"/>
      <c r="D28" s="511"/>
      <c r="E28" s="425"/>
      <c r="F28" s="425"/>
      <c r="G28" s="545"/>
    </row>
    <row r="29" spans="2:7" x14ac:dyDescent="0.35">
      <c r="B29" s="511"/>
      <c r="C29" s="546"/>
      <c r="D29" s="511"/>
      <c r="E29" s="425"/>
      <c r="F29" s="425"/>
      <c r="G29" s="545"/>
    </row>
    <row r="30" spans="2:7" x14ac:dyDescent="0.35">
      <c r="B30" s="511"/>
      <c r="C30" s="546"/>
      <c r="D30" s="511"/>
      <c r="E30" s="425"/>
      <c r="F30" s="425"/>
      <c r="G30" s="545"/>
    </row>
    <row r="31" spans="2:7" x14ac:dyDescent="0.35">
      <c r="B31" s="511"/>
      <c r="C31" s="546"/>
      <c r="D31" s="511"/>
      <c r="E31" s="425"/>
      <c r="F31" s="425"/>
      <c r="G31" s="545"/>
    </row>
    <row r="32" spans="2:7" x14ac:dyDescent="0.35">
      <c r="B32" s="511"/>
      <c r="C32" s="546"/>
      <c r="D32" s="511"/>
      <c r="E32" s="425"/>
      <c r="F32" s="425"/>
      <c r="G32" s="545"/>
    </row>
    <row r="33" spans="2:7" x14ac:dyDescent="0.35">
      <c r="B33" s="511"/>
      <c r="C33" s="546"/>
      <c r="D33" s="511"/>
      <c r="E33" s="425"/>
      <c r="F33" s="425"/>
      <c r="G33" s="545"/>
    </row>
    <row r="34" spans="2:7" x14ac:dyDescent="0.35">
      <c r="B34" s="511"/>
      <c r="C34" s="546"/>
      <c r="D34" s="511"/>
      <c r="E34" s="425"/>
      <c r="F34" s="425"/>
      <c r="G34" s="545"/>
    </row>
    <row r="35" spans="2:7" x14ac:dyDescent="0.35">
      <c r="B35" s="511"/>
      <c r="C35" s="546"/>
      <c r="D35" s="511"/>
      <c r="E35" s="425"/>
      <c r="F35" s="425"/>
      <c r="G35" s="545"/>
    </row>
    <row r="36" spans="2:7" x14ac:dyDescent="0.35">
      <c r="B36" s="511"/>
      <c r="C36" s="546"/>
      <c r="D36" s="511"/>
      <c r="E36" s="425"/>
      <c r="F36" s="425"/>
      <c r="G36" s="545"/>
    </row>
    <row r="37" spans="2:7" ht="24.65" customHeight="1" x14ac:dyDescent="0.35">
      <c r="B37" s="528"/>
      <c r="C37" s="547"/>
      <c r="D37" s="528"/>
      <c r="E37" s="528"/>
      <c r="F37" s="528"/>
      <c r="G37" s="528"/>
    </row>
    <row r="38" spans="2:7" hidden="1" x14ac:dyDescent="0.35">
      <c r="B38" s="528"/>
      <c r="C38" s="528"/>
      <c r="D38" s="528"/>
      <c r="E38" s="528"/>
      <c r="F38" s="528"/>
      <c r="G38" s="528"/>
    </row>
    <row r="39" spans="2:7" hidden="1" x14ac:dyDescent="0.35">
      <c r="B39" s="528"/>
      <c r="C39" s="528"/>
      <c r="D39" s="528"/>
      <c r="E39" s="528"/>
      <c r="F39" s="528"/>
      <c r="G39" s="528"/>
    </row>
    <row r="40" spans="2:7" hidden="1" x14ac:dyDescent="0.35">
      <c r="B40" s="528"/>
      <c r="C40" s="528"/>
      <c r="D40" s="528"/>
      <c r="E40" s="528"/>
      <c r="F40" s="528"/>
      <c r="G40" s="528"/>
    </row>
    <row r="41" spans="2:7" hidden="1" x14ac:dyDescent="0.35">
      <c r="B41" s="528"/>
      <c r="C41" s="528"/>
      <c r="D41" s="528"/>
      <c r="E41" s="528"/>
      <c r="F41" s="528"/>
      <c r="G41" s="528"/>
    </row>
    <row r="42" spans="2:7" ht="14.5" hidden="1" customHeight="1" x14ac:dyDescent="0.35">
      <c r="B42" s="528"/>
      <c r="C42" s="528"/>
      <c r="D42" s="528"/>
      <c r="E42" s="528"/>
      <c r="F42" s="528"/>
      <c r="G42" s="528"/>
    </row>
    <row r="43" spans="2:7" hidden="1" x14ac:dyDescent="0.35">
      <c r="B43" s="528"/>
      <c r="C43" s="528"/>
      <c r="D43" s="528"/>
      <c r="E43" s="528"/>
      <c r="F43" s="528"/>
      <c r="G43" s="528"/>
    </row>
    <row r="44" spans="2:7" hidden="1" x14ac:dyDescent="0.35">
      <c r="B44" s="528"/>
      <c r="C44" s="528"/>
      <c r="D44" s="528"/>
      <c r="E44" s="528"/>
      <c r="F44" s="528"/>
      <c r="G44" s="528"/>
    </row>
    <row r="45" spans="2:7" hidden="1" x14ac:dyDescent="0.35">
      <c r="B45" s="528"/>
      <c r="C45" s="528"/>
      <c r="D45" s="528"/>
      <c r="E45" s="528"/>
      <c r="F45" s="528"/>
      <c r="G45" s="528"/>
    </row>
    <row r="46" spans="2:7" hidden="1" x14ac:dyDescent="0.35">
      <c r="B46" s="528"/>
      <c r="C46" s="528"/>
      <c r="D46" s="528"/>
      <c r="E46" s="528"/>
      <c r="F46" s="528"/>
      <c r="G46" s="528"/>
    </row>
    <row r="47" spans="2:7" hidden="1" x14ac:dyDescent="0.35">
      <c r="B47" s="528"/>
      <c r="C47" s="528"/>
      <c r="D47" s="528"/>
      <c r="E47" s="528"/>
      <c r="F47" s="528"/>
      <c r="G47" s="528"/>
    </row>
    <row r="48" spans="2:7" hidden="1" x14ac:dyDescent="0.35">
      <c r="B48" s="528"/>
      <c r="C48" s="528"/>
      <c r="D48" s="528"/>
      <c r="E48" s="528"/>
      <c r="F48" s="528"/>
      <c r="G48" s="528"/>
    </row>
    <row r="49" spans="2:7" hidden="1" x14ac:dyDescent="0.35">
      <c r="B49" s="528"/>
      <c r="C49" s="528"/>
      <c r="D49" s="528"/>
      <c r="E49" s="528"/>
      <c r="F49" s="528"/>
      <c r="G49" s="528"/>
    </row>
    <row r="50" spans="2:7" hidden="1" x14ac:dyDescent="0.35">
      <c r="B50" s="528"/>
      <c r="C50" s="528"/>
      <c r="D50" s="528"/>
      <c r="E50" s="528"/>
      <c r="F50" s="528"/>
      <c r="G50" s="528"/>
    </row>
    <row r="51" spans="2:7" hidden="1" x14ac:dyDescent="0.35">
      <c r="B51" s="528"/>
      <c r="C51" s="528"/>
      <c r="D51" s="528"/>
      <c r="E51" s="528"/>
      <c r="F51" s="528"/>
      <c r="G51" s="528"/>
    </row>
    <row r="52" spans="2:7" hidden="1" x14ac:dyDescent="0.35">
      <c r="B52" s="528"/>
      <c r="C52" s="528"/>
      <c r="D52" s="528"/>
      <c r="E52" s="528"/>
      <c r="F52" s="528"/>
      <c r="G52" s="528"/>
    </row>
    <row r="53" spans="2:7" hidden="1" x14ac:dyDescent="0.35">
      <c r="B53" s="528"/>
      <c r="C53" s="528"/>
      <c r="D53" s="528"/>
      <c r="E53" s="528"/>
      <c r="F53" s="528"/>
      <c r="G53" s="528"/>
    </row>
    <row r="54" spans="2:7" hidden="1" x14ac:dyDescent="0.35">
      <c r="B54" s="528"/>
      <c r="C54" s="528"/>
      <c r="D54" s="528"/>
      <c r="E54" s="528"/>
      <c r="F54" s="528"/>
      <c r="G54" s="528"/>
    </row>
    <row r="55" spans="2:7" hidden="1" x14ac:dyDescent="0.35">
      <c r="B55" s="528"/>
      <c r="C55" s="528"/>
      <c r="D55" s="528"/>
      <c r="E55" s="528"/>
      <c r="F55" s="528"/>
      <c r="G55" s="528"/>
    </row>
    <row r="56" spans="2:7" hidden="1" x14ac:dyDescent="0.35">
      <c r="B56" s="521"/>
      <c r="C56" s="521"/>
      <c r="D56" s="521"/>
      <c r="E56" s="521"/>
      <c r="F56" s="521"/>
      <c r="G56" s="521"/>
    </row>
  </sheetData>
  <sheetProtection algorithmName="SHA-512" hashValue="eypxxiSTN6TZpvDd21ld65iklBPe3F7EdQ+fxMer6YD0gvYFG/pd0fIe/tUoWviKbxLVHJq0q1e33o+TIWriSw==" saltValue="ugBtdXqiuw+FaGPIH4NTjw==" spinCount="100000" sheet="1" objects="1" scenarios="1"/>
  <mergeCells count="5">
    <mergeCell ref="P10:U13"/>
    <mergeCell ref="B10:G10"/>
    <mergeCell ref="B4:G4"/>
    <mergeCell ref="C7:D7"/>
    <mergeCell ref="C8:D8"/>
  </mergeCells>
  <conditionalFormatting sqref="B12:G36">
    <cfRule type="containsBlanks" dxfId="19" priority="1">
      <formula>LEN(TRIM(B12))=0</formula>
    </cfRule>
  </conditionalFormatting>
  <hyperlinks>
    <hyperlink ref="B5" r:id="rId1" display="https://www.gov.uk/government/publications/a-guide-to-planning-new-woodland-in-england" xr:uid="{A7A5470C-F3BC-475B-B580-020F625A19F5}"/>
  </hyperlinks>
  <pageMargins left="0.70866141732283472" right="0.70866141732283472" top="0.74803149606299213" bottom="0.74803149606299213" header="0.31496062992125984" footer="0.31496062992125984"/>
  <pageSetup paperSize="9" scale="33" orientation="portrait" r:id="rId2"/>
  <ignoredErrors>
    <ignoredError sqref="B12:C12 B13:B18 C13:C18" unlockedFormula="1"/>
  </ignoredErrors>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1A8E5-4C1A-4AD2-93A6-92F9D29CA473}">
  <sheetPr codeName="Sheet16">
    <tabColor rgb="FFB94700"/>
    <pageSetUpPr fitToPage="1"/>
  </sheetPr>
  <dimension ref="A1:E62"/>
  <sheetViews>
    <sheetView showGridLines="0" zoomScaleNormal="100" workbookViewId="0">
      <selection sqref="A1:XFD1048576"/>
    </sheetView>
  </sheetViews>
  <sheetFormatPr defaultColWidth="0" defaultRowHeight="14.5" zeroHeight="1" x14ac:dyDescent="0.35"/>
  <cols>
    <col min="1" max="1" width="2" customWidth="1"/>
    <col min="2" max="2" width="54.81640625" customWidth="1"/>
    <col min="3" max="3" width="50.1796875" customWidth="1"/>
    <col min="4" max="4" width="48.81640625" customWidth="1"/>
    <col min="5" max="5" width="5.26953125" customWidth="1"/>
    <col min="6" max="16384" width="6.453125" hidden="1"/>
  </cols>
  <sheetData>
    <row r="1" spans="2:4" x14ac:dyDescent="0.35"/>
    <row r="2" spans="2:4" ht="36" customHeight="1" x14ac:dyDescent="0.45">
      <c r="B2" s="508" t="s">
        <v>303</v>
      </c>
      <c r="C2" s="508"/>
      <c r="D2" s="508"/>
    </row>
    <row r="3" spans="2:4" ht="17.5" x14ac:dyDescent="0.35">
      <c r="B3" s="548"/>
      <c r="C3" s="548"/>
      <c r="D3" s="548"/>
    </row>
    <row r="4" spans="2:4" s="357" customFormat="1" ht="198.75" customHeight="1" x14ac:dyDescent="0.35">
      <c r="B4" s="802" t="s">
        <v>1478</v>
      </c>
      <c r="C4" s="802"/>
      <c r="D4" s="802"/>
    </row>
    <row r="5" spans="2:4" x14ac:dyDescent="0.35">
      <c r="B5" s="444"/>
      <c r="C5" s="444"/>
      <c r="D5" s="444"/>
    </row>
    <row r="6" spans="2:4" ht="21" customHeight="1" x14ac:dyDescent="0.35">
      <c r="B6" s="3" t="s">
        <v>78</v>
      </c>
      <c r="C6" s="159" t="str">
        <f>IF(ISBLANK('Site Details'!C6),"",'Site Details'!C6)</f>
        <v/>
      </c>
    </row>
    <row r="7" spans="2:4" ht="21" customHeight="1" x14ac:dyDescent="0.35">
      <c r="B7" s="3" t="s">
        <v>64</v>
      </c>
      <c r="C7" s="159" t="str">
        <f>IF(ISBLANK('Site Details'!C7),"",'Site Details'!C7)</f>
        <v/>
      </c>
    </row>
    <row r="8" spans="2:4" ht="15.75" customHeight="1" x14ac:dyDescent="0.35">
      <c r="B8" s="549"/>
      <c r="C8" s="549"/>
      <c r="D8" s="549"/>
    </row>
    <row r="9" spans="2:4" ht="15.75" customHeight="1" x14ac:dyDescent="0.35">
      <c r="B9" s="809" t="s">
        <v>304</v>
      </c>
      <c r="C9" s="810"/>
      <c r="D9" s="811"/>
    </row>
    <row r="10" spans="2:4" ht="78" customHeight="1" x14ac:dyDescent="0.35">
      <c r="B10" s="601" t="s">
        <v>305</v>
      </c>
      <c r="C10" s="812"/>
      <c r="D10" s="813"/>
    </row>
    <row r="11" spans="2:4" ht="15.75" customHeight="1" x14ac:dyDescent="0.35">
      <c r="B11" s="435"/>
      <c r="C11" s="435"/>
      <c r="D11" s="435"/>
    </row>
    <row r="12" spans="2:4" ht="15.75" customHeight="1" x14ac:dyDescent="0.35">
      <c r="B12" s="803" t="s">
        <v>306</v>
      </c>
      <c r="C12" s="803"/>
      <c r="D12" s="803"/>
    </row>
    <row r="13" spans="2:4" ht="15.75" customHeight="1" x14ac:dyDescent="0.35">
      <c r="B13" s="769" t="s">
        <v>307</v>
      </c>
      <c r="C13" s="804"/>
      <c r="D13" s="804"/>
    </row>
    <row r="14" spans="2:4" ht="54.5" x14ac:dyDescent="0.35">
      <c r="B14" s="541" t="s">
        <v>1475</v>
      </c>
      <c r="C14" s="805"/>
      <c r="D14" s="806"/>
    </row>
    <row r="15" spans="2:4" ht="27.5" x14ac:dyDescent="0.35">
      <c r="B15" s="541" t="s">
        <v>1476</v>
      </c>
      <c r="C15" s="801"/>
      <c r="D15" s="801"/>
    </row>
    <row r="16" spans="2:4" ht="67.5" customHeight="1" x14ac:dyDescent="0.35">
      <c r="B16" s="541" t="s">
        <v>1477</v>
      </c>
      <c r="C16" s="807"/>
      <c r="D16" s="808"/>
    </row>
    <row r="17" spans="2:4" x14ac:dyDescent="0.35">
      <c r="B17" s="541" t="s">
        <v>308</v>
      </c>
      <c r="C17" s="801"/>
      <c r="D17" s="801"/>
    </row>
    <row r="18" spans="2:4" x14ac:dyDescent="0.35">
      <c r="B18" s="541" t="s">
        <v>309</v>
      </c>
      <c r="C18" s="801"/>
      <c r="D18" s="801"/>
    </row>
    <row r="19" spans="2:4" ht="27" x14ac:dyDescent="0.35">
      <c r="B19" s="550" t="s">
        <v>310</v>
      </c>
      <c r="C19" s="814"/>
      <c r="D19" s="815"/>
    </row>
    <row r="20" spans="2:4" x14ac:dyDescent="0.35">
      <c r="B20" s="541" t="s">
        <v>311</v>
      </c>
      <c r="C20" s="801"/>
      <c r="D20" s="801"/>
    </row>
    <row r="21" spans="2:4" x14ac:dyDescent="0.35">
      <c r="B21" s="541" t="s">
        <v>312</v>
      </c>
      <c r="C21" s="814"/>
      <c r="D21" s="815"/>
    </row>
    <row r="22" spans="2:4" x14ac:dyDescent="0.35">
      <c r="B22" s="541" t="s">
        <v>313</v>
      </c>
      <c r="C22" s="814"/>
      <c r="D22" s="815"/>
    </row>
    <row r="23" spans="2:4" x14ac:dyDescent="0.35">
      <c r="B23" s="541" t="s">
        <v>314</v>
      </c>
      <c r="C23" s="801"/>
      <c r="D23" s="801"/>
    </row>
    <row r="24" spans="2:4" x14ac:dyDescent="0.35">
      <c r="B24" s="541" t="s">
        <v>315</v>
      </c>
      <c r="C24" s="801"/>
      <c r="D24" s="801"/>
    </row>
    <row r="25" spans="2:4" x14ac:dyDescent="0.35">
      <c r="B25" s="541" t="s">
        <v>316</v>
      </c>
      <c r="C25" s="801"/>
      <c r="D25" s="801"/>
    </row>
    <row r="26" spans="2:4" x14ac:dyDescent="0.35">
      <c r="B26" s="541" t="s">
        <v>317</v>
      </c>
      <c r="C26" s="801"/>
      <c r="D26" s="801"/>
    </row>
    <row r="27" spans="2:4" x14ac:dyDescent="0.35">
      <c r="B27" s="541" t="s">
        <v>263</v>
      </c>
      <c r="C27" s="807"/>
      <c r="D27" s="808"/>
    </row>
    <row r="28" spans="2:4" ht="15.75" customHeight="1" x14ac:dyDescent="0.35">
      <c r="B28" s="435"/>
      <c r="C28" s="435"/>
      <c r="D28" s="435"/>
    </row>
    <row r="29" spans="2:4" ht="15.75" hidden="1" customHeight="1" x14ac:dyDescent="0.35">
      <c r="B29" s="435"/>
      <c r="C29" s="435"/>
      <c r="D29" s="435"/>
    </row>
    <row r="30" spans="2:4" ht="15.75" hidden="1" customHeight="1" x14ac:dyDescent="0.35">
      <c r="B30" s="435"/>
      <c r="C30" s="435"/>
      <c r="D30" s="435"/>
    </row>
    <row r="31" spans="2:4" ht="15.75" hidden="1" customHeight="1" x14ac:dyDescent="0.35">
      <c r="B31" s="435"/>
      <c r="C31" s="435"/>
      <c r="D31" s="435"/>
    </row>
    <row r="32" spans="2:4" ht="15.75" hidden="1" customHeight="1" x14ac:dyDescent="0.35">
      <c r="B32" s="435"/>
      <c r="C32" s="435"/>
      <c r="D32" s="435"/>
    </row>
    <row r="33" spans="2:4" ht="15.75" hidden="1" customHeight="1" x14ac:dyDescent="0.35">
      <c r="B33" s="435"/>
      <c r="C33" s="435"/>
      <c r="D33" s="435"/>
    </row>
    <row r="34" spans="2:4" ht="15.75" hidden="1" customHeight="1" x14ac:dyDescent="0.35">
      <c r="B34" s="435"/>
      <c r="C34" s="435"/>
      <c r="D34" s="435"/>
    </row>
    <row r="35" spans="2:4" ht="15.75" hidden="1" customHeight="1" x14ac:dyDescent="0.35">
      <c r="B35" s="435"/>
      <c r="C35" s="435"/>
      <c r="D35" s="435"/>
    </row>
    <row r="36" spans="2:4" ht="15.75" hidden="1" customHeight="1" x14ac:dyDescent="0.35">
      <c r="B36" s="435"/>
      <c r="C36" s="435"/>
      <c r="D36" s="435"/>
    </row>
    <row r="37" spans="2:4" ht="15.75" hidden="1" customHeight="1" x14ac:dyDescent="0.35">
      <c r="B37" s="435"/>
      <c r="C37" s="435"/>
      <c r="D37" s="435"/>
    </row>
    <row r="38" spans="2:4" ht="15.75" hidden="1" customHeight="1" x14ac:dyDescent="0.35">
      <c r="B38" s="435"/>
      <c r="C38" s="435"/>
      <c r="D38" s="435"/>
    </row>
    <row r="39" spans="2:4" ht="15.75" hidden="1" customHeight="1" x14ac:dyDescent="0.35">
      <c r="B39" s="435"/>
      <c r="C39" s="435"/>
      <c r="D39" s="435"/>
    </row>
    <row r="40" spans="2:4" ht="15.75" hidden="1" customHeight="1" x14ac:dyDescent="0.35">
      <c r="B40" s="435"/>
      <c r="C40" s="435"/>
      <c r="D40" s="435"/>
    </row>
    <row r="41" spans="2:4" ht="15.75" hidden="1" customHeight="1" x14ac:dyDescent="0.35">
      <c r="B41" s="435"/>
      <c r="C41" s="435"/>
      <c r="D41" s="435"/>
    </row>
    <row r="42" spans="2:4" ht="15.75" hidden="1" customHeight="1" x14ac:dyDescent="0.35">
      <c r="B42" s="435"/>
      <c r="C42" s="435"/>
      <c r="D42" s="435"/>
    </row>
    <row r="43" spans="2:4" ht="15.75" hidden="1" customHeight="1" x14ac:dyDescent="0.35">
      <c r="B43" s="435"/>
      <c r="C43" s="435"/>
      <c r="D43" s="435"/>
    </row>
    <row r="44" spans="2:4" ht="15.75" hidden="1" customHeight="1" x14ac:dyDescent="0.35">
      <c r="B44" s="435"/>
      <c r="C44" s="435"/>
      <c r="D44" s="435"/>
    </row>
    <row r="45" spans="2:4" ht="15.75" hidden="1" customHeight="1" x14ac:dyDescent="0.35">
      <c r="B45" s="435"/>
      <c r="C45" s="435"/>
      <c r="D45" s="435"/>
    </row>
    <row r="46" spans="2:4" ht="15.75" hidden="1" customHeight="1" x14ac:dyDescent="0.35">
      <c r="B46" s="435"/>
      <c r="C46" s="435"/>
      <c r="D46" s="435"/>
    </row>
    <row r="47" spans="2:4" ht="15.75" hidden="1" customHeight="1" x14ac:dyDescent="0.35">
      <c r="B47" s="435"/>
      <c r="C47" s="435"/>
      <c r="D47" s="435"/>
    </row>
    <row r="48" spans="2:4" ht="15.75" hidden="1" customHeight="1" x14ac:dyDescent="0.35">
      <c r="B48" s="435"/>
      <c r="C48" s="435"/>
      <c r="D48" s="435"/>
    </row>
    <row r="49" spans="2:4" ht="15.75" hidden="1" customHeight="1" x14ac:dyDescent="0.35">
      <c r="B49" s="435"/>
      <c r="C49" s="435"/>
      <c r="D49" s="435"/>
    </row>
    <row r="50" spans="2:4" ht="15.75" hidden="1" customHeight="1" x14ac:dyDescent="0.35">
      <c r="B50" s="435"/>
      <c r="C50" s="435"/>
      <c r="D50" s="435"/>
    </row>
    <row r="51" spans="2:4" ht="15.75" hidden="1" customHeight="1" x14ac:dyDescent="0.35">
      <c r="B51" s="435"/>
      <c r="C51" s="435"/>
      <c r="D51" s="435"/>
    </row>
    <row r="52" spans="2:4" ht="15.75" hidden="1" customHeight="1" x14ac:dyDescent="0.35"/>
    <row r="53" spans="2:4" ht="15.75" hidden="1" customHeight="1" x14ac:dyDescent="0.35"/>
    <row r="54" spans="2:4" ht="15.75" hidden="1" customHeight="1" x14ac:dyDescent="0.35"/>
    <row r="55" spans="2:4" ht="15.75" hidden="1" customHeight="1" x14ac:dyDescent="0.35"/>
    <row r="56" spans="2:4" ht="15.75" hidden="1" customHeight="1" x14ac:dyDescent="0.35"/>
    <row r="57" spans="2:4" ht="15.75" hidden="1" customHeight="1" x14ac:dyDescent="0.35"/>
    <row r="58" spans="2:4" ht="15.75" hidden="1" customHeight="1" x14ac:dyDescent="0.35"/>
    <row r="59" spans="2:4" ht="15.75" hidden="1" customHeight="1" x14ac:dyDescent="0.35"/>
    <row r="60" spans="2:4" ht="15.75" hidden="1" customHeight="1" x14ac:dyDescent="0.35"/>
    <row r="61" spans="2:4" ht="15.75" hidden="1" customHeight="1" x14ac:dyDescent="0.35"/>
    <row r="62" spans="2:4" ht="15.75" hidden="1" customHeight="1" x14ac:dyDescent="0.35"/>
  </sheetData>
  <sheetProtection algorithmName="SHA-512" hashValue="FR4kP2rUG6QDb2ixSfC5O1DI1zYbRtHsNX3QuXABxcqaXbh0uIpry2MnIGtu5h+7sKPQuTO/uhTsASm77+Dtdg==" saltValue="x8SmIZu7Ej16pdAQSbnPsA==" spinCount="100000" sheet="1" objects="1" scenarios="1"/>
  <mergeCells count="19">
    <mergeCell ref="C27:D27"/>
    <mergeCell ref="C18:D18"/>
    <mergeCell ref="C20:D20"/>
    <mergeCell ref="C23:D23"/>
    <mergeCell ref="C24:D24"/>
    <mergeCell ref="C25:D25"/>
    <mergeCell ref="C26:D26"/>
    <mergeCell ref="C21:D21"/>
    <mergeCell ref="C22:D22"/>
    <mergeCell ref="C19:D19"/>
    <mergeCell ref="C17:D17"/>
    <mergeCell ref="B4:D4"/>
    <mergeCell ref="B12:D12"/>
    <mergeCell ref="B13:D13"/>
    <mergeCell ref="C14:D14"/>
    <mergeCell ref="C15:D15"/>
    <mergeCell ref="C16:D16"/>
    <mergeCell ref="B9:D9"/>
    <mergeCell ref="B10:D10"/>
  </mergeCells>
  <conditionalFormatting sqref="B14:C18 C19 B20:C27">
    <cfRule type="containsBlanks" dxfId="18" priority="1">
      <formula>LEN(TRIM(B14))=0</formula>
    </cfRule>
  </conditionalFormatting>
  <pageMargins left="0.70866141732283472" right="0.70866141732283472" top="0.74803149606299213" bottom="0.74803149606299213" header="0.31496062992125984" footer="0.31496062992125984"/>
  <pageSetup paperSize="9" scale="54"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8AEA6-CC39-4F34-8C80-02BF927AEA8A}">
  <sheetPr codeName="Sheet17">
    <tabColor rgb="FFB94700"/>
    <pageSetUpPr autoPageBreaks="0" fitToPage="1"/>
  </sheetPr>
  <dimension ref="B1:XFC1058"/>
  <sheetViews>
    <sheetView showGridLines="0" zoomScaleNormal="100" zoomScalePageLayoutView="90" workbookViewId="0">
      <selection activeCell="M19" sqref="M19"/>
    </sheetView>
  </sheetViews>
  <sheetFormatPr defaultColWidth="9.1796875" defaultRowHeight="12.75" customHeight="1" zeroHeight="1" x14ac:dyDescent="0.3"/>
  <cols>
    <col min="1" max="1" width="2.54296875" style="14" customWidth="1"/>
    <col min="2" max="2" width="24.1796875" style="14" customWidth="1"/>
    <col min="3" max="4" width="20.1796875" style="79" customWidth="1"/>
    <col min="5" max="5" width="19.81640625" style="79" customWidth="1"/>
    <col min="6" max="6" width="23.453125" style="79" customWidth="1"/>
    <col min="7" max="7" width="23.54296875" style="79" customWidth="1"/>
    <col min="8" max="8" width="23.26953125" style="79" customWidth="1"/>
    <col min="9" max="9" width="36.54296875" style="79" customWidth="1"/>
    <col min="10" max="11" width="52.81640625" style="79" hidden="1" customWidth="1"/>
    <col min="12" max="12" width="40.54296875" style="79" hidden="1" customWidth="1"/>
    <col min="13" max="13" width="35.81640625" style="79" customWidth="1"/>
    <col min="14" max="14" width="42" style="79" hidden="1" customWidth="1"/>
    <col min="15" max="15" width="31.54296875" style="79" hidden="1" customWidth="1"/>
    <col min="16" max="16" width="43" style="79" hidden="1" customWidth="1"/>
    <col min="17" max="17" width="44.1796875" style="14" hidden="1" customWidth="1"/>
    <col min="18" max="18" width="63.7265625" style="14" hidden="1" customWidth="1"/>
    <col min="19" max="19" width="40.26953125" style="14" hidden="1" customWidth="1"/>
    <col min="20" max="20" width="30.7265625" style="14" hidden="1" customWidth="1"/>
    <col min="21" max="21" width="38.1796875" style="14" hidden="1" customWidth="1"/>
    <col min="22" max="22" width="38.54296875" style="14" hidden="1" customWidth="1"/>
    <col min="23" max="23" width="50.7265625" style="14" hidden="1" customWidth="1"/>
    <col min="24" max="24" width="58.54296875" style="14" hidden="1" customWidth="1"/>
    <col min="25" max="25" width="45.453125" style="14" hidden="1" customWidth="1"/>
    <col min="26" max="26" width="63.7265625" style="14" hidden="1" customWidth="1"/>
    <col min="27" max="27" width="43.54296875" style="14" hidden="1" customWidth="1"/>
    <col min="28" max="28" width="27.7265625" style="14" hidden="1" customWidth="1"/>
    <col min="29" max="29" width="6.1796875" style="14" hidden="1" customWidth="1"/>
    <col min="30" max="30" width="9.1796875" style="14" hidden="1" customWidth="1"/>
    <col min="31" max="36" width="16.7265625" style="14" hidden="1" customWidth="1"/>
    <col min="37" max="16383" width="9.1796875" style="14" hidden="1" customWidth="1"/>
    <col min="16384" max="16384" width="4.1796875" style="14" customWidth="1"/>
  </cols>
  <sheetData>
    <row r="1" spans="2:36" ht="21" customHeight="1" x14ac:dyDescent="0.3"/>
    <row r="2" spans="2:36" ht="36.75" customHeight="1" x14ac:dyDescent="0.3">
      <c r="B2" s="11" t="s">
        <v>318</v>
      </c>
      <c r="C2" s="80"/>
      <c r="D2" s="80"/>
      <c r="E2" s="80"/>
    </row>
    <row r="3" spans="2:36" ht="21" customHeight="1" x14ac:dyDescent="0.3">
      <c r="B3" s="821" t="s">
        <v>78</v>
      </c>
      <c r="C3" s="821"/>
      <c r="D3" s="822" t="str">
        <f>IF(ISBLANK('Site Details'!C6),"",'Site Details'!C6)</f>
        <v/>
      </c>
      <c r="E3" s="823"/>
      <c r="F3" s="81"/>
      <c r="G3" s="816" t="s">
        <v>319</v>
      </c>
      <c r="H3" s="816"/>
      <c r="I3" s="78">
        <f>ROUND(SUM(V19:X887),2)</f>
        <v>0</v>
      </c>
      <c r="M3" s="817"/>
      <c r="N3" s="817"/>
      <c r="O3" s="82"/>
      <c r="P3" s="14"/>
    </row>
    <row r="4" spans="2:36" ht="21" customHeight="1" x14ac:dyDescent="0.3">
      <c r="B4" s="821" t="s">
        <v>320</v>
      </c>
      <c r="C4" s="821"/>
      <c r="D4" s="822" t="str">
        <f>IF(ISBLANK('Site Details'!C7),"",'Site Details'!C7)</f>
        <v/>
      </c>
      <c r="E4" s="823"/>
      <c r="G4" s="816" t="s">
        <v>321</v>
      </c>
      <c r="H4" s="816"/>
      <c r="I4" s="78">
        <f>ROUND(SUM(Y19:AA887),2)</f>
        <v>0</v>
      </c>
      <c r="M4" s="817"/>
      <c r="N4" s="817"/>
      <c r="O4" s="82"/>
      <c r="P4" s="83"/>
    </row>
    <row r="5" spans="2:36" ht="21" customHeight="1" x14ac:dyDescent="0.3">
      <c r="B5" s="818" t="s">
        <v>322</v>
      </c>
      <c r="C5" s="819"/>
      <c r="D5" s="820"/>
      <c r="E5" s="161">
        <f>ROUND(SUM(AF19:AF171),2)</f>
        <v>0</v>
      </c>
      <c r="G5" s="816" t="s">
        <v>323</v>
      </c>
      <c r="H5" s="816"/>
      <c r="I5" s="78">
        <f>ROUND(SUM(AB18:AB887),2)</f>
        <v>0</v>
      </c>
      <c r="J5" s="81"/>
      <c r="K5" s="81"/>
      <c r="L5" s="81"/>
      <c r="M5" s="817"/>
      <c r="N5" s="817"/>
      <c r="O5" s="82"/>
      <c r="P5" s="82"/>
    </row>
    <row r="6" spans="2:36" ht="21" customHeight="1" x14ac:dyDescent="0.3">
      <c r="B6" s="79"/>
      <c r="F6" s="83"/>
      <c r="G6" s="827" t="s">
        <v>324</v>
      </c>
      <c r="H6" s="828"/>
      <c r="I6" s="78">
        <f>ROUND(E5-E7,2)</f>
        <v>0</v>
      </c>
      <c r="M6" s="817"/>
      <c r="N6" s="817"/>
      <c r="O6" s="82"/>
      <c r="P6" s="83"/>
    </row>
    <row r="7" spans="2:36" ht="21" customHeight="1" x14ac:dyDescent="0.3">
      <c r="B7" s="818" t="s">
        <v>325</v>
      </c>
      <c r="C7" s="819"/>
      <c r="D7" s="820"/>
      <c r="E7" s="184">
        <f>ROUND(SUM(AJ19:AJ395),2)</f>
        <v>0</v>
      </c>
      <c r="F7" s="83"/>
      <c r="G7" s="827" t="s">
        <v>326</v>
      </c>
      <c r="H7" s="828"/>
      <c r="I7" s="203">
        <f>IF(E5&lt;&gt;0, I6/E5*100,0)</f>
        <v>0</v>
      </c>
      <c r="J7" s="84"/>
      <c r="K7" s="84"/>
      <c r="L7" s="84"/>
      <c r="M7" s="817"/>
      <c r="N7" s="817"/>
      <c r="O7" s="82"/>
      <c r="P7" s="82"/>
      <c r="Y7" s="83"/>
    </row>
    <row r="8" spans="2:36" ht="13.5" x14ac:dyDescent="0.3"/>
    <row r="9" spans="2:36" ht="50.5" customHeight="1" x14ac:dyDescent="0.3">
      <c r="B9" s="120" t="s">
        <v>327</v>
      </c>
      <c r="C9" s="121" t="s">
        <v>328</v>
      </c>
      <c r="D9" s="121" t="s">
        <v>329</v>
      </c>
      <c r="E9" s="121" t="s">
        <v>330</v>
      </c>
      <c r="F9" s="121" t="s">
        <v>331</v>
      </c>
      <c r="G9" s="121" t="s">
        <v>332</v>
      </c>
      <c r="H9" s="121" t="s">
        <v>333</v>
      </c>
      <c r="I9" s="121" t="s">
        <v>334</v>
      </c>
      <c r="J9" s="121"/>
      <c r="K9" s="121"/>
      <c r="L9" s="121"/>
      <c r="M9" s="121" t="s">
        <v>335</v>
      </c>
      <c r="N9" s="85"/>
      <c r="O9" s="85"/>
      <c r="P9" s="14"/>
    </row>
    <row r="10" spans="2:36" ht="24" customHeight="1" x14ac:dyDescent="0.3">
      <c r="B10" s="86" t="str">
        <f>IFERROR(AVERAGE(I19:I1016),"0")</f>
        <v>0</v>
      </c>
      <c r="C10" s="87">
        <f>SUM($M$19:$M$1016)</f>
        <v>0</v>
      </c>
      <c r="D10" s="87" t="str" cm="1">
        <f t="array" ref="D10">IFERROR(SUM(SUM(V19:V887/$E$7)*100),"0")</f>
        <v>0</v>
      </c>
      <c r="E10" s="87" t="str" cm="1">
        <f t="array" ref="E10">IFERROR(SUM(SUM(W19:W887/$E$7)*100),"0")</f>
        <v>0</v>
      </c>
      <c r="F10" s="87" t="str" cm="1">
        <f t="array" ref="F10">IFERROR(SUM(SUM(X19:X887/$E$7)*100),"0")</f>
        <v>0</v>
      </c>
      <c r="G10" s="87" t="str" cm="1">
        <f t="array" ref="G10">IFERROR(SUM(SUM(Y19:Y887/$E$7)*100),"0")</f>
        <v>0</v>
      </c>
      <c r="H10" s="87" t="str" cm="1">
        <f t="array" ref="H10">IFERROR(SUM(SUM(Z19:Z887/$E$7)*100),"0")</f>
        <v>0</v>
      </c>
      <c r="I10" s="87" t="str" cm="1">
        <f t="array" ref="I10">IFERROR(SUM(SUM(AA19:AA887/$E$7)*100),"0")</f>
        <v>0</v>
      </c>
      <c r="J10" s="87"/>
      <c r="K10" s="87"/>
      <c r="L10" s="87"/>
      <c r="M10" s="87" t="str" cm="1">
        <f t="array" ref="M10">IFERROR(SUM(SUM(AB19:AB887/$E$7)*100),"0")</f>
        <v>0</v>
      </c>
      <c r="N10" s="88"/>
      <c r="O10" s="88" t="e" cm="1">
        <f t="array" ref="O10">SUM(SUM(AG19:AG38/$E$7)*100)</f>
        <v>#VALUE!</v>
      </c>
      <c r="P10" s="14"/>
    </row>
    <row r="11" spans="2:36" ht="15" customHeight="1" x14ac:dyDescent="0.3">
      <c r="B11" s="829" t="s">
        <v>336</v>
      </c>
      <c r="C11" s="829"/>
      <c r="D11" s="829"/>
      <c r="E11" s="829"/>
      <c r="F11" s="829"/>
      <c r="G11" s="829"/>
      <c r="H11" s="829"/>
      <c r="I11" s="829"/>
      <c r="J11" s="829"/>
      <c r="K11" s="829"/>
      <c r="L11" s="829"/>
      <c r="M11" s="829"/>
      <c r="N11" s="14"/>
      <c r="O11" s="14"/>
      <c r="P11" s="14"/>
    </row>
    <row r="12" spans="2:36" ht="42" customHeight="1" thickBot="1" x14ac:dyDescent="0.4">
      <c r="B12" s="202" t="s">
        <v>337</v>
      </c>
      <c r="C12" s="80"/>
      <c r="D12" s="80"/>
      <c r="E12" s="80"/>
    </row>
    <row r="13" spans="2:36" ht="14" hidden="1" thickBot="1" x14ac:dyDescent="0.35">
      <c r="B13" s="80"/>
      <c r="C13" s="80"/>
      <c r="D13" s="80"/>
      <c r="E13" s="80"/>
    </row>
    <row r="14" spans="2:36" ht="14" hidden="1" thickBot="1" x14ac:dyDescent="0.35">
      <c r="B14" s="80"/>
      <c r="C14" s="80"/>
      <c r="D14" s="80"/>
      <c r="E14" s="80"/>
      <c r="Q14" s="14">
        <f t="shared" ref="Q14:W14" si="0">SUM(Q19:Q1016)</f>
        <v>0</v>
      </c>
      <c r="R14" s="14">
        <f t="shared" si="0"/>
        <v>0</v>
      </c>
      <c r="S14" s="14">
        <f t="shared" si="0"/>
        <v>0</v>
      </c>
      <c r="T14" s="14">
        <f t="shared" si="0"/>
        <v>0</v>
      </c>
      <c r="U14" s="14">
        <f t="shared" si="0"/>
        <v>0</v>
      </c>
      <c r="V14" s="14">
        <f t="shared" si="0"/>
        <v>0</v>
      </c>
      <c r="W14" s="14">
        <f t="shared" si="0"/>
        <v>0</v>
      </c>
    </row>
    <row r="15" spans="2:36" ht="14" hidden="1" thickBot="1" x14ac:dyDescent="0.35">
      <c r="B15" s="89" t="s">
        <v>338</v>
      </c>
      <c r="C15" s="90" t="s">
        <v>339</v>
      </c>
      <c r="D15" s="90"/>
      <c r="E15" s="90"/>
      <c r="F15" s="90" t="s">
        <v>340</v>
      </c>
      <c r="G15" s="90"/>
      <c r="H15" s="90" t="s">
        <v>341</v>
      </c>
      <c r="I15" s="90" t="s">
        <v>342</v>
      </c>
      <c r="J15" s="90"/>
      <c r="K15" s="90"/>
      <c r="L15" s="90"/>
      <c r="M15" s="90" t="s">
        <v>343</v>
      </c>
      <c r="N15" s="91">
        <f>COUNTIF(G19:G25,"Broadleaf")</f>
        <v>0</v>
      </c>
      <c r="O15" s="91" t="e">
        <f>SUMIF(#REF!,"Non-native broadleaf",#REF!)</f>
        <v>#REF!</v>
      </c>
      <c r="P15" s="91" t="e">
        <f>SUMIF(#REF!,"Naturalised broadleaf",#REF!)</f>
        <v>#REF!</v>
      </c>
      <c r="Q15" s="91" t="e">
        <f>SUMIF(#REF!,"Native conifer",#REF!)</f>
        <v>#REF!</v>
      </c>
      <c r="R15" s="91" t="e">
        <f>SUMIF(#REF!,"Non-native conifer",#REF!)</f>
        <v>#REF!</v>
      </c>
      <c r="S15" s="91" t="e">
        <f>SUMIF(#REF!,"Naturalised conifer",#REF!)</f>
        <v>#REF!</v>
      </c>
      <c r="T15" s="91"/>
      <c r="U15" s="91"/>
      <c r="Y15" s="91"/>
      <c r="Z15" s="91"/>
    </row>
    <row r="16" spans="2:36" ht="24.65" customHeight="1" thickTop="1" x14ac:dyDescent="0.3">
      <c r="B16" s="824" t="s">
        <v>344</v>
      </c>
      <c r="C16" s="825"/>
      <c r="D16" s="825"/>
      <c r="E16" s="825"/>
      <c r="F16" s="825"/>
      <c r="G16" s="825"/>
      <c r="H16" s="825"/>
      <c r="I16" s="825"/>
      <c r="J16" s="825"/>
      <c r="K16" s="825"/>
      <c r="L16" s="825"/>
      <c r="M16" s="826"/>
      <c r="N16" s="92" t="s">
        <v>345</v>
      </c>
      <c r="O16" s="93" t="s">
        <v>345</v>
      </c>
      <c r="P16" s="93" t="s">
        <v>345</v>
      </c>
      <c r="Q16" s="93" t="s">
        <v>345</v>
      </c>
      <c r="R16" s="93" t="s">
        <v>345</v>
      </c>
      <c r="S16" s="93" t="s">
        <v>345</v>
      </c>
      <c r="T16" s="93" t="s">
        <v>345</v>
      </c>
      <c r="U16" s="94" t="s">
        <v>345</v>
      </c>
      <c r="V16" s="93" t="s">
        <v>345</v>
      </c>
      <c r="W16" s="93" t="s">
        <v>345</v>
      </c>
      <c r="X16" s="93" t="s">
        <v>345</v>
      </c>
      <c r="Y16" s="93" t="s">
        <v>345</v>
      </c>
      <c r="Z16" s="93" t="s">
        <v>345</v>
      </c>
      <c r="AA16" s="93" t="s">
        <v>345</v>
      </c>
      <c r="AB16" s="94" t="s">
        <v>345</v>
      </c>
      <c r="AE16" s="199" t="s">
        <v>345</v>
      </c>
      <c r="AF16" s="200" t="s">
        <v>345</v>
      </c>
      <c r="AG16" s="200" t="s">
        <v>345</v>
      </c>
      <c r="AH16" s="200" t="s">
        <v>345</v>
      </c>
      <c r="AI16" s="200" t="s">
        <v>345</v>
      </c>
      <c r="AJ16" s="201" t="s">
        <v>345</v>
      </c>
    </row>
    <row r="17" spans="2:36" s="98" customFormat="1" ht="121" customHeight="1" thickBot="1" x14ac:dyDescent="0.4">
      <c r="B17" s="127" t="s">
        <v>346</v>
      </c>
      <c r="C17" s="128" t="s">
        <v>347</v>
      </c>
      <c r="D17" s="128" t="s">
        <v>348</v>
      </c>
      <c r="E17" s="128" t="s">
        <v>349</v>
      </c>
      <c r="F17" s="128" t="s">
        <v>350</v>
      </c>
      <c r="G17" s="128" t="s">
        <v>351</v>
      </c>
      <c r="H17" s="128" t="s">
        <v>352</v>
      </c>
      <c r="I17" s="128" t="s">
        <v>1467</v>
      </c>
      <c r="J17" s="128" t="s">
        <v>353</v>
      </c>
      <c r="K17" s="128" t="s">
        <v>354</v>
      </c>
      <c r="L17" s="128" t="s">
        <v>355</v>
      </c>
      <c r="M17" s="129" t="s">
        <v>356</v>
      </c>
      <c r="N17" s="122" t="s">
        <v>357</v>
      </c>
      <c r="O17" s="95" t="s">
        <v>358</v>
      </c>
      <c r="P17" s="95" t="s">
        <v>359</v>
      </c>
      <c r="Q17" s="95" t="s">
        <v>360</v>
      </c>
      <c r="R17" s="95" t="s">
        <v>361</v>
      </c>
      <c r="S17" s="95" t="s">
        <v>362</v>
      </c>
      <c r="T17" s="96" t="s">
        <v>363</v>
      </c>
      <c r="U17" s="97" t="s">
        <v>364</v>
      </c>
      <c r="V17" s="95" t="s">
        <v>365</v>
      </c>
      <c r="W17" s="95" t="s">
        <v>366</v>
      </c>
      <c r="X17" s="95" t="s">
        <v>367</v>
      </c>
      <c r="Y17" s="95" t="s">
        <v>368</v>
      </c>
      <c r="Z17" s="95" t="s">
        <v>369</v>
      </c>
      <c r="AA17" s="96" t="s">
        <v>370</v>
      </c>
      <c r="AB17" s="97" t="s">
        <v>371</v>
      </c>
      <c r="AE17" s="196" t="s">
        <v>372</v>
      </c>
      <c r="AF17" s="197" t="s">
        <v>373</v>
      </c>
      <c r="AG17" s="197" t="s">
        <v>374</v>
      </c>
      <c r="AH17" s="197" t="s">
        <v>375</v>
      </c>
      <c r="AI17" s="197" t="s">
        <v>376</v>
      </c>
      <c r="AJ17" s="198" t="s">
        <v>377</v>
      </c>
    </row>
    <row r="18" spans="2:36" ht="30" customHeight="1" thickBot="1" x14ac:dyDescent="0.35">
      <c r="B18" s="131">
        <v>1</v>
      </c>
      <c r="C18" s="132">
        <v>1.87</v>
      </c>
      <c r="D18" s="132">
        <v>20</v>
      </c>
      <c r="E18" s="551">
        <v>1.5</v>
      </c>
      <c r="F18" s="133" t="s">
        <v>378</v>
      </c>
      <c r="G18" s="552" t="str">
        <f>IFERROR(VLOOKUP(F18,#REF!,2,FALSE),"")</f>
        <v/>
      </c>
      <c r="H18" s="134">
        <v>20</v>
      </c>
      <c r="I18" s="135">
        <v>1600</v>
      </c>
      <c r="J18" s="135"/>
      <c r="K18" s="135"/>
      <c r="L18" s="135"/>
      <c r="M18" s="136">
        <v>2400</v>
      </c>
      <c r="N18" s="15"/>
      <c r="O18" s="15"/>
      <c r="P18" s="16"/>
      <c r="Q18" s="16"/>
      <c r="R18" s="17"/>
      <c r="S18" s="17"/>
      <c r="T18" s="17"/>
      <c r="U18" s="18"/>
      <c r="V18" s="15"/>
      <c r="W18" s="16"/>
      <c r="X18" s="16"/>
      <c r="Y18" s="17"/>
      <c r="Z18" s="17"/>
      <c r="AA18" s="17"/>
      <c r="AB18" s="18"/>
      <c r="AE18" s="193"/>
      <c r="AF18" s="194"/>
      <c r="AG18" s="194"/>
      <c r="AH18" s="194"/>
      <c r="AI18" s="194"/>
      <c r="AJ18" s="195"/>
    </row>
    <row r="19" spans="2:36" ht="30" customHeight="1" x14ac:dyDescent="0.35">
      <c r="B19" s="553"/>
      <c r="C19" s="554"/>
      <c r="D19" s="555"/>
      <c r="E19" s="249" t="str">
        <f>IF(SUM(C19-(C19*L19))=0,"",SUM(C19-(C19*L19)))</f>
        <v/>
      </c>
      <c r="F19" s="556"/>
      <c r="G19" s="252" t="str">
        <f>IFERROR(VLOOKUP(F19,'Data (hidden)'!N:O,2,FALSE),"")</f>
        <v/>
      </c>
      <c r="H19" s="557"/>
      <c r="I19" s="558"/>
      <c r="J19" s="99">
        <f>H19*0.01</f>
        <v>0</v>
      </c>
      <c r="K19" s="99" t="e">
        <f>E19*J19</f>
        <v>#VALUE!</v>
      </c>
      <c r="L19" s="99">
        <f t="shared" ref="L19:L82" si="1">D19*0.01</f>
        <v>0</v>
      </c>
      <c r="M19" s="130" t="str">
        <f t="shared" ref="M19:M82" si="2">IFERROR(K19*I19,"")</f>
        <v/>
      </c>
      <c r="N19" s="100" t="s">
        <v>379</v>
      </c>
      <c r="O19" s="100">
        <f>SUMIFS($J$19:$J$650,$G$19:$G$650,"native broadleaf",$B$19:$B$650,"1")</f>
        <v>0</v>
      </c>
      <c r="P19" s="101">
        <f>SUMIFS($J$19:$J$650,$G$19:$G$650,"Non-Native Broadleaf",$B$19:$B$650,"1")</f>
        <v>0</v>
      </c>
      <c r="Q19" s="101">
        <f>SUMIFS($J$19:$J$650,$G$19:$G$650,"Naturalised Broadleaf",$B$19:$B$650,"1")</f>
        <v>0</v>
      </c>
      <c r="R19" s="102">
        <f>SUMIFS($J$19:$J$650,$G$19:$G$650,"Native Conifer",$B$19:$B$650,"1")</f>
        <v>0</v>
      </c>
      <c r="S19" s="102">
        <f>SUMIFS($J$19:$J$650,$G$19:$G$650,"Non-Native Conifer",$B$19:$B$650,"1")</f>
        <v>0</v>
      </c>
      <c r="T19" s="102">
        <f>SUMIFS($J$19:$J$650,$G$19:$G$650,"Naturalised Conifer",$B$19:$B$650,"1")</f>
        <v>0</v>
      </c>
      <c r="U19" s="103">
        <f>SUMIFS($J$19:$J$650,$G$19:$G$650,"Native Woody Shrub",$B$19:$B$650,"1")</f>
        <v>0</v>
      </c>
      <c r="V19" s="100">
        <f>SUMIFS($K$19:$K$2222,$G$19:$G$2222,"native broadleaf",$B$19:$B$2222,"1")</f>
        <v>0</v>
      </c>
      <c r="W19" s="101">
        <f>SUMIFS($K$19:$K$2222,$G$19:$G$2222,"Non-Native Broadleaf",$B$19:$B$2222,"1")</f>
        <v>0</v>
      </c>
      <c r="X19" s="101">
        <f>SUMIFS($K$19:$K$2222,$G$19:$G$2222,"Naturalised Broadleaf",$B$19:$B$2222,"1")</f>
        <v>0</v>
      </c>
      <c r="Y19" s="102">
        <f>SUMIFS($K$19:$K$2222,$G$19:$G$2222,"Native Conifer",$B$19:$B$2222,"1")</f>
        <v>0</v>
      </c>
      <c r="Z19" s="102">
        <f>SUMIFS($K$19:$K$2222,$G$19:$G$2222,"Non-Native Conifer",$B$19:$B$2222,"1")</f>
        <v>0</v>
      </c>
      <c r="AA19" s="102">
        <f>SUMIFS($K$19:$K$2222,$G$19:$G$2222,"Naturalised Conifer",$B$19:$B$2222,"1")</f>
        <v>0</v>
      </c>
      <c r="AB19" s="103">
        <f>SUMIFS($K$19:$K$2222,$G$19:$G$2222,"Native Woody Shrub",$B$19:$B$2222,"1")</f>
        <v>0</v>
      </c>
      <c r="AE19" s="559" cm="1">
        <f t="array" ref="AE19:AF19">_xlfn.UNIQUE(_xlfn.TAKE(B19:C887,,2))</f>
        <v>0</v>
      </c>
      <c r="AF19" s="185">
        <v>0</v>
      </c>
      <c r="AG19" s="185" t="str">
        <f>IF(ISNUMBER(B19), B19, "")</f>
        <v/>
      </c>
      <c r="AH19" s="186" t="str">
        <f>E19</f>
        <v/>
      </c>
      <c r="AI19" s="536" t="str" cm="1">
        <f t="array" ref="AI19:AJ21">_xlfn.UNIQUE(_xlfn.TAKE(AG19:AH938,,2))</f>
        <v/>
      </c>
      <c r="AJ19" s="188" t="str">
        <v/>
      </c>
    </row>
    <row r="20" spans="2:36" ht="30" customHeight="1" x14ac:dyDescent="0.3">
      <c r="B20" s="553"/>
      <c r="C20" s="554"/>
      <c r="D20" s="555"/>
      <c r="E20" s="250" t="str">
        <f t="shared" ref="E20:E83" si="3">IF(SUM(C20-(C20*L20))=0,"",SUM(C20-(C20*L20)))</f>
        <v/>
      </c>
      <c r="F20" s="556"/>
      <c r="G20" s="252" t="str">
        <f>IFERROR(VLOOKUP(F20,'Data (hidden)'!N:O,2,FALSE),"")</f>
        <v/>
      </c>
      <c r="H20" s="557"/>
      <c r="I20" s="558"/>
      <c r="J20" s="123">
        <f t="shared" ref="J20:J83" si="4">H20*0.01</f>
        <v>0</v>
      </c>
      <c r="K20" s="123" t="e">
        <f t="shared" ref="K20:K83" si="5">E20*J20</f>
        <v>#VALUE!</v>
      </c>
      <c r="L20" s="123">
        <f t="shared" si="1"/>
        <v>0</v>
      </c>
      <c r="M20" s="124" t="str">
        <f t="shared" si="2"/>
        <v/>
      </c>
      <c r="N20" s="100" t="s">
        <v>380</v>
      </c>
      <c r="O20" s="100">
        <f>SUMIFS($J$19:$J$650,$G$19:$G$650,"native broadleaf",$B$19:$B$650,"2")</f>
        <v>0</v>
      </c>
      <c r="P20" s="101">
        <f>SUMIFS($J$19:$J$650,$G$19:$G$650,"Non-Native Broadleaf",$B$19:$B$650,"2")</f>
        <v>0</v>
      </c>
      <c r="Q20" s="101">
        <f>SUMIFS($J$19:$J$650,$G$19:$G$650,"Naturalised Broadleaf",$B$19:$B$650,"2")</f>
        <v>0</v>
      </c>
      <c r="R20" s="102">
        <f>SUMIFS($J$19:$J$650,$G$19:$G$650,"Native Conifer",$B$19:$B$650,"2")</f>
        <v>0</v>
      </c>
      <c r="S20" s="102">
        <f>SUMIFS($J$19:$J$650,$G$19:$G$650,"Non-Native Conifer",$B$19:$B$650,"2")</f>
        <v>0</v>
      </c>
      <c r="T20" s="102">
        <f>SUMIFS($J$19:$J$650,$G$19:$G$650,"Naturalised Conifer",$B$19:$B$650,"2")</f>
        <v>0</v>
      </c>
      <c r="U20" s="103">
        <f>SUMIFS($J$19:$J$650,$G$19:$G$650,"Native Woody Shrub",$B$19:$B$650,"2")</f>
        <v>0</v>
      </c>
      <c r="V20" s="100">
        <f>SUMIFS($K$19:$K$2222,$G$19:$G$2222,"native broadleaf",$B$19:$B$2222,"2")</f>
        <v>0</v>
      </c>
      <c r="W20" s="101">
        <f>SUMIFS($K$19:$K$2222,$G$19:$G$2222,"Non-Native Broadleaf",$B$19:$B$2222,"2")</f>
        <v>0</v>
      </c>
      <c r="X20" s="101">
        <f>SUMIFS($K$19:$K$2222,$G$19:$G$2222,"Naturalised Broadleaf",$B$19:$B$2222,"2")</f>
        <v>0</v>
      </c>
      <c r="Y20" s="102">
        <f>SUMIFS($K$19:$K$2222,$G$19:$G$2222,"Native Conifer",$B$19:$B$2222,"2")</f>
        <v>0</v>
      </c>
      <c r="Z20" s="102">
        <f>SUMIFS($K$19:$K$2222,$G$19:$G$2222,"Non-Native Conifer",$B$19:$B$2222,"2")</f>
        <v>0</v>
      </c>
      <c r="AA20" s="102">
        <f>SUMIFS($K$19:$K$2222,$G$19:$G$2222,"Naturalised Conifer",$B$19:$B$2222,"2")</f>
        <v>0</v>
      </c>
      <c r="AB20" s="103">
        <f>SUMIFS($K$19:$K$2222,$G$19:$G$2222,"Native Woody Shrub",$B$19:$B$2222,"2")</f>
        <v>0</v>
      </c>
      <c r="AE20" s="187"/>
      <c r="AF20" s="185"/>
      <c r="AG20" s="185" t="str">
        <f t="shared" ref="AG20:AG83" si="6">IF(ISNUMBER(B20), B20, "")</f>
        <v/>
      </c>
      <c r="AH20" s="186" t="str">
        <f t="shared" ref="AH20:AH83" si="7">E20</f>
        <v/>
      </c>
      <c r="AI20" s="185" t="str">
        <v/>
      </c>
      <c r="AJ20" s="188">
        <v>0</v>
      </c>
    </row>
    <row r="21" spans="2:36" ht="30" customHeight="1" x14ac:dyDescent="0.3">
      <c r="B21" s="553"/>
      <c r="C21" s="554"/>
      <c r="D21" s="555"/>
      <c r="E21" s="250" t="str">
        <f t="shared" si="3"/>
        <v/>
      </c>
      <c r="F21" s="556"/>
      <c r="G21" s="252" t="str">
        <f>IFERROR(VLOOKUP(F21,'Data (hidden)'!N:O,2,FALSE),"")</f>
        <v/>
      </c>
      <c r="H21" s="557"/>
      <c r="I21" s="558"/>
      <c r="J21" s="123">
        <f t="shared" si="4"/>
        <v>0</v>
      </c>
      <c r="K21" s="123" t="e">
        <f t="shared" si="5"/>
        <v>#VALUE!</v>
      </c>
      <c r="L21" s="123">
        <f t="shared" si="1"/>
        <v>0</v>
      </c>
      <c r="M21" s="124" t="str">
        <f t="shared" si="2"/>
        <v/>
      </c>
      <c r="N21" s="100" t="s">
        <v>381</v>
      </c>
      <c r="O21" s="100">
        <f>SUMIFS($J$19:$J$650,$G$19:$G$650,"native broadleaf",$B$19:$B$650,"3")</f>
        <v>0</v>
      </c>
      <c r="P21" s="101">
        <f>SUMIFS($J$19:$J$650,$G$19:$G$650,"Non-Native Broadleaf",$B$19:$B$650,"3")</f>
        <v>0</v>
      </c>
      <c r="Q21" s="101">
        <f>SUMIFS($J$19:$J$650,$G$19:$G$650,"Naturalised Broadleaf",$B$19:$B$650,"3")</f>
        <v>0</v>
      </c>
      <c r="R21" s="102">
        <f>SUMIFS($J$19:$J$650,$G$19:$G$650,"Native Conifer",$B$19:$B$650,"3")</f>
        <v>0</v>
      </c>
      <c r="S21" s="102">
        <f>SUMIFS($J$19:$J$650,$G$19:$G$650,"Non-Native Conifer",$B$19:$B$650,"3")</f>
        <v>0</v>
      </c>
      <c r="T21" s="102">
        <f>SUMIFS($J$19:$J$650,$G$19:$G$650,"Naturalised Conifer",$B$19:$B$650,"3")</f>
        <v>0</v>
      </c>
      <c r="U21" s="103">
        <f>SUMIFS($J$19:$J$650,$G$19:$G$650,"Native Woody Shrub",$B$19:$B$650,"3")</f>
        <v>0</v>
      </c>
      <c r="V21" s="100">
        <f>SUMIFS($K$19:$K$2222,$G$19:$G$2222,"native broadleaf",$B$19:$B$2222,"3")</f>
        <v>0</v>
      </c>
      <c r="W21" s="101">
        <f>SUMIFS($K$19:$K$2222,$G$19:$G$2222,"Non-Native Broadleaf",$B$19:$B$2222,"3")</f>
        <v>0</v>
      </c>
      <c r="X21" s="101">
        <f>SUMIFS($K$19:$K$2222,$G$19:$G$2222,"Naturalised Broadleaf",$B$19:$B$2222,"3")</f>
        <v>0</v>
      </c>
      <c r="Y21" s="102">
        <f>SUMIFS($K$19:$K$2222,$G$19:$G$2222,"Native Conifer",$B$19:$B$2222,"3")</f>
        <v>0</v>
      </c>
      <c r="Z21" s="102">
        <f>SUMIFS($K$19:$K$2222,$G$19:$G$2222,"Non-Native Conifer",$B$19:$B$2222,"3")</f>
        <v>0</v>
      </c>
      <c r="AA21" s="102">
        <f>SUMIFS($K$19:$K$2222,$G$19:$G$2222,"Naturalised Conifer",$B$19:$B$2222,"3")</f>
        <v>0</v>
      </c>
      <c r="AB21" s="103">
        <f>SUMIFS($K$19:$K$2222,$G$19:$G$2222,"Native Woody Shrub",$B$19:$B$2222,"3")</f>
        <v>0</v>
      </c>
      <c r="AE21" s="187"/>
      <c r="AF21" s="185"/>
      <c r="AG21" s="185" t="str">
        <f t="shared" si="6"/>
        <v/>
      </c>
      <c r="AH21" s="186" t="str">
        <f t="shared" si="7"/>
        <v/>
      </c>
      <c r="AI21" s="185">
        <v>0</v>
      </c>
      <c r="AJ21" s="188">
        <v>0</v>
      </c>
    </row>
    <row r="22" spans="2:36" ht="30" customHeight="1" x14ac:dyDescent="0.3">
      <c r="B22" s="553"/>
      <c r="C22" s="554"/>
      <c r="D22" s="555"/>
      <c r="E22" s="250" t="str">
        <f t="shared" si="3"/>
        <v/>
      </c>
      <c r="F22" s="556"/>
      <c r="G22" s="252" t="str">
        <f>IFERROR(VLOOKUP(F22,'Data (hidden)'!N:O,2,FALSE),"")</f>
        <v/>
      </c>
      <c r="H22" s="557"/>
      <c r="I22" s="558"/>
      <c r="J22" s="123">
        <f t="shared" si="4"/>
        <v>0</v>
      </c>
      <c r="K22" s="123" t="e">
        <f t="shared" si="5"/>
        <v>#VALUE!</v>
      </c>
      <c r="L22" s="123">
        <f t="shared" si="1"/>
        <v>0</v>
      </c>
      <c r="M22" s="124" t="str">
        <f t="shared" si="2"/>
        <v/>
      </c>
      <c r="N22" s="100" t="s">
        <v>382</v>
      </c>
      <c r="O22" s="100">
        <f>SUMIFS($J$19:$J$650,$G$19:$G$650,"native broadleaf",$B$19:$B$650,"4")</f>
        <v>0</v>
      </c>
      <c r="P22" s="101">
        <f>SUMIFS($J$19:$J$650,$G$19:$G$650,"Non-Native Broadleaf",$B$19:$B$650,"4")</f>
        <v>0</v>
      </c>
      <c r="Q22" s="101">
        <f>SUMIFS($J$19:$J$650,$G$19:$G$650,"Naturalised Broadleaf",$B$19:$B$650,"4")</f>
        <v>0</v>
      </c>
      <c r="R22" s="102">
        <f>SUMIFS($J$19:$J$650,$G$19:$G$650,"Native Conifer",$B$19:$B$650,"4")</f>
        <v>0</v>
      </c>
      <c r="S22" s="102">
        <f>SUMIFS($J$19:$J$650,$G$19:$G$650,"Non-Native Conifer",$B$19:$B$650,"4")</f>
        <v>0</v>
      </c>
      <c r="T22" s="102">
        <f>SUMIFS($J$19:$J$650,$G$19:$G$650,"Naturalised Conifer",$B$19:$B$650,"4")</f>
        <v>0</v>
      </c>
      <c r="U22" s="103">
        <f>SUMIFS($J$19:$J$650,$G$19:$G$650,"Native Woody Shrub",$B$19:$B$650,"4")</f>
        <v>0</v>
      </c>
      <c r="V22" s="100">
        <f>SUMIFS($K$19:$K$2222,$G$19:$G$2222,"native broadleaf",$B$19:$B$2222,"4")</f>
        <v>0</v>
      </c>
      <c r="W22" s="101">
        <f>SUMIFS($K$19:$K$2222,$G$19:$G$2222,"Non-Native Broadleaf",$B$19:$B$2222,"4")</f>
        <v>0</v>
      </c>
      <c r="X22" s="101">
        <f>SUMIFS($K$19:$K$2222,$G$19:$G$2222,"Naturalised Broadleaf",$B$19:$B$2222,"4")</f>
        <v>0</v>
      </c>
      <c r="Y22" s="102">
        <f>SUMIFS($K$19:$K$2222,$G$19:$G$2222,"Native Conifer",$B$19:$B$2222,"4")</f>
        <v>0</v>
      </c>
      <c r="Z22" s="102">
        <f>SUMIFS($K$19:$K$2222,$G$19:$G$2222,"Non-Native Conifer",$B$19:$B$2222,"4")</f>
        <v>0</v>
      </c>
      <c r="AA22" s="102">
        <f>SUMIFS($K$19:$K$2222,$G$19:$G$2222,"Naturalised Conifer",$B$19:$B$2222,"4")</f>
        <v>0</v>
      </c>
      <c r="AB22" s="103">
        <f>SUMIFS($K$19:$K$2222,$G$19:$G$2222,"Native Woody Shrub",$B$19:$B$2222,"4")</f>
        <v>0</v>
      </c>
      <c r="AE22" s="187"/>
      <c r="AF22" s="185"/>
      <c r="AG22" s="185" t="str">
        <f t="shared" si="6"/>
        <v/>
      </c>
      <c r="AH22" s="186" t="str">
        <f t="shared" si="7"/>
        <v/>
      </c>
      <c r="AI22" s="185"/>
      <c r="AJ22" s="188"/>
    </row>
    <row r="23" spans="2:36" ht="30" customHeight="1" x14ac:dyDescent="0.3">
      <c r="B23" s="553"/>
      <c r="C23" s="554"/>
      <c r="D23" s="555"/>
      <c r="E23" s="250" t="str">
        <f t="shared" si="3"/>
        <v/>
      </c>
      <c r="F23" s="556"/>
      <c r="G23" s="252" t="str">
        <f>IFERROR(VLOOKUP(F23,'Data (hidden)'!N:O,2,FALSE),"")</f>
        <v/>
      </c>
      <c r="H23" s="557"/>
      <c r="I23" s="558"/>
      <c r="J23" s="123">
        <f t="shared" si="4"/>
        <v>0</v>
      </c>
      <c r="K23" s="123" t="e">
        <f t="shared" si="5"/>
        <v>#VALUE!</v>
      </c>
      <c r="L23" s="123">
        <f t="shared" si="1"/>
        <v>0</v>
      </c>
      <c r="M23" s="124" t="str">
        <f t="shared" si="2"/>
        <v/>
      </c>
      <c r="N23" s="100" t="s">
        <v>383</v>
      </c>
      <c r="O23" s="100">
        <f>SUMIFS($J$19:$J$650,$G$19:$G$650,"native broadleaf",$B$19:$B$650,"5")</f>
        <v>0</v>
      </c>
      <c r="P23" s="101">
        <f>SUMIFS($J$19:$J$650,$G$19:$G$650,"Non-Native Broadleaf",$B$19:$B$650,"5")</f>
        <v>0</v>
      </c>
      <c r="Q23" s="101">
        <f>SUMIFS($J$19:$J$650,$G$19:$G$650,"Naturalised Broadleaf",$B$19:$B$650,"5")</f>
        <v>0</v>
      </c>
      <c r="R23" s="102">
        <f>SUMIFS($J$19:$J$650,$G$19:$G$650,"Native Conifer",$B$19:$B$650,"5")</f>
        <v>0</v>
      </c>
      <c r="S23" s="102">
        <f>SUMIFS($J$19:$J$650,$G$19:$G$650,"Non-Native Conifer",$B$19:$B$650,"5")</f>
        <v>0</v>
      </c>
      <c r="T23" s="102">
        <f>SUMIFS($J$19:$J$650,$G$19:$G$650,"Naturalised Conifer",$B$19:$B$650,"5")</f>
        <v>0</v>
      </c>
      <c r="U23" s="103">
        <f>SUMIFS($J$19:$J$650,$G$19:$G$650,"Native Woody Shrub",$B$19:$B$650,"5")</f>
        <v>0</v>
      </c>
      <c r="V23" s="100">
        <f>SUMIFS($K$19:$K$2222,$G$19:$G$2222,"native broadleaf",$B$19:$B$2222,"5")</f>
        <v>0</v>
      </c>
      <c r="W23" s="101">
        <f>SUMIFS($K$19:$K$2222,$G$19:$G$2222,"Non-Native Broadleaf",$B$19:$B$2222,"5")</f>
        <v>0</v>
      </c>
      <c r="X23" s="101">
        <f>SUMIFS($K$19:$K$2222,$G$19:$G$2222,"Naturalised Broadleaf",$B$19:$B$2222,"5")</f>
        <v>0</v>
      </c>
      <c r="Y23" s="102">
        <f>SUMIFS($K$19:$K$2222,$G$19:$G$2222,"Native Conifer",$B$19:$B$2222,"5")</f>
        <v>0</v>
      </c>
      <c r="Z23" s="102">
        <f>SUMIFS($K$19:$K$2222,$G$19:$G$2222,"Non-Native Conifer",$B$19:$B$2222,"5")</f>
        <v>0</v>
      </c>
      <c r="AA23" s="102">
        <f>SUMIFS($K$19:$K$2222,$G$19:$G$2222,"Naturalised Conifer",$B$19:$B$2222,"5")</f>
        <v>0</v>
      </c>
      <c r="AB23" s="103">
        <f>SUMIFS($K$19:$K$2222,$G$19:$G$2222,"Native Woody Shrub",$B$19:$B$2222,"5")</f>
        <v>0</v>
      </c>
      <c r="AE23" s="187"/>
      <c r="AF23" s="185"/>
      <c r="AG23" s="185" t="str">
        <f t="shared" si="6"/>
        <v/>
      </c>
      <c r="AH23" s="186" t="str">
        <f t="shared" si="7"/>
        <v/>
      </c>
      <c r="AI23" s="185"/>
      <c r="AJ23" s="188"/>
    </row>
    <row r="24" spans="2:36" ht="30" customHeight="1" x14ac:dyDescent="0.3">
      <c r="B24" s="553"/>
      <c r="C24" s="560"/>
      <c r="D24" s="561"/>
      <c r="E24" s="250" t="str">
        <f t="shared" si="3"/>
        <v/>
      </c>
      <c r="F24" s="556"/>
      <c r="G24" s="252" t="str">
        <f>IFERROR(VLOOKUP(F24,'Data (hidden)'!N:O,2,FALSE),"")</f>
        <v/>
      </c>
      <c r="H24" s="557"/>
      <c r="I24" s="558"/>
      <c r="J24" s="123">
        <f t="shared" si="4"/>
        <v>0</v>
      </c>
      <c r="K24" s="123" t="e">
        <f t="shared" si="5"/>
        <v>#VALUE!</v>
      </c>
      <c r="L24" s="123">
        <f t="shared" si="1"/>
        <v>0</v>
      </c>
      <c r="M24" s="124" t="str">
        <f t="shared" si="2"/>
        <v/>
      </c>
      <c r="N24" s="100" t="s">
        <v>384</v>
      </c>
      <c r="O24" s="100">
        <f>SUMIFS($J$19:$J$650,$G$19:$G$650,"native broadleaf",$B$19:$B$650,"6")</f>
        <v>0</v>
      </c>
      <c r="P24" s="101">
        <f>SUMIFS($J$19:$J$650,$G$19:$G$650,"Non-Native Broadleaf",$B$19:$B$650,"6")</f>
        <v>0</v>
      </c>
      <c r="Q24" s="101">
        <f>SUMIFS($J$19:$J$650,$G$19:$G$650,"Naturalised Broadleaf",$B$19:$B$650,"6")</f>
        <v>0</v>
      </c>
      <c r="R24" s="102">
        <f>SUMIFS($J$19:$J$650,$G$19:$G$650,"Native Conifer",$B$19:$B$650,"6")</f>
        <v>0</v>
      </c>
      <c r="S24" s="102">
        <f>SUMIFS($J$19:$J$650,$G$19:$G$650,"Non-Native Conifer",$B$19:$B$650,"6")</f>
        <v>0</v>
      </c>
      <c r="T24" s="102">
        <f>SUMIFS($J$19:$J$650,$G$19:$G$650,"Naturalised Conifer",$B$19:$B$650,"6")</f>
        <v>0</v>
      </c>
      <c r="U24" s="103">
        <f>SUMIFS($J$19:$J$650,$G$19:$G$650,"Native Woody Shrub",$B$19:$B$650,"6")</f>
        <v>0</v>
      </c>
      <c r="V24" s="100">
        <f>SUMIFS($K$19:$K$2222,$G$19:$G$2222,"native broadleaf",$B$19:$B$2222,"6")</f>
        <v>0</v>
      </c>
      <c r="W24" s="101">
        <f>SUMIFS($K$19:$K$2222,$G$19:$G$2222,"Non-Native Broadleaf",$B$19:$B$2222,"6")</f>
        <v>0</v>
      </c>
      <c r="X24" s="101">
        <f>SUMIFS($K$19:$K$2222,$G$19:$G$2222,"Naturalised Broadleaf",$B$19:$B$2222,"6")</f>
        <v>0</v>
      </c>
      <c r="Y24" s="102">
        <f>SUMIFS($K$19:$K$2222,$G$19:$G$2222,"Native Conifer",$B$19:$B$2222,"6")</f>
        <v>0</v>
      </c>
      <c r="Z24" s="102">
        <f>SUMIFS($K$19:$K$2222,$G$19:$G$2222,"Non-Native Conifer",$B$19:$B$2222,"6")</f>
        <v>0</v>
      </c>
      <c r="AA24" s="102">
        <f>SUMIFS($K$19:$K$2222,$G$19:$G$2222,"Naturalised Conifer",$B$19:$B$2222,"6")</f>
        <v>0</v>
      </c>
      <c r="AB24" s="103">
        <f>SUMIFS($K$19:$K$2222,$G$19:$G$2222,"Native Woody Shrub",$B$19:$B$2222,"6")</f>
        <v>0</v>
      </c>
      <c r="AE24" s="187"/>
      <c r="AF24" s="185"/>
      <c r="AG24" s="185" t="str">
        <f t="shared" si="6"/>
        <v/>
      </c>
      <c r="AH24" s="186" t="str">
        <f t="shared" si="7"/>
        <v/>
      </c>
      <c r="AI24" s="185"/>
      <c r="AJ24" s="188"/>
    </row>
    <row r="25" spans="2:36" ht="30" customHeight="1" x14ac:dyDescent="0.3">
      <c r="B25" s="553"/>
      <c r="C25" s="560"/>
      <c r="D25" s="561"/>
      <c r="E25" s="250" t="str">
        <f t="shared" si="3"/>
        <v/>
      </c>
      <c r="F25" s="556"/>
      <c r="G25" s="252" t="str">
        <f>IFERROR(VLOOKUP(F25,'Data (hidden)'!N:O,2,FALSE),"")</f>
        <v/>
      </c>
      <c r="H25" s="557"/>
      <c r="I25" s="558"/>
      <c r="J25" s="123">
        <f t="shared" si="4"/>
        <v>0</v>
      </c>
      <c r="K25" s="123" t="e">
        <f t="shared" si="5"/>
        <v>#VALUE!</v>
      </c>
      <c r="L25" s="123">
        <f t="shared" si="1"/>
        <v>0</v>
      </c>
      <c r="M25" s="124" t="str">
        <f t="shared" si="2"/>
        <v/>
      </c>
      <c r="N25" s="100" t="s">
        <v>385</v>
      </c>
      <c r="O25" s="100">
        <f>SUMIFS($J$19:$J$650,$G$19:$G$650,"native broadleaf",$B$19:$B$650,"7")</f>
        <v>0</v>
      </c>
      <c r="P25" s="101">
        <f>SUMIFS($J$19:$J$650,$G$19:$G$650,"Non-Native Broadleaf",$B$19:$B$650,"7")</f>
        <v>0</v>
      </c>
      <c r="Q25" s="101">
        <f>SUMIFS($J$19:$J$650,$G$19:$G$650,"Naturalised Broadleaf",$B$19:$B$650,"7")</f>
        <v>0</v>
      </c>
      <c r="R25" s="102">
        <f>SUMIFS($J$19:$J$650,$G$19:$G$650,"Native Conifer",$B$19:$B$650,"7")</f>
        <v>0</v>
      </c>
      <c r="S25" s="102">
        <f>SUMIFS($J$19:$J$650,$G$19:$G$650,"Non-Native Conifer",$B$19:$B$650,"7")</f>
        <v>0</v>
      </c>
      <c r="T25" s="102">
        <f>SUMIFS($J$19:$J$650,$G$19:$G$650,"Naturalised Conifer",$B$19:$B$650,"7")</f>
        <v>0</v>
      </c>
      <c r="U25" s="103">
        <f>SUMIFS($J$19:$J$650,$G$19:$G$650,"Native Woody Shrub",$B$19:$B$650,"7")</f>
        <v>0</v>
      </c>
      <c r="V25" s="100">
        <f>SUMIFS($K$19:$K$2222,$G$19:$G$2222,"native broadleaf",$B$19:$B$2222,"7")</f>
        <v>0</v>
      </c>
      <c r="W25" s="101">
        <f>SUMIFS($K$19:$K$2222,$G$19:$G$2222,"Non-Native Broadleaf",$B$19:$B$2222,"7")</f>
        <v>0</v>
      </c>
      <c r="X25" s="101">
        <f>SUMIFS($K$19:$K$2222,$G$19:$G$2222,"Naturalised Broadleaf",$B$19:$B$2222,"7")</f>
        <v>0</v>
      </c>
      <c r="Y25" s="102">
        <f>SUMIFS($K$19:$K$2222,$G$19:$G$2222,"Native Conifer",$B$19:$B$2222,"7")</f>
        <v>0</v>
      </c>
      <c r="Z25" s="102">
        <f>SUMIFS($K$19:$K$2222,$G$19:$G$2222,"Non-Native Conifer",$B$19:$B$2222,"7")</f>
        <v>0</v>
      </c>
      <c r="AA25" s="102">
        <f>SUMIFS($K$19:$K$2222,$G$19:$G$2222,"Naturalised Conifer",$B$19:$B$2222,"7")</f>
        <v>0</v>
      </c>
      <c r="AB25" s="103">
        <f>SUMIFS($K$19:$K$2222,$G$19:$G$2222,"Native Woody Shrub",$B$19:$B$2222,"7")</f>
        <v>0</v>
      </c>
      <c r="AE25" s="187"/>
      <c r="AF25" s="185"/>
      <c r="AG25" s="185" t="str">
        <f t="shared" si="6"/>
        <v/>
      </c>
      <c r="AH25" s="186" t="str">
        <f t="shared" si="7"/>
        <v/>
      </c>
      <c r="AI25" s="185"/>
      <c r="AJ25" s="188"/>
    </row>
    <row r="26" spans="2:36" ht="30" customHeight="1" x14ac:dyDescent="0.3">
      <c r="B26" s="553"/>
      <c r="C26" s="560"/>
      <c r="D26" s="561"/>
      <c r="E26" s="250" t="str">
        <f>IF(SUM(C26-(C26*L26))=0,"",SUM(C26-(C26*L26)))</f>
        <v/>
      </c>
      <c r="F26" s="556"/>
      <c r="G26" s="252" t="str">
        <f>IFERROR(VLOOKUP(F26,'Data (hidden)'!N:O,2,FALSE),"")</f>
        <v/>
      </c>
      <c r="H26" s="557"/>
      <c r="I26" s="558"/>
      <c r="J26" s="123">
        <f t="shared" si="4"/>
        <v>0</v>
      </c>
      <c r="K26" s="123" t="e">
        <f t="shared" si="5"/>
        <v>#VALUE!</v>
      </c>
      <c r="L26" s="123">
        <f>D26*0.01</f>
        <v>0</v>
      </c>
      <c r="M26" s="124" t="str">
        <f t="shared" si="2"/>
        <v/>
      </c>
      <c r="N26" s="100" t="s">
        <v>386</v>
      </c>
      <c r="O26" s="100">
        <f>SUMIFS($J$19:$J$650,$G$19:$G$650,"native broadleaf",$B$19:$B$650,"8")</f>
        <v>0</v>
      </c>
      <c r="P26" s="101">
        <f>SUMIFS($J$19:$J$650,$G$19:$G$650,"Non-Native Broadleaf",$B$19:$B$650,"8")</f>
        <v>0</v>
      </c>
      <c r="Q26" s="101">
        <f>SUMIFS($J$19:$J$650,$G$19:$G$650,"Naturalised Broadleaf",$B$19:$B$650,"8")</f>
        <v>0</v>
      </c>
      <c r="R26" s="102">
        <f>SUMIFS($J$19:$J$650,$G$19:$G$650,"Native Conifer",$B$19:$B$650,"8")</f>
        <v>0</v>
      </c>
      <c r="S26" s="102">
        <f>SUMIFS($J$19:$J$650,$G$19:$G$650,"Non-Native Conifer",$B$19:$B$650,"8")</f>
        <v>0</v>
      </c>
      <c r="T26" s="102">
        <f>SUMIFS($J$19:$J$650,$G$19:$G$650,"Naturalised Conifer",$B$19:$B$650,"8")</f>
        <v>0</v>
      </c>
      <c r="U26" s="103">
        <f>SUMIFS($J$19:$J$650,$G$19:$G$650,"Native Woody Shrub",$B$19:$B$650,"8")</f>
        <v>0</v>
      </c>
      <c r="V26" s="100">
        <f>SUMIFS($K$19:$K$2222,$G$19:$G$2222,"native broadleaf",$B$19:$B$2222,"8")</f>
        <v>0</v>
      </c>
      <c r="W26" s="101">
        <f>SUMIFS($K$19:$K$2222,$G$19:$G$2222,"Non-Native Broadleaf",$B$19:$B$2222,"8")</f>
        <v>0</v>
      </c>
      <c r="X26" s="101">
        <f>SUMIFS($K$19:$K$2222,$G$19:$G$2222,"Naturalised Broadleaf",$B$19:$B$2222,"8")</f>
        <v>0</v>
      </c>
      <c r="Y26" s="102">
        <f>SUMIFS($K$19:$K$2222,$G$19:$G$2222,"Native Conifer",$B$19:$B$2222,"8")</f>
        <v>0</v>
      </c>
      <c r="Z26" s="102">
        <f>SUMIFS($K$19:$K$2222,$G$19:$G$2222,"Non-Native Conifer",$B$19:$B$2222,"8")</f>
        <v>0</v>
      </c>
      <c r="AA26" s="102">
        <f>SUMIFS($K$19:$K$2222,$G$19:$G$2222,"Naturalised Conifer",$B$19:$B$2222,"8")</f>
        <v>0</v>
      </c>
      <c r="AB26" s="103">
        <f>SUMIFS($K$19:$K$2222,$G$19:$G$2222,"Native Woody Shrub",$B$19:$B$2222,"8")</f>
        <v>0</v>
      </c>
      <c r="AE26" s="187"/>
      <c r="AF26" s="185"/>
      <c r="AG26" s="185" t="str">
        <f t="shared" si="6"/>
        <v/>
      </c>
      <c r="AH26" s="186" t="str">
        <f t="shared" si="7"/>
        <v/>
      </c>
      <c r="AI26" s="185"/>
      <c r="AJ26" s="188"/>
    </row>
    <row r="27" spans="2:36" ht="30" customHeight="1" x14ac:dyDescent="0.3">
      <c r="B27" s="553"/>
      <c r="C27" s="560"/>
      <c r="D27" s="561"/>
      <c r="E27" s="250" t="str">
        <f>IF(SUM(C27-(C27*L27))=0,"",SUM(C27-(C27*L27)))</f>
        <v/>
      </c>
      <c r="F27" s="556"/>
      <c r="G27" s="252" t="str">
        <f>IFERROR(VLOOKUP(F27,'Data (hidden)'!N:O,2,FALSE),"")</f>
        <v/>
      </c>
      <c r="H27" s="557"/>
      <c r="I27" s="558"/>
      <c r="J27" s="123">
        <f t="shared" si="4"/>
        <v>0</v>
      </c>
      <c r="K27" s="123" t="e">
        <f t="shared" si="5"/>
        <v>#VALUE!</v>
      </c>
      <c r="L27" s="123">
        <f>D27*0.01</f>
        <v>0</v>
      </c>
      <c r="M27" s="124" t="str">
        <f t="shared" si="2"/>
        <v/>
      </c>
      <c r="N27" s="100" t="s">
        <v>387</v>
      </c>
      <c r="O27" s="100">
        <f>SUMIFS($J$19:$J$650,$G$19:$G$650,"native broadleaf",$B$19:$B$650,"9")</f>
        <v>0</v>
      </c>
      <c r="P27" s="101">
        <f>SUMIFS($J$19:$J$650,$G$19:$G$650,"Non-Native Broadleaf",$B$19:$B$650,"9")</f>
        <v>0</v>
      </c>
      <c r="Q27" s="101">
        <f>SUMIFS($J$19:$J$650,$G$19:$G$650,"Naturalised Broadleaf",$B$19:$B$650,"9")</f>
        <v>0</v>
      </c>
      <c r="R27" s="102">
        <f>SUMIFS($J$19:$J$650,$G$19:$G$650,"Native Conifer",$B$19:$B$650,"9")</f>
        <v>0</v>
      </c>
      <c r="S27" s="102">
        <f>SUMIFS($J$19:$J$650,$G$19:$G$650,"Non-Native Conifer",$B$19:$B$650,"9")</f>
        <v>0</v>
      </c>
      <c r="T27" s="102">
        <f>SUMIFS($J$19:$J$650,$G$19:$G$650,"Naturalised Conifer",$B$19:$B$650,"9")</f>
        <v>0</v>
      </c>
      <c r="U27" s="103">
        <f>SUMIFS($J$19:$J$650,$G$19:$G$650,"Native Woody Shrub",$B$19:$B$650,"9")</f>
        <v>0</v>
      </c>
      <c r="V27" s="100">
        <f>SUMIFS($K$19:$K$2222,$G$19:$G$2222,"native broadleaf",$B$19:$B$2222,"9")</f>
        <v>0</v>
      </c>
      <c r="W27" s="101">
        <f>SUMIFS($K$19:$K$2222,$G$19:$G$2222,"Non-Native Broadleaf",$B$19:$B$2222,"9")</f>
        <v>0</v>
      </c>
      <c r="X27" s="101">
        <f>SUMIFS($K$19:$K$2222,$G$19:$G$2222,"Naturalised Broadleaf",$B$19:$B$2222,"9")</f>
        <v>0</v>
      </c>
      <c r="Y27" s="102">
        <f>SUMIFS($K$19:$K$2222,$G$19:$G$2222,"Native Conifer",$B$19:$B$2222,"9")</f>
        <v>0</v>
      </c>
      <c r="Z27" s="102">
        <f>SUMIFS($K$19:$K$2222,$G$19:$G$2222,"Non-Native Conifer",$B$19:$B$2222,"9")</f>
        <v>0</v>
      </c>
      <c r="AA27" s="102">
        <f>SUMIFS($K$19:$K$2222,$G$19:$G$2222,"Naturalised Conifer",$B$19:$B$2222,"9")</f>
        <v>0</v>
      </c>
      <c r="AB27" s="103">
        <f>SUMIFS($K$19:$K$2222,$G$19:$G$2222,"Native Woody Shrub",$B$19:$B$2222,"9")</f>
        <v>0</v>
      </c>
      <c r="AE27" s="187"/>
      <c r="AF27" s="185"/>
      <c r="AG27" s="185" t="str">
        <f t="shared" si="6"/>
        <v/>
      </c>
      <c r="AH27" s="186" t="str">
        <f t="shared" si="7"/>
        <v/>
      </c>
      <c r="AI27" s="185"/>
      <c r="AJ27" s="188"/>
    </row>
    <row r="28" spans="2:36" ht="30" customHeight="1" x14ac:dyDescent="0.3">
      <c r="B28" s="553"/>
      <c r="C28" s="560"/>
      <c r="D28" s="561"/>
      <c r="E28" s="250" t="str">
        <f>IF(SUM(C28-(C28*L28))=0,"",SUM(C28-(C28*L28)))</f>
        <v/>
      </c>
      <c r="F28" s="556"/>
      <c r="G28" s="252" t="str">
        <f>IFERROR(VLOOKUP(F28,'Data (hidden)'!N:O,2,FALSE),"")</f>
        <v/>
      </c>
      <c r="H28" s="557"/>
      <c r="I28" s="558"/>
      <c r="J28" s="123">
        <f t="shared" si="4"/>
        <v>0</v>
      </c>
      <c r="K28" s="123" t="e">
        <f t="shared" si="5"/>
        <v>#VALUE!</v>
      </c>
      <c r="L28" s="123">
        <f>D28*0.01</f>
        <v>0</v>
      </c>
      <c r="M28" s="124" t="str">
        <f t="shared" si="2"/>
        <v/>
      </c>
      <c r="N28" s="100" t="s">
        <v>388</v>
      </c>
      <c r="O28" s="100">
        <f>SUMIFS($J$19:$J$650,$G$19:$G$650,"native broadleaf",$B$19:$B$650,"10")</f>
        <v>0</v>
      </c>
      <c r="P28" s="101">
        <f>SUMIFS($J$19:$J$650,$G$19:$G$650,"Non-Native Broadleaf",$B$19:$B$650,"10")</f>
        <v>0</v>
      </c>
      <c r="Q28" s="101">
        <f>SUMIFS($J$19:$J$650,$G$19:$G$650,"Naturalised Broadleaf",$B$19:$B$650,"10")</f>
        <v>0</v>
      </c>
      <c r="R28" s="102">
        <f>SUMIFS($J$19:$J$650,$G$19:$G$650,"Native Conifer",$B$19:$B$650,"10")</f>
        <v>0</v>
      </c>
      <c r="S28" s="102">
        <f>SUMIFS($J$19:$J$650,$G$19:$G$650,"Non-Native Conifer",$B$19:$B$650,"10")</f>
        <v>0</v>
      </c>
      <c r="T28" s="102">
        <f>SUMIFS($J$19:$J$650,$G$19:$G$650,"Naturalised Conifer",$B$19:$B$650,"10")</f>
        <v>0</v>
      </c>
      <c r="U28" s="103">
        <f>SUMIFS($J$19:$J$650,$G$19:$G$650,"Native Woody Shrub",$B$19:$B$650,"10")</f>
        <v>0</v>
      </c>
      <c r="V28" s="100">
        <f>SUMIFS($K$19:$K$2222,$G$19:$G$2222,"native broadleaf",$B$19:$B$2222,"10")</f>
        <v>0</v>
      </c>
      <c r="W28" s="101">
        <f>SUMIFS($K$19:$K$2222,$G$19:$G$2222,"Non-Native Broadleaf",$B$19:$B$2222,"10")</f>
        <v>0</v>
      </c>
      <c r="X28" s="101">
        <f>SUMIFS($K$19:$K$2222,$G$19:$G$2222,"Naturalised Broadleaf",$B$19:$B$2222,"10")</f>
        <v>0</v>
      </c>
      <c r="Y28" s="102">
        <f>SUMIFS($K$19:$K$2222,$G$19:$G$2222,"Native Conifer",$B$19:$B$2222,"10")</f>
        <v>0</v>
      </c>
      <c r="Z28" s="102">
        <f>SUMIFS($K$19:$K$2222,$G$19:$G$2222,"Non-Native Conifer",$B$19:$B$2222,"10")</f>
        <v>0</v>
      </c>
      <c r="AA28" s="102">
        <f>SUMIFS($K$19:$K$2222,$G$19:$G$2222,"Naturalised Conifer",$B$19:$B$2222,"10")</f>
        <v>0</v>
      </c>
      <c r="AB28" s="103">
        <f>SUMIFS($K$19:$K$2222,$G$19:$G$2222,"Native Woody Shrub",$B$19:$B$2222,"10")</f>
        <v>0</v>
      </c>
      <c r="AE28" s="187"/>
      <c r="AF28" s="185"/>
      <c r="AG28" s="185" t="str">
        <f t="shared" si="6"/>
        <v/>
      </c>
      <c r="AH28" s="186" t="str">
        <f t="shared" si="7"/>
        <v/>
      </c>
      <c r="AI28" s="185"/>
      <c r="AJ28" s="188"/>
    </row>
    <row r="29" spans="2:36" ht="30" customHeight="1" x14ac:dyDescent="0.3">
      <c r="B29" s="553"/>
      <c r="C29" s="560"/>
      <c r="D29" s="561"/>
      <c r="E29" s="250" t="str">
        <f>IF(SUM(C29-(C29*L29))=0,"",SUM(C29-(C29*L29)))</f>
        <v/>
      </c>
      <c r="F29" s="556"/>
      <c r="G29" s="252" t="str">
        <f>IFERROR(VLOOKUP(F29,'Data (hidden)'!N:O,2,FALSE),"")</f>
        <v/>
      </c>
      <c r="H29" s="557"/>
      <c r="I29" s="558"/>
      <c r="J29" s="123">
        <f t="shared" si="4"/>
        <v>0</v>
      </c>
      <c r="K29" s="123" t="e">
        <f t="shared" si="5"/>
        <v>#VALUE!</v>
      </c>
      <c r="L29" s="123">
        <f>D29*0.01</f>
        <v>0</v>
      </c>
      <c r="M29" s="124" t="str">
        <f t="shared" si="2"/>
        <v/>
      </c>
      <c r="N29" s="100" t="s">
        <v>389</v>
      </c>
      <c r="O29" s="100">
        <f>SUMIFS($J$19:$J$650,$G$19:$G$650,"native broadleaf",$B$19:$B$650,"11")</f>
        <v>0</v>
      </c>
      <c r="P29" s="101">
        <f>SUMIFS($J$19:$J$650,$G$19:$G$650,"Non-Native Broadleaf",$B$19:$B$650,"11")</f>
        <v>0</v>
      </c>
      <c r="Q29" s="101">
        <f>SUMIFS($J$19:$J$650,$G$19:$G$650,"Naturalised Broadleaf",$B$19:$B$650,"11")</f>
        <v>0</v>
      </c>
      <c r="R29" s="102">
        <f>SUMIFS($J$19:$J$650,$G$19:$G$650,"Native Conifer",$B$19:$B$650,"11")</f>
        <v>0</v>
      </c>
      <c r="S29" s="102">
        <f>SUMIFS($J$19:$J$650,$G$19:$G$650,"Non-Native Conifer",$B$19:$B$650,"11")</f>
        <v>0</v>
      </c>
      <c r="T29" s="102">
        <f>SUMIFS($J$19:$J$650,$G$19:$G$650,"Naturalised Conifer",$B$19:$B$650,"11")</f>
        <v>0</v>
      </c>
      <c r="U29" s="103">
        <f>SUMIFS($J$19:$J$650,$G$19:$G$650,"Native Woody Shrub",$B$19:$B$650,"11")</f>
        <v>0</v>
      </c>
      <c r="V29" s="100">
        <f>SUMIFS($K$19:$K$2222,$G$19:$G$2222,"native broadleaf",$B$19:$B$2222,"11")</f>
        <v>0</v>
      </c>
      <c r="W29" s="101">
        <f>SUMIFS($K$19:$K$2222,$G$19:$G$2222,"Non-Native Broadleaf",$B$19:$B$2222,"11")</f>
        <v>0</v>
      </c>
      <c r="X29" s="101">
        <f>SUMIFS($K$19:$K$2222,$G$19:$G$2222,"Naturalised Broadleaf",$B$19:$B$2222,"11")</f>
        <v>0</v>
      </c>
      <c r="Y29" s="102">
        <f>SUMIFS($K$19:$K$2222,$G$19:$G$2222,"Native Conifer",$B$19:$B$2222,"11")</f>
        <v>0</v>
      </c>
      <c r="Z29" s="102">
        <f>SUMIFS($K$19:$K$2222,$G$19:$G$2222,"Non-Native Conifer",$B$19:$B$2222,"11")</f>
        <v>0</v>
      </c>
      <c r="AA29" s="102">
        <f>SUMIFS($K$19:$K$2222,$G$19:$G$2222,"Naturalised Conifer",$B$19:$B$2222,"11")</f>
        <v>0</v>
      </c>
      <c r="AB29" s="103">
        <f>SUMIFS($K$19:$K$2222,$G$19:$G$2222,"Native Woody Shrub",$B$19:$B$2222,"11")</f>
        <v>0</v>
      </c>
      <c r="AE29" s="187"/>
      <c r="AF29" s="185"/>
      <c r="AG29" s="185" t="str">
        <f t="shared" si="6"/>
        <v/>
      </c>
      <c r="AH29" s="186" t="str">
        <f t="shared" si="7"/>
        <v/>
      </c>
      <c r="AI29" s="185"/>
      <c r="AJ29" s="188"/>
    </row>
    <row r="30" spans="2:36" ht="30" customHeight="1" x14ac:dyDescent="0.3">
      <c r="B30" s="553"/>
      <c r="C30" s="560"/>
      <c r="D30" s="561"/>
      <c r="E30" s="250" t="str">
        <f>IF(SUM(C30-(C30*L30))=0,"",SUM(C30-(C30*L30)))</f>
        <v/>
      </c>
      <c r="F30" s="556"/>
      <c r="G30" s="252" t="str">
        <f>IFERROR(VLOOKUP(F30,'Data (hidden)'!N:O,2,FALSE),"")</f>
        <v/>
      </c>
      <c r="H30" s="557"/>
      <c r="I30" s="558"/>
      <c r="J30" s="123">
        <f t="shared" si="4"/>
        <v>0</v>
      </c>
      <c r="K30" s="123" t="e">
        <f t="shared" si="5"/>
        <v>#VALUE!</v>
      </c>
      <c r="L30" s="123">
        <f>D30*0.01</f>
        <v>0</v>
      </c>
      <c r="M30" s="124" t="str">
        <f t="shared" si="2"/>
        <v/>
      </c>
      <c r="N30" s="100" t="s">
        <v>390</v>
      </c>
      <c r="O30" s="100">
        <f>SUMIFS($J$19:$J$650,$G$19:$G$650,"native broadleaf",$B$19:$B$650,"12")</f>
        <v>0</v>
      </c>
      <c r="P30" s="101">
        <f>SUMIFS($J$19:$J$650,$G$19:$G$650,"Non-Native Broadleaf",$B$19:$B$650,"12")</f>
        <v>0</v>
      </c>
      <c r="Q30" s="101">
        <f>SUMIFS($J$19:$J$650,$G$19:$G$650,"Naturalised Broadleaf",$B$19:$B$650,"12")</f>
        <v>0</v>
      </c>
      <c r="R30" s="102">
        <f>SUMIFS($J$19:$J$650,$G$19:$G$650,"Native Conifer",$B$19:$B$650,"12")</f>
        <v>0</v>
      </c>
      <c r="S30" s="102">
        <f>SUMIFS($J$19:$J$650,$G$19:$G$650,"Non-Native Conifer",$B$19:$B$650,"12")</f>
        <v>0</v>
      </c>
      <c r="T30" s="102">
        <f>SUMIFS($J$19:$J$650,$G$19:$G$650,"Naturalised Conifer",$B$19:$B$650,"12")</f>
        <v>0</v>
      </c>
      <c r="U30" s="103">
        <f>SUMIFS($J$19:$J$650,$G$19:$G$650,"Native Woody Shrub",$B$19:$B$650,"12")</f>
        <v>0</v>
      </c>
      <c r="V30" s="100">
        <f>SUMIFS($K$19:$K$2222,$G$19:$G$2222,"native broadleaf",$B$19:$B$2222,"12")</f>
        <v>0</v>
      </c>
      <c r="W30" s="101">
        <f>SUMIFS($K$19:$K$2222,$G$19:$G$2222,"Non-Native Broadleaf",$B$19:$B$2222,"12")</f>
        <v>0</v>
      </c>
      <c r="X30" s="101">
        <f>SUMIFS($K$19:$K$2222,$G$19:$G$2222,"Naturalised Broadleaf",$B$19:$B$2222,"12")</f>
        <v>0</v>
      </c>
      <c r="Y30" s="102">
        <f>SUMIFS($K$19:$K$2222,$G$19:$G$2222,"Native Conifer",$B$19:$B$2222,"12")</f>
        <v>0</v>
      </c>
      <c r="Z30" s="102">
        <f>SUMIFS($K$19:$K$2222,$G$19:$G$2222,"Non-Native Conifer",$B$19:$B$2222,"12")</f>
        <v>0</v>
      </c>
      <c r="AA30" s="102">
        <f>SUMIFS($K$19:$K$2222,$G$19:$G$2222,"Naturalised Conifer",$B$19:$B$2222,"12")</f>
        <v>0</v>
      </c>
      <c r="AB30" s="103">
        <f>SUMIFS($K$19:$K$2222,$G$19:$G$2222,"Native Woody Shrub",$B$19:$B$2222,"12")</f>
        <v>0</v>
      </c>
      <c r="AE30" s="187"/>
      <c r="AF30" s="185"/>
      <c r="AG30" s="185" t="str">
        <f t="shared" si="6"/>
        <v/>
      </c>
      <c r="AH30" s="186" t="str">
        <f t="shared" si="7"/>
        <v/>
      </c>
      <c r="AI30" s="185"/>
      <c r="AJ30" s="188"/>
    </row>
    <row r="31" spans="2:36" ht="30" customHeight="1" x14ac:dyDescent="0.3">
      <c r="B31" s="553"/>
      <c r="C31" s="560"/>
      <c r="D31" s="561"/>
      <c r="E31" s="250" t="str">
        <f t="shared" si="3"/>
        <v/>
      </c>
      <c r="F31" s="556"/>
      <c r="G31" s="252" t="str">
        <f>IFERROR(VLOOKUP(F31,'Data (hidden)'!N:O,2,FALSE),"")</f>
        <v/>
      </c>
      <c r="H31" s="557"/>
      <c r="I31" s="558"/>
      <c r="J31" s="123">
        <f t="shared" si="4"/>
        <v>0</v>
      </c>
      <c r="K31" s="123" t="e">
        <f t="shared" si="5"/>
        <v>#VALUE!</v>
      </c>
      <c r="L31" s="123">
        <f t="shared" si="1"/>
        <v>0</v>
      </c>
      <c r="M31" s="124" t="str">
        <f t="shared" si="2"/>
        <v/>
      </c>
      <c r="N31" s="100" t="s">
        <v>391</v>
      </c>
      <c r="O31" s="100">
        <f>SUMIFS($J$19:$J$650,$G$19:$G$650,"native broadleaf",$B$19:$B$650,"13")</f>
        <v>0</v>
      </c>
      <c r="P31" s="101">
        <f>SUMIFS($J$19:$J$650,$G$19:$G$650,"Non-Native Broadleaf",$B$19:$B$650,"13")</f>
        <v>0</v>
      </c>
      <c r="Q31" s="101">
        <f>SUMIFS($J$19:$J$650,$G$19:$G$650,"Naturalised Broadleaf",$B$19:$B$650,"13")</f>
        <v>0</v>
      </c>
      <c r="R31" s="102">
        <f>SUMIFS($J$19:$J$650,$G$19:$G$650,"Native Conifer",$B$19:$B$650,"13")</f>
        <v>0</v>
      </c>
      <c r="S31" s="102">
        <f>SUMIFS($J$19:$J$650,$G$19:$G$650,"Non-Native Conifer",$B$19:$B$650,"13")</f>
        <v>0</v>
      </c>
      <c r="T31" s="102">
        <f>SUMIFS($J$19:$J$650,$G$19:$G$650,"Naturalised Conifer",$B$19:$B$650,"13")</f>
        <v>0</v>
      </c>
      <c r="U31" s="103">
        <f>SUMIFS($J$19:$J$650,$G$19:$G$650,"Native Woody Shrub",$B$19:$B$650,"13")</f>
        <v>0</v>
      </c>
      <c r="V31" s="100">
        <f>SUMIFS($K$19:$K$2222,$G$19:$G$2222,"native broadleaf",$B$19:$B$2222,"13")</f>
        <v>0</v>
      </c>
      <c r="W31" s="101">
        <f>SUMIFS($K$19:$K$2222,$G$19:$G$2222,"Non-Native Broadleaf",$B$19:$B$2222,"13")</f>
        <v>0</v>
      </c>
      <c r="X31" s="101">
        <f>SUMIFS($K$19:$K$2222,$G$19:$G$2222,"Naturalised Broadleaf",$B$19:$B$2222,"13")</f>
        <v>0</v>
      </c>
      <c r="Y31" s="102">
        <f>SUMIFS($K$19:$K$2222,$G$19:$G$2222,"Native Conifer",$B$19:$B$2222,"13")</f>
        <v>0</v>
      </c>
      <c r="Z31" s="102">
        <f>SUMIFS($K$19:$K$2222,$G$19:$G$2222,"Non-Native Conifer",$B$19:$B$2222,"13")</f>
        <v>0</v>
      </c>
      <c r="AA31" s="102">
        <f>SUMIFS($K$19:$K$2222,$G$19:$G$2222,"Naturalised Conifer",$B$19:$B$2222,"13")</f>
        <v>0</v>
      </c>
      <c r="AB31" s="103">
        <f>SUMIFS($K$19:$K$2222,$G$19:$G$2222,"Native Woody Shrub",$B$19:$B$2222,"13")</f>
        <v>0</v>
      </c>
      <c r="AE31" s="187"/>
      <c r="AF31" s="185"/>
      <c r="AG31" s="185" t="str">
        <f t="shared" si="6"/>
        <v/>
      </c>
      <c r="AH31" s="186" t="str">
        <f t="shared" si="7"/>
        <v/>
      </c>
      <c r="AI31" s="185"/>
      <c r="AJ31" s="188"/>
    </row>
    <row r="32" spans="2:36" ht="30" customHeight="1" x14ac:dyDescent="0.3">
      <c r="B32" s="553"/>
      <c r="C32" s="560"/>
      <c r="D32" s="561"/>
      <c r="E32" s="250" t="str">
        <f t="shared" si="3"/>
        <v/>
      </c>
      <c r="F32" s="556"/>
      <c r="G32" s="252" t="str">
        <f>IFERROR(VLOOKUP(F32,'Data (hidden)'!N:O,2,FALSE),"")</f>
        <v/>
      </c>
      <c r="H32" s="557"/>
      <c r="I32" s="558"/>
      <c r="J32" s="123">
        <f t="shared" si="4"/>
        <v>0</v>
      </c>
      <c r="K32" s="123" t="e">
        <f t="shared" si="5"/>
        <v>#VALUE!</v>
      </c>
      <c r="L32" s="123">
        <f t="shared" si="1"/>
        <v>0</v>
      </c>
      <c r="M32" s="124" t="str">
        <f t="shared" si="2"/>
        <v/>
      </c>
      <c r="N32" s="100" t="s">
        <v>392</v>
      </c>
      <c r="O32" s="100">
        <f>SUMIFS($J$19:$J$650,$G$19:$G$650,"native broadleaf",$B$19:$B$650,"14")</f>
        <v>0</v>
      </c>
      <c r="P32" s="101">
        <f>SUMIFS($J$19:$J$650,$G$19:$G$650,"Non-Native Broadleaf",$B$19:$B$650,"14")</f>
        <v>0</v>
      </c>
      <c r="Q32" s="101">
        <f>SUMIFS($J$19:$J$650,$G$19:$G$650,"Naturalised Broadleaf",$B$19:$B$650,"14")</f>
        <v>0</v>
      </c>
      <c r="R32" s="102">
        <f>SUMIFS($J$19:$J$650,$G$19:$G$650,"Native Conifer",$B$19:$B$650,"14")</f>
        <v>0</v>
      </c>
      <c r="S32" s="102">
        <f>SUMIFS($J$19:$J$650,$G$19:$G$650,"Non-Native Conifer",$B$19:$B$650,"14")</f>
        <v>0</v>
      </c>
      <c r="T32" s="102">
        <f>SUMIFS($J$19:$J$650,$G$19:$G$650,"Naturalised Conifer",$B$19:$B$650,"14")</f>
        <v>0</v>
      </c>
      <c r="U32" s="103">
        <f>SUMIFS($J$19:$J$650,$G$19:$G$650,"Native Woody Shrub",$B$19:$B$650,"14")</f>
        <v>0</v>
      </c>
      <c r="V32" s="100">
        <f>SUMIFS($K$19:$K$2222,$G$19:$G$2222,"native broadleaf",$B$19:$B$2222,"14")</f>
        <v>0</v>
      </c>
      <c r="W32" s="101">
        <f>SUMIFS($K$19:$K$2222,$G$19:$G$2222,"Non-Native Broadleaf",$B$19:$B$2222,"14")</f>
        <v>0</v>
      </c>
      <c r="X32" s="101">
        <f>SUMIFS($K$19:$K$2222,$G$19:$G$2222,"Naturalised Broadleaf",$B$19:$B$2222,"14")</f>
        <v>0</v>
      </c>
      <c r="Y32" s="102">
        <f>SUMIFS($K$19:$K$2222,$G$19:$G$2222,"Native Conifer",$B$19:$B$2222,"14")</f>
        <v>0</v>
      </c>
      <c r="Z32" s="102">
        <f>SUMIFS($K$19:$K$2222,$G$19:$G$2222,"Non-Native Conifer",$B$19:$B$2222,"14")</f>
        <v>0</v>
      </c>
      <c r="AA32" s="102">
        <f>SUMIFS($K$19:$K$2222,$G$19:$G$2222,"Naturalised Conifer",$B$19:$B$2222,"14")</f>
        <v>0</v>
      </c>
      <c r="AB32" s="103">
        <f>SUMIFS($K$19:$K$2222,$G$19:$G$2222,"Native Woody Shrub",$B$19:$B$2222,"14")</f>
        <v>0</v>
      </c>
      <c r="AE32" s="187"/>
      <c r="AF32" s="185"/>
      <c r="AG32" s="185" t="str">
        <f t="shared" si="6"/>
        <v/>
      </c>
      <c r="AH32" s="186" t="str">
        <f t="shared" si="7"/>
        <v/>
      </c>
      <c r="AI32" s="185"/>
      <c r="AJ32" s="188"/>
    </row>
    <row r="33" spans="2:36" ht="30" customHeight="1" x14ac:dyDescent="0.3">
      <c r="B33" s="553"/>
      <c r="C33" s="560"/>
      <c r="D33" s="561"/>
      <c r="E33" s="250" t="str">
        <f t="shared" si="3"/>
        <v/>
      </c>
      <c r="F33" s="556"/>
      <c r="G33" s="252" t="str">
        <f>IFERROR(VLOOKUP(F33,'Data (hidden)'!N:O,2,FALSE),"")</f>
        <v/>
      </c>
      <c r="H33" s="557"/>
      <c r="I33" s="558"/>
      <c r="J33" s="123">
        <f t="shared" si="4"/>
        <v>0</v>
      </c>
      <c r="K33" s="123" t="e">
        <f t="shared" si="5"/>
        <v>#VALUE!</v>
      </c>
      <c r="L33" s="123">
        <f t="shared" si="1"/>
        <v>0</v>
      </c>
      <c r="M33" s="124" t="str">
        <f t="shared" si="2"/>
        <v/>
      </c>
      <c r="N33" s="100" t="s">
        <v>393</v>
      </c>
      <c r="O33" s="100">
        <f>SUMIFS($J$19:$J$650,$G$19:$G$650,"native broadleaf",$B$19:$B$650,"15")</f>
        <v>0</v>
      </c>
      <c r="P33" s="101">
        <f>SUMIFS($J$19:$J$650,$G$19:$G$650,"Non-Native Broadleaf",$B$19:$B$650,"15")</f>
        <v>0</v>
      </c>
      <c r="Q33" s="101">
        <f>SUMIFS($J$19:$J$650,$G$19:$G$650,"Naturalised Broadleaf",$B$19:$B$650,"15")</f>
        <v>0</v>
      </c>
      <c r="R33" s="102">
        <f>SUMIFS($J$19:$J$650,$G$19:$G$650,"Native Conifer",$B$19:$B$650,"15")</f>
        <v>0</v>
      </c>
      <c r="S33" s="102">
        <f>SUMIFS($J$19:$J$650,$G$19:$G$650,"Non-Native Conifer",$B$19:$B$650,"15")</f>
        <v>0</v>
      </c>
      <c r="T33" s="102">
        <f>SUMIFS($J$19:$J$650,$G$19:$G$650,"Naturalised Conifer",$B$19:$B$650,"15")</f>
        <v>0</v>
      </c>
      <c r="U33" s="103">
        <f>SUMIFS($J$19:$J$650,$G$19:$G$650,"Native Woody Shrub",$B$19:$B$650,"15")</f>
        <v>0</v>
      </c>
      <c r="V33" s="100">
        <f>SUMIFS($K$19:$K$2222,$G$19:$G$2222,"native broadleaf",$B$19:$B$2222,"15")</f>
        <v>0</v>
      </c>
      <c r="W33" s="101">
        <f>SUMIFS($K$19:$K$2222,$G$19:$G$2222,"Non-Native Broadleaf",$B$19:$B$2222,"15")</f>
        <v>0</v>
      </c>
      <c r="X33" s="101">
        <f>SUMIFS($K$19:$K$2222,$G$19:$G$2222,"Naturalised Broadleaf",$B$19:$B$2222,"15")</f>
        <v>0</v>
      </c>
      <c r="Y33" s="102">
        <f>SUMIFS($K$19:$K$2222,$G$19:$G$2222,"Native Conifer",$B$19:$B$2222,"15")</f>
        <v>0</v>
      </c>
      <c r="Z33" s="102">
        <f>SUMIFS($K$19:$K$2222,$G$19:$G$2222,"Non-Native Conifer",$B$19:$B$2222,"15")</f>
        <v>0</v>
      </c>
      <c r="AA33" s="102">
        <f>SUMIFS($K$19:$K$2222,$G$19:$G$2222,"Naturalised Conifer",$B$19:$B$2222,"15")</f>
        <v>0</v>
      </c>
      <c r="AB33" s="103">
        <f>SUMIFS($K$19:$K$2222,$G$19:$G$2222,"Native Woody Shrub",$B$19:$B$2222,"15")</f>
        <v>0</v>
      </c>
      <c r="AE33" s="187"/>
      <c r="AF33" s="185"/>
      <c r="AG33" s="185" t="str">
        <f t="shared" si="6"/>
        <v/>
      </c>
      <c r="AH33" s="186" t="str">
        <f t="shared" si="7"/>
        <v/>
      </c>
      <c r="AI33" s="185"/>
      <c r="AJ33" s="188"/>
    </row>
    <row r="34" spans="2:36" ht="30" customHeight="1" x14ac:dyDescent="0.3">
      <c r="B34" s="553"/>
      <c r="C34" s="560"/>
      <c r="D34" s="561"/>
      <c r="E34" s="250" t="str">
        <f t="shared" si="3"/>
        <v/>
      </c>
      <c r="F34" s="556"/>
      <c r="G34" s="252" t="str">
        <f>IFERROR(VLOOKUP(F34,'Data (hidden)'!N:O,2,FALSE),"")</f>
        <v/>
      </c>
      <c r="H34" s="557"/>
      <c r="I34" s="558"/>
      <c r="J34" s="123">
        <f t="shared" si="4"/>
        <v>0</v>
      </c>
      <c r="K34" s="123" t="e">
        <f t="shared" si="5"/>
        <v>#VALUE!</v>
      </c>
      <c r="L34" s="123">
        <f t="shared" si="1"/>
        <v>0</v>
      </c>
      <c r="M34" s="124" t="str">
        <f t="shared" si="2"/>
        <v/>
      </c>
      <c r="N34" s="100" t="s">
        <v>394</v>
      </c>
      <c r="O34" s="100">
        <f>SUMIFS($J$19:$J$650,$G$19:$G$650,"native broadleaf",$B$19:$B$650,"16")</f>
        <v>0</v>
      </c>
      <c r="P34" s="101">
        <f>SUMIFS($J$19:$J$650,$G$19:$G$650,"Non-Native Broadleaf",$B$19:$B$650,"16")</f>
        <v>0</v>
      </c>
      <c r="Q34" s="101">
        <f>SUMIFS($J$19:$J$650,$G$19:$G$650,"Naturalised Broadleaf",$B$19:$B$650,"16")</f>
        <v>0</v>
      </c>
      <c r="R34" s="102">
        <f>SUMIFS($J$19:$J$650,$G$19:$G$650,"Native Conifer",$B$19:$B$650,"16")</f>
        <v>0</v>
      </c>
      <c r="S34" s="102">
        <f>SUMIFS($J$19:$J$650,$G$19:$G$650,"Non-Native Conifer",$B$19:$B$650,"16")</f>
        <v>0</v>
      </c>
      <c r="T34" s="102">
        <f>SUMIFS($J$19:$J$650,$G$19:$G$650,"Naturalised Conifer",$B$19:$B$650,"16")</f>
        <v>0</v>
      </c>
      <c r="U34" s="103">
        <f>SUMIFS($J$19:$J$650,$G$19:$G$650,"Native Woody Shrub",$B$19:$B$650,"16")</f>
        <v>0</v>
      </c>
      <c r="V34" s="100">
        <f>SUMIFS($K$19:$K$2222,$G$19:$G$2222,"native broadleaf",$B$19:$B$2222,"16")</f>
        <v>0</v>
      </c>
      <c r="W34" s="101">
        <f>SUMIFS($K$19:$K$2222,$G$19:$G$2222,"Non-Native Broadleaf",$B$19:$B$2222,"16")</f>
        <v>0</v>
      </c>
      <c r="X34" s="101">
        <f>SUMIFS($K$19:$K$2222,$G$19:$G$2222,"Naturalised Broadleaf",$B$19:$B$2222,"16")</f>
        <v>0</v>
      </c>
      <c r="Y34" s="102">
        <f>SUMIFS($K$19:$K$2222,$G$19:$G$2222,"Native Conifer",$B$19:$B$2222,"16")</f>
        <v>0</v>
      </c>
      <c r="Z34" s="102">
        <f>SUMIFS($K$19:$K$2222,$G$19:$G$2222,"Non-Native Conifer",$B$19:$B$2222,"16")</f>
        <v>0</v>
      </c>
      <c r="AA34" s="102">
        <f>SUMIFS($K$19:$K$2222,$G$19:$G$2222,"Naturalised Conifer",$B$19:$B$2222,"16")</f>
        <v>0</v>
      </c>
      <c r="AB34" s="103">
        <f>SUMIFS($K$19:$K$2222,$G$19:$G$2222,"Native Woody Shrub",$B$19:$B$2222,"16")</f>
        <v>0</v>
      </c>
      <c r="AE34" s="187"/>
      <c r="AF34" s="185"/>
      <c r="AG34" s="185" t="str">
        <f t="shared" si="6"/>
        <v/>
      </c>
      <c r="AH34" s="186" t="str">
        <f t="shared" si="7"/>
        <v/>
      </c>
      <c r="AI34" s="185"/>
      <c r="AJ34" s="188"/>
    </row>
    <row r="35" spans="2:36" ht="30" customHeight="1" x14ac:dyDescent="0.3">
      <c r="B35" s="553"/>
      <c r="C35" s="560"/>
      <c r="D35" s="561"/>
      <c r="E35" s="250" t="str">
        <f t="shared" si="3"/>
        <v/>
      </c>
      <c r="F35" s="556"/>
      <c r="G35" s="252" t="str">
        <f>IFERROR(VLOOKUP(F35,'Data (hidden)'!N:O,2,FALSE),"")</f>
        <v/>
      </c>
      <c r="H35" s="557"/>
      <c r="I35" s="558"/>
      <c r="J35" s="123">
        <f t="shared" si="4"/>
        <v>0</v>
      </c>
      <c r="K35" s="123" t="e">
        <f t="shared" si="5"/>
        <v>#VALUE!</v>
      </c>
      <c r="L35" s="123">
        <f t="shared" si="1"/>
        <v>0</v>
      </c>
      <c r="M35" s="124" t="str">
        <f t="shared" si="2"/>
        <v/>
      </c>
      <c r="N35" s="100" t="s">
        <v>395</v>
      </c>
      <c r="O35" s="100">
        <f>SUMIFS($J$19:$J$650,$G$19:$G$650,"native broadleaf",$B$19:$B$650,"17")</f>
        <v>0</v>
      </c>
      <c r="P35" s="101">
        <f>SUMIFS($J$19:$J$650,$G$19:$G$650,"Non-Native Broadleaf",$B$19:$B$650,"17")</f>
        <v>0</v>
      </c>
      <c r="Q35" s="101">
        <f>SUMIFS($J$19:$J$650,$G$19:$G$650,"Naturalised Broadleaf",$B$19:$B$650,"17")</f>
        <v>0</v>
      </c>
      <c r="R35" s="102">
        <f>SUMIFS($J$19:$J$650,$G$19:$G$650,"Native Conifer",$B$19:$B$650,"17")</f>
        <v>0</v>
      </c>
      <c r="S35" s="102">
        <f>SUMIFS($J$19:$J$650,$G$19:$G$650,"Non-Native Conifer",$B$19:$B$650,"17")</f>
        <v>0</v>
      </c>
      <c r="T35" s="102">
        <f>SUMIFS($J$19:$J$650,$G$19:$G$650,"Naturalised Conifer",$B$19:$B$650,"17")</f>
        <v>0</v>
      </c>
      <c r="U35" s="103">
        <f>SUMIFS($J$19:$J$650,$G$19:$G$650,"Native Woody Shrub",$B$19:$B$650,"17")</f>
        <v>0</v>
      </c>
      <c r="V35" s="100">
        <f>SUMIFS($K$19:$K$2222,$G$19:$G$2222,"native broadleaf",$B$19:$B$2222,"17")</f>
        <v>0</v>
      </c>
      <c r="W35" s="101">
        <f>SUMIFS($K$19:$K$2222,$G$19:$G$2222,"Non-Native Broadleaf",$B$19:$B$2222,"17")</f>
        <v>0</v>
      </c>
      <c r="X35" s="101">
        <f>SUMIFS($K$19:$K$2222,$G$19:$G$2222,"Naturalised Broadleaf",$B$19:$B$2222,"17")</f>
        <v>0</v>
      </c>
      <c r="Y35" s="102">
        <f>SUMIFS($K$19:$K$2222,$G$19:$G$2222,"Native Conifer",$B$19:$B$2222,"17")</f>
        <v>0</v>
      </c>
      <c r="Z35" s="102">
        <f>SUMIFS($K$19:$K$2222,$G$19:$G$2222,"Non-Native Conifer",$B$19:$B$2222,"17")</f>
        <v>0</v>
      </c>
      <c r="AA35" s="102">
        <f>SUMIFS($K$19:$K$2222,$G$19:$G$2222,"Naturalised Conifer",$B$19:$B$2222,"17")</f>
        <v>0</v>
      </c>
      <c r="AB35" s="103">
        <f>SUMIFS($K$19:$K$2222,$G$19:$G$2222,"Native Woody Shrub",$B$19:$B$2222,"17")</f>
        <v>0</v>
      </c>
      <c r="AE35" s="187"/>
      <c r="AF35" s="185"/>
      <c r="AG35" s="185" t="str">
        <f t="shared" si="6"/>
        <v/>
      </c>
      <c r="AH35" s="186" t="str">
        <f t="shared" si="7"/>
        <v/>
      </c>
      <c r="AI35" s="185"/>
      <c r="AJ35" s="188"/>
    </row>
    <row r="36" spans="2:36" ht="30" customHeight="1" x14ac:dyDescent="0.3">
      <c r="B36" s="553"/>
      <c r="C36" s="560"/>
      <c r="D36" s="561"/>
      <c r="E36" s="250" t="str">
        <f t="shared" si="3"/>
        <v/>
      </c>
      <c r="F36" s="556"/>
      <c r="G36" s="252" t="str">
        <f>IFERROR(VLOOKUP(F36,'Data (hidden)'!N:O,2,FALSE),"")</f>
        <v/>
      </c>
      <c r="H36" s="557"/>
      <c r="I36" s="558"/>
      <c r="J36" s="123">
        <f t="shared" si="4"/>
        <v>0</v>
      </c>
      <c r="K36" s="123" t="e">
        <f t="shared" si="5"/>
        <v>#VALUE!</v>
      </c>
      <c r="L36" s="123">
        <f t="shared" si="1"/>
        <v>0</v>
      </c>
      <c r="M36" s="124" t="str">
        <f t="shared" si="2"/>
        <v/>
      </c>
      <c r="N36" s="100" t="s">
        <v>396</v>
      </c>
      <c r="O36" s="100">
        <f>SUMIFS($J$19:$J$650,$G$19:$G$650,"native broadleaf",$B$19:$B$650,"18")</f>
        <v>0</v>
      </c>
      <c r="P36" s="101">
        <f>SUMIFS($J$19:$J$650,$G$19:$G$650,"Non-Native Broadleaf",$B$19:$B$650,"18")</f>
        <v>0</v>
      </c>
      <c r="Q36" s="101">
        <f>SUMIFS($J$19:$J$650,$G$19:$G$650,"Naturalised Broadleaf",$B$19:$B$650,"18")</f>
        <v>0</v>
      </c>
      <c r="R36" s="102">
        <f>SUMIFS($J$19:$J$650,$G$19:$G$650,"Native Conifer",$B$19:$B$650,"18")</f>
        <v>0</v>
      </c>
      <c r="S36" s="102">
        <f>SUMIFS($J$19:$J$650,$G$19:$G$650,"Non-Native Conifer",$B$19:$B$650,"18")</f>
        <v>0</v>
      </c>
      <c r="T36" s="102">
        <f>SUMIFS($J$19:$J$650,$G$19:$G$650,"Naturalised Conifer",$B$19:$B$650,"18")</f>
        <v>0</v>
      </c>
      <c r="U36" s="103">
        <f>SUMIFS($J$19:$J$650,$G$19:$G$650,"Native Woody Shrub",$B$19:$B$650,"18")</f>
        <v>0</v>
      </c>
      <c r="V36" s="100">
        <f>SUMIFS($K$19:$K$2222,$G$19:$G$2222,"native broadleaf",$B$19:$B$2222,"18")</f>
        <v>0</v>
      </c>
      <c r="W36" s="101">
        <f>SUMIFS($K$19:$K$2222,$G$19:$G$2222,"Non-Native Broadleaf",$B$19:$B$2222,"18")</f>
        <v>0</v>
      </c>
      <c r="X36" s="101">
        <f>SUMIFS($K$19:$K$2222,$G$19:$G$2222,"Naturalised Broadleaf",$B$19:$B$2222,"18")</f>
        <v>0</v>
      </c>
      <c r="Y36" s="102">
        <f>SUMIFS($K$19:$K$2222,$G$19:$G$2222,"Native Conifer",$B$19:$B$2222,"18")</f>
        <v>0</v>
      </c>
      <c r="Z36" s="102">
        <f>SUMIFS($K$19:$K$2222,$G$19:$G$2222,"Non-Native Conifer",$B$19:$B$2222,"18")</f>
        <v>0</v>
      </c>
      <c r="AA36" s="102">
        <f>SUMIFS($K$19:$K$2222,$G$19:$G$2222,"Naturalised Conifer",$B$19:$B$2222,"18")</f>
        <v>0</v>
      </c>
      <c r="AB36" s="103">
        <f>SUMIFS($K$19:$K$2222,$G$19:$G$2222,"Native Woody Shrub",$B$19:$B$2222,"18")</f>
        <v>0</v>
      </c>
      <c r="AE36" s="187"/>
      <c r="AF36" s="185"/>
      <c r="AG36" s="185" t="str">
        <f t="shared" si="6"/>
        <v/>
      </c>
      <c r="AH36" s="186" t="str">
        <f t="shared" si="7"/>
        <v/>
      </c>
      <c r="AI36" s="185"/>
      <c r="AJ36" s="188"/>
    </row>
    <row r="37" spans="2:36" ht="30" customHeight="1" x14ac:dyDescent="0.3">
      <c r="B37" s="553"/>
      <c r="C37" s="560"/>
      <c r="D37" s="561"/>
      <c r="E37" s="250" t="str">
        <f t="shared" si="3"/>
        <v/>
      </c>
      <c r="F37" s="556"/>
      <c r="G37" s="252" t="str">
        <f>IFERROR(VLOOKUP(F37,'Data (hidden)'!N:O,2,FALSE),"")</f>
        <v/>
      </c>
      <c r="H37" s="557"/>
      <c r="I37" s="558"/>
      <c r="J37" s="123">
        <f t="shared" si="4"/>
        <v>0</v>
      </c>
      <c r="K37" s="123" t="e">
        <f t="shared" si="5"/>
        <v>#VALUE!</v>
      </c>
      <c r="L37" s="123">
        <f t="shared" si="1"/>
        <v>0</v>
      </c>
      <c r="M37" s="124" t="str">
        <f t="shared" si="2"/>
        <v/>
      </c>
      <c r="N37" s="100" t="s">
        <v>397</v>
      </c>
      <c r="O37" s="100">
        <f>SUMIFS($J$19:$J$650,$G$19:$G$650,"native broadleaf",$B$19:$B$650,"19")</f>
        <v>0</v>
      </c>
      <c r="P37" s="101">
        <f>SUMIFS($J$19:$J$650,$G$19:$G$650,"Non-Native Broadleaf",$B$19:$B$650,"19")</f>
        <v>0</v>
      </c>
      <c r="Q37" s="101">
        <f>SUMIFS($J$19:$J$650,$G$19:$G$650,"Naturalised Broadleaf",$B$19:$B$650,"19")</f>
        <v>0</v>
      </c>
      <c r="R37" s="102">
        <f>SUMIFS($J$19:$J$650,$G$19:$G$650,"Native Conifer",$B$19:$B$650,"19")</f>
        <v>0</v>
      </c>
      <c r="S37" s="102">
        <f>SUMIFS($J$19:$J$650,$G$19:$G$650,"Non-Native Conifer",$B$19:$B$650,"19")</f>
        <v>0</v>
      </c>
      <c r="T37" s="102">
        <f>SUMIFS($J$19:$J$650,$G$19:$G$650,"Naturalised Conifer",$B$19:$B$650,"19")</f>
        <v>0</v>
      </c>
      <c r="U37" s="103">
        <f>SUMIFS($J$19:$J$650,$G$19:$G$650,"Native Woody Shrub",$B$19:$B$650,"19")</f>
        <v>0</v>
      </c>
      <c r="V37" s="100">
        <f>SUMIFS($K$19:$K$2222,$G$19:$G$2222,"native broadleaf",$B$19:$B$2222,"19")</f>
        <v>0</v>
      </c>
      <c r="W37" s="101">
        <f>SUMIFS($K$19:$K$2222,$G$19:$G$2222,"Non-Native Broadleaf",$B$19:$B$2222,"19")</f>
        <v>0</v>
      </c>
      <c r="X37" s="101">
        <f>SUMIFS($K$19:$K$2222,$G$19:$G$2222,"Naturalised Broadleaf",$B$19:$B$2222,"19")</f>
        <v>0</v>
      </c>
      <c r="Y37" s="102">
        <f>SUMIFS($K$19:$K$2222,$G$19:$G$2222,"Native Conifer",$B$19:$B$2222,"19")</f>
        <v>0</v>
      </c>
      <c r="Z37" s="102">
        <f>SUMIFS($K$19:$K$2222,$G$19:$G$2222,"Non-Native Conifer",$B$19:$B$2222,"19")</f>
        <v>0</v>
      </c>
      <c r="AA37" s="102">
        <f>SUMIFS($K$19:$K$2222,$G$19:$G$2222,"Naturalised Conifer",$B$19:$B$2222,"19")</f>
        <v>0</v>
      </c>
      <c r="AB37" s="103">
        <f>SUMIFS($K$19:$K$2222,$G$19:$G$2222,"Native Woody Shrub",$B$19:$B$2222,"19")</f>
        <v>0</v>
      </c>
      <c r="AE37" s="187"/>
      <c r="AF37" s="185"/>
      <c r="AG37" s="185" t="str">
        <f t="shared" si="6"/>
        <v/>
      </c>
      <c r="AH37" s="186" t="str">
        <f t="shared" si="7"/>
        <v/>
      </c>
      <c r="AI37" s="185"/>
      <c r="AJ37" s="188"/>
    </row>
    <row r="38" spans="2:36" ht="30" customHeight="1" x14ac:dyDescent="0.3">
      <c r="B38" s="553"/>
      <c r="C38" s="560"/>
      <c r="D38" s="561"/>
      <c r="E38" s="250" t="str">
        <f t="shared" si="3"/>
        <v/>
      </c>
      <c r="F38" s="556"/>
      <c r="G38" s="252" t="str">
        <f>IFERROR(VLOOKUP(F38,'Data (hidden)'!N:O,2,FALSE),"")</f>
        <v/>
      </c>
      <c r="H38" s="557"/>
      <c r="I38" s="558"/>
      <c r="J38" s="123">
        <f t="shared" si="4"/>
        <v>0</v>
      </c>
      <c r="K38" s="123" t="e">
        <f t="shared" si="5"/>
        <v>#VALUE!</v>
      </c>
      <c r="L38" s="123">
        <f t="shared" si="1"/>
        <v>0</v>
      </c>
      <c r="M38" s="124" t="str">
        <f t="shared" si="2"/>
        <v/>
      </c>
      <c r="N38" s="100" t="s">
        <v>398</v>
      </c>
      <c r="O38" s="100">
        <f>SUMIFS($J$19:$J$650,$G$19:$G$650,"native broadleaf",$B$19:$B$650,"20")</f>
        <v>0</v>
      </c>
      <c r="P38" s="101">
        <f>SUMIFS($J$19:$J$650,$G$19:$G$650,"Non-Native Broadleaf",$B$19:$B$650,"20")</f>
        <v>0</v>
      </c>
      <c r="Q38" s="101">
        <f>SUMIFS($J$19:$J$650,$G$19:$G$650,"Naturalised Broadleaf",$B$19:$B$650,"20")</f>
        <v>0</v>
      </c>
      <c r="R38" s="102">
        <f>SUMIFS($J$19:$J$650,$G$19:$G$650,"Native Conifer",$B$19:$B$650,"20")</f>
        <v>0</v>
      </c>
      <c r="S38" s="102">
        <f>SUMIFS($J$19:$J$650,$G$19:$G$650,"Non-Native Conifer",$B$19:$B$650,"20")</f>
        <v>0</v>
      </c>
      <c r="T38" s="102">
        <f>SUMIFS($J$19:$J$650,$G$19:$G$650,"Naturalised Conifer",$B$19:$B$650,"20")</f>
        <v>0</v>
      </c>
      <c r="U38" s="103">
        <f>SUMIFS($J$19:$J$650,$G$19:$G$650,"Native Woody Shrub",$B$19:$B$650,"20")</f>
        <v>0</v>
      </c>
      <c r="V38" s="100">
        <f>SUMIFS($K$19:$K$2222,$G$19:$G$2222,"native broadleaf",$B$19:$B$2222,"20")</f>
        <v>0</v>
      </c>
      <c r="W38" s="101">
        <f>SUMIFS($K$19:$K$2222,$G$19:$G$2222,"Non-Native Broadleaf",$B$19:$B$2222,"20")</f>
        <v>0</v>
      </c>
      <c r="X38" s="101">
        <f>SUMIFS($K$19:$K$2222,$G$19:$G$2222,"Naturalised Broadleaf",$B$19:$B$2222,"20")</f>
        <v>0</v>
      </c>
      <c r="Y38" s="102">
        <f>SUMIFS($K$19:$K$2222,$G$19:$G$2222,"Native Conifer",$B$19:$B$2222,"20")</f>
        <v>0</v>
      </c>
      <c r="Z38" s="102">
        <f>SUMIFS($K$19:$K$2222,$G$19:$G$2222,"Non-Native Conifer",$B$19:$B$2222,"20")</f>
        <v>0</v>
      </c>
      <c r="AA38" s="102">
        <f>SUMIFS($K$19:$K$2222,$G$19:$G$2222,"Naturalised Conifer",$B$19:$B$2222,"20")</f>
        <v>0</v>
      </c>
      <c r="AB38" s="103">
        <f>SUMIFS($K$19:$K$2222,$G$19:$G$2222,"Native Woody Shrub",$B$19:$B$2222,"20")</f>
        <v>0</v>
      </c>
      <c r="AE38" s="187"/>
      <c r="AF38" s="185"/>
      <c r="AG38" s="185" t="str">
        <f t="shared" si="6"/>
        <v/>
      </c>
      <c r="AH38" s="186" t="str">
        <f t="shared" si="7"/>
        <v/>
      </c>
      <c r="AI38" s="185"/>
      <c r="AJ38" s="188"/>
    </row>
    <row r="39" spans="2:36" ht="30" customHeight="1" x14ac:dyDescent="0.3">
      <c r="B39" s="553"/>
      <c r="C39" s="560"/>
      <c r="D39" s="561"/>
      <c r="E39" s="250" t="str">
        <f t="shared" si="3"/>
        <v/>
      </c>
      <c r="F39" s="556"/>
      <c r="G39" s="252" t="str">
        <f>IFERROR(VLOOKUP(F39,'Data (hidden)'!N:O,2,FALSE),"")</f>
        <v/>
      </c>
      <c r="H39" s="557"/>
      <c r="I39" s="558"/>
      <c r="J39" s="123">
        <f t="shared" si="4"/>
        <v>0</v>
      </c>
      <c r="K39" s="123" t="e">
        <f t="shared" si="5"/>
        <v>#VALUE!</v>
      </c>
      <c r="L39" s="123">
        <f t="shared" si="1"/>
        <v>0</v>
      </c>
      <c r="M39" s="124" t="str">
        <f t="shared" si="2"/>
        <v/>
      </c>
      <c r="N39" s="100" t="s">
        <v>399</v>
      </c>
      <c r="O39" s="100">
        <f>SUMIFS($J$19:$J$650,$G$19:$G$650,"native broadleaf",$B$19:$B$650,"21")</f>
        <v>0</v>
      </c>
      <c r="P39" s="101">
        <f>SUMIFS($J$19:$J$650,$G$19:$G$650,"Non-Native Broadleaf",$B$19:$B$650,"21")</f>
        <v>0</v>
      </c>
      <c r="Q39" s="101">
        <f>SUMIFS($J$19:$J$650,$G$19:$G$650,"Naturalised Broadleaf",$B$19:$B$650,"21")</f>
        <v>0</v>
      </c>
      <c r="R39" s="102">
        <f>SUMIFS($J$19:$J$650,$G$19:$G$650,"Native Conifer",$B$19:$B$650,"21")</f>
        <v>0</v>
      </c>
      <c r="S39" s="102">
        <f>SUMIFS($J$19:$J$650,$G$19:$G$650,"Non-Native Conifer",$B$19:$B$650,"21")</f>
        <v>0</v>
      </c>
      <c r="T39" s="102">
        <f>SUMIFS($J$19:$J$650,$G$19:$G$650,"Naturalised Conifer",$B$19:$B$650,"21")</f>
        <v>0</v>
      </c>
      <c r="U39" s="103">
        <f>SUMIFS($J$19:$J$650,$G$19:$G$650,"Native Woody Shrub",$B$19:$B$650,"21")</f>
        <v>0</v>
      </c>
      <c r="V39" s="100">
        <f>SUMIFS($K$19:$K$2222,$G$19:$G$2222,"native broadleaf",$B$19:$B$2222,"21")</f>
        <v>0</v>
      </c>
      <c r="W39" s="101">
        <f>SUMIFS($K$19:$K$2222,$G$19:$G$2222,"Non-Native Broadleaf",$B$19:$B$2222,"21")</f>
        <v>0</v>
      </c>
      <c r="X39" s="101">
        <f>SUMIFS($K$19:$K$2222,$G$19:$G$2222,"Naturalised Broadleaf",$B$19:$B$2222,"21")</f>
        <v>0</v>
      </c>
      <c r="Y39" s="102">
        <f>SUMIFS($K$19:$K$2222,$G$19:$G$2222,"Native Conifer",$B$19:$B$2222,"21")</f>
        <v>0</v>
      </c>
      <c r="Z39" s="102">
        <f>SUMIFS($K$19:$K$2222,$G$19:$G$2222,"Non-Native Conifer",$B$19:$B$2222,"21")</f>
        <v>0</v>
      </c>
      <c r="AA39" s="102">
        <f>SUMIFS($K$19:$K$2222,$G$19:$G$2222,"Naturalised Conifer",$B$19:$B$2222,"21")</f>
        <v>0</v>
      </c>
      <c r="AB39" s="103">
        <f>SUMIFS($K$19:$K$2222,$G$19:$G$2222,"Native Woody Shrub",$B$19:$B$2222,"21")</f>
        <v>0</v>
      </c>
      <c r="AE39" s="187"/>
      <c r="AF39" s="185"/>
      <c r="AG39" s="185" t="str">
        <f t="shared" si="6"/>
        <v/>
      </c>
      <c r="AH39" s="186" t="str">
        <f t="shared" si="7"/>
        <v/>
      </c>
      <c r="AI39" s="185"/>
      <c r="AJ39" s="188"/>
    </row>
    <row r="40" spans="2:36" ht="30" customHeight="1" x14ac:dyDescent="0.3">
      <c r="B40" s="553"/>
      <c r="C40" s="560"/>
      <c r="D40" s="561"/>
      <c r="E40" s="250" t="str">
        <f t="shared" si="3"/>
        <v/>
      </c>
      <c r="F40" s="556"/>
      <c r="G40" s="252" t="str">
        <f>IFERROR(VLOOKUP(F40,'Data (hidden)'!N:O,2,FALSE),"")</f>
        <v/>
      </c>
      <c r="H40" s="557"/>
      <c r="I40" s="558"/>
      <c r="J40" s="123">
        <f t="shared" si="4"/>
        <v>0</v>
      </c>
      <c r="K40" s="123" t="e">
        <f t="shared" si="5"/>
        <v>#VALUE!</v>
      </c>
      <c r="L40" s="123">
        <f t="shared" si="1"/>
        <v>0</v>
      </c>
      <c r="M40" s="124" t="str">
        <f t="shared" si="2"/>
        <v/>
      </c>
      <c r="N40" s="100" t="s">
        <v>400</v>
      </c>
      <c r="O40" s="100">
        <f>SUMIFS($J$19:$J$650,$G$19:$G$650,"native broadleaf",$B$19:$B$650,"22")</f>
        <v>0</v>
      </c>
      <c r="P40" s="101">
        <f>SUMIFS($J$19:$J$650,$G$19:$G$650,"Non-Native Broadleaf",$B$19:$B$650,"22")</f>
        <v>0</v>
      </c>
      <c r="Q40" s="101">
        <f>SUMIFS($J$19:$J$650,$G$19:$G$650,"Naturalised Broadleaf",$B$19:$B$650,"22")</f>
        <v>0</v>
      </c>
      <c r="R40" s="102">
        <f>SUMIFS($J$19:$J$650,$G$19:$G$650,"Native Conifer",$B$19:$B$650,"22")</f>
        <v>0</v>
      </c>
      <c r="S40" s="102">
        <f>SUMIFS($J$19:$J$650,$G$19:$G$650,"Non-Native Conifer",$B$19:$B$650,"22")</f>
        <v>0</v>
      </c>
      <c r="T40" s="102">
        <f>SUMIFS($J$19:$J$650,$G$19:$G$650,"Naturalised Conifer",$B$19:$B$650,"22")</f>
        <v>0</v>
      </c>
      <c r="U40" s="103">
        <f>SUMIFS($J$19:$J$650,$G$19:$G$650,"Native Woody Shrub",$B$19:$B$650,"22")</f>
        <v>0</v>
      </c>
      <c r="V40" s="100">
        <f>SUMIFS($K$19:$K$2222,$G$19:$G$2222,"native broadleaf",$B$19:$B$2222,"22")</f>
        <v>0</v>
      </c>
      <c r="W40" s="101">
        <f>SUMIFS($K$19:$K$2222,$G$19:$G$2222,"Non-Native Broadleaf",$B$19:$B$2222,"22")</f>
        <v>0</v>
      </c>
      <c r="X40" s="101">
        <f>SUMIFS($K$19:$K$2222,$G$19:$G$2222,"Naturalised Broadleaf",$B$19:$B$2222,"22")</f>
        <v>0</v>
      </c>
      <c r="Y40" s="102">
        <f>SUMIFS($K$19:$K$2222,$G$19:$G$2222,"Native Conifer",$B$19:$B$2222,"22")</f>
        <v>0</v>
      </c>
      <c r="Z40" s="102">
        <f>SUMIFS($K$19:$K$2222,$G$19:$G$2222,"Non-Native Conifer",$B$19:$B$2222,"22")</f>
        <v>0</v>
      </c>
      <c r="AA40" s="102">
        <f>SUMIFS($K$19:$K$2222,$G$19:$G$2222,"Naturalised Conifer",$B$19:$B$2222,"22")</f>
        <v>0</v>
      </c>
      <c r="AB40" s="103">
        <f>SUMIFS($K$19:$K$2222,$G$19:$G$2222,"Native Woody Shrub",$B$19:$B$2222,"22")</f>
        <v>0</v>
      </c>
      <c r="AE40" s="187"/>
      <c r="AF40" s="185"/>
      <c r="AG40" s="185" t="str">
        <f t="shared" si="6"/>
        <v/>
      </c>
      <c r="AH40" s="186" t="str">
        <f t="shared" si="7"/>
        <v/>
      </c>
      <c r="AI40" s="185"/>
      <c r="AJ40" s="188"/>
    </row>
    <row r="41" spans="2:36" ht="30" customHeight="1" x14ac:dyDescent="0.3">
      <c r="B41" s="553"/>
      <c r="C41" s="560"/>
      <c r="D41" s="561"/>
      <c r="E41" s="250" t="str">
        <f t="shared" si="3"/>
        <v/>
      </c>
      <c r="F41" s="556"/>
      <c r="G41" s="252" t="str">
        <f>IFERROR(VLOOKUP(F41,'Data (hidden)'!N:O,2,FALSE),"")</f>
        <v/>
      </c>
      <c r="H41" s="557"/>
      <c r="I41" s="558"/>
      <c r="J41" s="123">
        <f t="shared" si="4"/>
        <v>0</v>
      </c>
      <c r="K41" s="123" t="e">
        <f t="shared" si="5"/>
        <v>#VALUE!</v>
      </c>
      <c r="L41" s="123">
        <f t="shared" si="1"/>
        <v>0</v>
      </c>
      <c r="M41" s="124" t="str">
        <f t="shared" si="2"/>
        <v/>
      </c>
      <c r="N41" s="100" t="s">
        <v>401</v>
      </c>
      <c r="O41" s="100">
        <f>SUMIFS($J$19:$J$650,$G$19:$G$650,"native broadleaf",$B$19:$B$650,"23")</f>
        <v>0</v>
      </c>
      <c r="P41" s="101">
        <f>SUMIFS($J$19:$J$650,$G$19:$G$650,"Non-Native Broadleaf",$B$19:$B$650,"23")</f>
        <v>0</v>
      </c>
      <c r="Q41" s="101">
        <f>SUMIFS($J$19:$J$650,$G$19:$G$650,"Naturalised Broadleaf",$B$19:$B$650,"23")</f>
        <v>0</v>
      </c>
      <c r="R41" s="102">
        <f>SUMIFS($J$19:$J$650,$G$19:$G$650,"Native Conifer",$B$19:$B$650,"23")</f>
        <v>0</v>
      </c>
      <c r="S41" s="102">
        <f>SUMIFS($J$19:$J$650,$G$19:$G$650,"Non-Native Conifer",$B$19:$B$650,"23")</f>
        <v>0</v>
      </c>
      <c r="T41" s="102">
        <f>SUMIFS($J$19:$J$650,$G$19:$G$650,"Naturalised Conifer",$B$19:$B$650,"23")</f>
        <v>0</v>
      </c>
      <c r="U41" s="103">
        <f>SUMIFS($J$19:$J$650,$G$19:$G$650,"Native Woody Shrub",$B$19:$B$650,"23")</f>
        <v>0</v>
      </c>
      <c r="V41" s="100">
        <f>SUMIFS($K$19:$K$2222,$G$19:$G$2222,"native broadleaf",$B$19:$B$2222,"23")</f>
        <v>0</v>
      </c>
      <c r="W41" s="101">
        <f>SUMIFS($K$19:$K$2222,$G$19:$G$2222,"Non-Native Broadleaf",$B$19:$B$2222,"23")</f>
        <v>0</v>
      </c>
      <c r="X41" s="101">
        <f>SUMIFS($K$19:$K$2222,$G$19:$G$2222,"Naturalised Broadleaf",$B$19:$B$2222,"23")</f>
        <v>0</v>
      </c>
      <c r="Y41" s="102">
        <f>SUMIFS($K$19:$K$2222,$G$19:$G$2222,"Native Conifer",$B$19:$B$2222,"23")</f>
        <v>0</v>
      </c>
      <c r="Z41" s="102">
        <f>SUMIFS($K$19:$K$2222,$G$19:$G$2222,"Non-Native Conifer",$B$19:$B$2222,"23")</f>
        <v>0</v>
      </c>
      <c r="AA41" s="102">
        <f>SUMIFS($K$19:$K$2222,$G$19:$G$2222,"Naturalised Conifer",$B$19:$B$2222,"23")</f>
        <v>0</v>
      </c>
      <c r="AB41" s="103">
        <f>SUMIFS($K$19:$K$2222,$G$19:$G$2222,"Native Woody Shrub",$B$19:$B$2222,"23")</f>
        <v>0</v>
      </c>
      <c r="AE41" s="187"/>
      <c r="AF41" s="185"/>
      <c r="AG41" s="185" t="str">
        <f t="shared" si="6"/>
        <v/>
      </c>
      <c r="AH41" s="186" t="str">
        <f t="shared" si="7"/>
        <v/>
      </c>
      <c r="AI41" s="185"/>
      <c r="AJ41" s="188"/>
    </row>
    <row r="42" spans="2:36" ht="30" customHeight="1" x14ac:dyDescent="0.3">
      <c r="B42" s="553"/>
      <c r="C42" s="560"/>
      <c r="D42" s="561"/>
      <c r="E42" s="250" t="str">
        <f t="shared" si="3"/>
        <v/>
      </c>
      <c r="F42" s="556"/>
      <c r="G42" s="252" t="str">
        <f>IFERROR(VLOOKUP(F42,'Data (hidden)'!N:O,2,FALSE),"")</f>
        <v/>
      </c>
      <c r="H42" s="557"/>
      <c r="I42" s="558"/>
      <c r="J42" s="123">
        <f t="shared" si="4"/>
        <v>0</v>
      </c>
      <c r="K42" s="123" t="e">
        <f t="shared" si="5"/>
        <v>#VALUE!</v>
      </c>
      <c r="L42" s="123">
        <f t="shared" si="1"/>
        <v>0</v>
      </c>
      <c r="M42" s="124" t="str">
        <f t="shared" si="2"/>
        <v/>
      </c>
      <c r="N42" s="100" t="s">
        <v>402</v>
      </c>
      <c r="O42" s="100">
        <f>SUMIFS($J$19:$J$650,$G$19:$G$650,"native broadleaf",$B$19:$B$650,"24")</f>
        <v>0</v>
      </c>
      <c r="P42" s="101">
        <f>SUMIFS($J$19:$J$650,$G$19:$G$650,"Non-Native Broadleaf",$B$19:$B$650,"24")</f>
        <v>0</v>
      </c>
      <c r="Q42" s="101">
        <f>SUMIFS($J$19:$J$650,$G$19:$G$650,"Naturalised Broadleaf",$B$19:$B$650,"24")</f>
        <v>0</v>
      </c>
      <c r="R42" s="102">
        <f>SUMIFS($J$19:$J$650,$G$19:$G$650,"Native Conifer",$B$19:$B$650,"24")</f>
        <v>0</v>
      </c>
      <c r="S42" s="102">
        <f>SUMIFS($J$19:$J$650,$G$19:$G$650,"Non-Native Conifer",$B$19:$B$650,"24")</f>
        <v>0</v>
      </c>
      <c r="T42" s="102">
        <f>SUMIFS($J$19:$J$650,$G$19:$G$650,"Naturalised Conifer",$B$19:$B$650,"24")</f>
        <v>0</v>
      </c>
      <c r="U42" s="103">
        <f>SUMIFS($J$19:$J$650,$G$19:$G$650,"Native Woody Shrub",$B$19:$B$650,"24")</f>
        <v>0</v>
      </c>
      <c r="V42" s="100">
        <f>SUMIFS($K$19:$K$2222,$G$19:$G$2222,"native broadleaf",$B$19:$B$2222,"24")</f>
        <v>0</v>
      </c>
      <c r="W42" s="101">
        <f>SUMIFS($K$19:$K$2222,$G$19:$G$2222,"Non-Native Broadleaf",$B$19:$B$2222,"24")</f>
        <v>0</v>
      </c>
      <c r="X42" s="101">
        <f>SUMIFS($K$19:$K$2222,$G$19:$G$2222,"Naturalised Broadleaf",$B$19:$B$2222,"24")</f>
        <v>0</v>
      </c>
      <c r="Y42" s="102">
        <f>SUMIFS($K$19:$K$2222,$G$19:$G$2222,"Native Conifer",$B$19:$B$2222,"24")</f>
        <v>0</v>
      </c>
      <c r="Z42" s="102">
        <f>SUMIFS($K$19:$K$2222,$G$19:$G$2222,"Non-Native Conifer",$B$19:$B$2222,"24")</f>
        <v>0</v>
      </c>
      <c r="AA42" s="102">
        <f>SUMIFS($K$19:$K$2222,$G$19:$G$2222,"Naturalised Conifer",$B$19:$B$2222,"24")</f>
        <v>0</v>
      </c>
      <c r="AB42" s="103">
        <f>SUMIFS($K$19:$K$2222,$G$19:$G$2222,"Native Woody Shrub",$B$19:$B$2222,"24")</f>
        <v>0</v>
      </c>
      <c r="AE42" s="187"/>
      <c r="AF42" s="185"/>
      <c r="AG42" s="185" t="str">
        <f t="shared" si="6"/>
        <v/>
      </c>
      <c r="AH42" s="186" t="str">
        <f t="shared" si="7"/>
        <v/>
      </c>
      <c r="AI42" s="185"/>
      <c r="AJ42" s="188"/>
    </row>
    <row r="43" spans="2:36" ht="30" customHeight="1" x14ac:dyDescent="0.3">
      <c r="B43" s="553"/>
      <c r="C43" s="560"/>
      <c r="D43" s="561"/>
      <c r="E43" s="250" t="str">
        <f t="shared" si="3"/>
        <v/>
      </c>
      <c r="F43" s="556"/>
      <c r="G43" s="252" t="str">
        <f>IFERROR(VLOOKUP(F43,'Data (hidden)'!N:O,2,FALSE),"")</f>
        <v/>
      </c>
      <c r="H43" s="557"/>
      <c r="I43" s="558"/>
      <c r="J43" s="123">
        <f t="shared" si="4"/>
        <v>0</v>
      </c>
      <c r="K43" s="123" t="e">
        <f t="shared" si="5"/>
        <v>#VALUE!</v>
      </c>
      <c r="L43" s="123">
        <f t="shared" si="1"/>
        <v>0</v>
      </c>
      <c r="M43" s="124" t="str">
        <f t="shared" si="2"/>
        <v/>
      </c>
      <c r="N43" s="100" t="s">
        <v>403</v>
      </c>
      <c r="O43" s="100">
        <f>SUMIFS($J$19:$J$650,$G$19:$G$650,"native broadleaf",$B$19:$B$650,"25")</f>
        <v>0</v>
      </c>
      <c r="P43" s="101">
        <f>SUMIFS($J$19:$J$650,$G$19:$G$650,"Non-Native Broadleaf",$B$19:$B$650,"25")</f>
        <v>0</v>
      </c>
      <c r="Q43" s="101">
        <f>SUMIFS($J$19:$J$650,$G$19:$G$650,"Naturalised Broadleaf",$B$19:$B$650,"25")</f>
        <v>0</v>
      </c>
      <c r="R43" s="102">
        <f>SUMIFS($J$19:$J$650,$G$19:$G$650,"Native Conifer",$B$19:$B$650,"25")</f>
        <v>0</v>
      </c>
      <c r="S43" s="102">
        <f>SUMIFS($J$19:$J$650,$G$19:$G$650,"Non-Native Conifer",$B$19:$B$650,"25")</f>
        <v>0</v>
      </c>
      <c r="T43" s="102">
        <f>SUMIFS($J$19:$J$650,$G$19:$G$650,"Naturalised Conifer",$B$19:$B$650,"25")</f>
        <v>0</v>
      </c>
      <c r="U43" s="103">
        <f>SUMIFS($J$19:$J$650,$G$19:$G$650,"Native Woody Shrub",$B$19:$B$650,"25")</f>
        <v>0</v>
      </c>
      <c r="V43" s="100">
        <f>SUMIFS($K$19:$K$2222,$G$19:$G$2222,"native broadleaf",$B$19:$B$2222,"25")</f>
        <v>0</v>
      </c>
      <c r="W43" s="101">
        <f>SUMIFS($K$19:$K$2222,$G$19:$G$2222,"Non-Native Broadleaf",$B$19:$B$2222,"25")</f>
        <v>0</v>
      </c>
      <c r="X43" s="101">
        <f>SUMIFS($K$19:$K$2222,$G$19:$G$2222,"Naturalised Broadleaf",$B$19:$B$2222,"25")</f>
        <v>0</v>
      </c>
      <c r="Y43" s="102">
        <f>SUMIFS($K$19:$K$2222,$G$19:$G$2222,"Native Conifer",$B$19:$B$2222,"25")</f>
        <v>0</v>
      </c>
      <c r="Z43" s="102">
        <f>SUMIFS($K$19:$K$2222,$G$19:$G$2222,"Non-Native Conifer",$B$19:$B$2222,"25")</f>
        <v>0</v>
      </c>
      <c r="AA43" s="102">
        <f>SUMIFS($K$19:$K$2222,$G$19:$G$2222,"Naturalised Conifer",$B$19:$B$2222,"25")</f>
        <v>0</v>
      </c>
      <c r="AB43" s="103">
        <f>SUMIFS($K$19:$K$2222,$G$19:$G$2222,"Native Woody Shrub",$B$19:$B$2222,"25")</f>
        <v>0</v>
      </c>
      <c r="AE43" s="187"/>
      <c r="AF43" s="185"/>
      <c r="AG43" s="185" t="str">
        <f t="shared" si="6"/>
        <v/>
      </c>
      <c r="AH43" s="186" t="str">
        <f t="shared" si="7"/>
        <v/>
      </c>
      <c r="AI43" s="185"/>
      <c r="AJ43" s="188"/>
    </row>
    <row r="44" spans="2:36" ht="30" customHeight="1" x14ac:dyDescent="0.3">
      <c r="B44" s="553"/>
      <c r="C44" s="560"/>
      <c r="D44" s="561"/>
      <c r="E44" s="250" t="str">
        <f t="shared" si="3"/>
        <v/>
      </c>
      <c r="F44" s="556"/>
      <c r="G44" s="252" t="str">
        <f>IFERROR(VLOOKUP(F44,'Data (hidden)'!N:O,2,FALSE),"")</f>
        <v/>
      </c>
      <c r="H44" s="557"/>
      <c r="I44" s="558"/>
      <c r="J44" s="123">
        <f t="shared" si="4"/>
        <v>0</v>
      </c>
      <c r="K44" s="123" t="e">
        <f t="shared" si="5"/>
        <v>#VALUE!</v>
      </c>
      <c r="L44" s="123">
        <f t="shared" si="1"/>
        <v>0</v>
      </c>
      <c r="M44" s="124" t="str">
        <f t="shared" si="2"/>
        <v/>
      </c>
      <c r="N44" s="100" t="s">
        <v>404</v>
      </c>
      <c r="O44" s="100">
        <f>SUMIFS($J$19:$J$650,$G$19:$G$650,"native broadleaf",$B$19:$B$650,"26")</f>
        <v>0</v>
      </c>
      <c r="P44" s="101">
        <f>SUMIFS($J$19:$J$650,$G$19:$G$650,"Non-Native Broadleaf",$B$19:$B$650,"26")</f>
        <v>0</v>
      </c>
      <c r="Q44" s="101">
        <f>SUMIFS($J$19:$J$650,$G$19:$G$650,"Naturalised Broadleaf",$B$19:$B$650,"26")</f>
        <v>0</v>
      </c>
      <c r="R44" s="102">
        <f>SUMIFS($J$19:$J$650,$G$19:$G$650,"Native Conifer",$B$19:$B$650,"26")</f>
        <v>0</v>
      </c>
      <c r="S44" s="102">
        <f>SUMIFS($J$19:$J$650,$G$19:$G$650,"Non-Native Conifer",$B$19:$B$650,"26")</f>
        <v>0</v>
      </c>
      <c r="T44" s="102">
        <f>SUMIFS($J$19:$J$650,$G$19:$G$650,"Naturalised Conifer",$B$19:$B$650,"26")</f>
        <v>0</v>
      </c>
      <c r="U44" s="103">
        <f>SUMIFS($J$19:$J$650,$G$19:$G$650,"Native Woody Shrub",$B$19:$B$650,"26")</f>
        <v>0</v>
      </c>
      <c r="V44" s="100">
        <f>SUMIFS($K$19:$K$2222,$G$19:$G$2222,"native broadleaf",$B$19:$B$2222,"26")</f>
        <v>0</v>
      </c>
      <c r="W44" s="101">
        <f>SUMIFS($K$19:$K$2222,$G$19:$G$2222,"Non-Native Broadleaf",$B$19:$B$2222,"26")</f>
        <v>0</v>
      </c>
      <c r="X44" s="101">
        <f>SUMIFS($K$19:$K$2222,$G$19:$G$2222,"Naturalised Broadleaf",$B$19:$B$2222,"26")</f>
        <v>0</v>
      </c>
      <c r="Y44" s="102">
        <f>SUMIFS($K$19:$K$2222,$G$19:$G$2222,"Native Conifer",$B$19:$B$2222,"26")</f>
        <v>0</v>
      </c>
      <c r="Z44" s="102">
        <f>SUMIFS($K$19:$K$2222,$G$19:$G$2222,"Non-Native Conifer",$B$19:$B$2222,"26")</f>
        <v>0</v>
      </c>
      <c r="AA44" s="102">
        <f>SUMIFS($K$19:$K$2222,$G$19:$G$2222,"Naturalised Conifer",$B$19:$B$2222,"26")</f>
        <v>0</v>
      </c>
      <c r="AB44" s="103">
        <f>SUMIFS($K$19:$K$2222,$G$19:$G$2222,"Native Woody Shrub",$B$19:$B$2222,"26")</f>
        <v>0</v>
      </c>
      <c r="AE44" s="187"/>
      <c r="AF44" s="185"/>
      <c r="AG44" s="185" t="str">
        <f t="shared" si="6"/>
        <v/>
      </c>
      <c r="AH44" s="186" t="str">
        <f t="shared" si="7"/>
        <v/>
      </c>
      <c r="AI44" s="185"/>
      <c r="AJ44" s="188"/>
    </row>
    <row r="45" spans="2:36" ht="30" customHeight="1" x14ac:dyDescent="0.3">
      <c r="B45" s="562"/>
      <c r="C45" s="563"/>
      <c r="D45" s="425"/>
      <c r="E45" s="250" t="str">
        <f t="shared" si="3"/>
        <v/>
      </c>
      <c r="F45" s="556"/>
      <c r="G45" s="252" t="str">
        <f>IFERROR(VLOOKUP(F45,'Data (hidden)'!N:O,2,FALSE),"")</f>
        <v/>
      </c>
      <c r="H45" s="557"/>
      <c r="I45" s="558"/>
      <c r="J45" s="123">
        <f t="shared" si="4"/>
        <v>0</v>
      </c>
      <c r="K45" s="123" t="e">
        <f t="shared" si="5"/>
        <v>#VALUE!</v>
      </c>
      <c r="L45" s="123">
        <f t="shared" si="1"/>
        <v>0</v>
      </c>
      <c r="M45" s="124" t="str">
        <f t="shared" si="2"/>
        <v/>
      </c>
      <c r="N45" s="100" t="s">
        <v>405</v>
      </c>
      <c r="O45" s="100">
        <f>SUMIFS($J$19:$J$650,$G$19:$G$650,"native broadleaf",$B$19:$B$650,"27")</f>
        <v>0</v>
      </c>
      <c r="P45" s="101">
        <f>SUMIFS($J$19:$J$650,$G$19:$G$650,"Non-Native Broadleaf",$B$19:$B$650,"27")</f>
        <v>0</v>
      </c>
      <c r="Q45" s="101">
        <f>SUMIFS($J$19:$J$650,$G$19:$G$650,"Naturalised Broadleaf",$B$19:$B$650,"27")</f>
        <v>0</v>
      </c>
      <c r="R45" s="102">
        <f>SUMIFS($J$19:$J$650,$G$19:$G$650,"Native Conifer",$B$19:$B$650,"27")</f>
        <v>0</v>
      </c>
      <c r="S45" s="102">
        <f>SUMIFS($J$19:$J$650,$G$19:$G$650,"Non-Native Conifer",$B$19:$B$650,"27")</f>
        <v>0</v>
      </c>
      <c r="T45" s="102">
        <f>SUMIFS($J$19:$J$650,$G$19:$G$650,"Naturalised Conifer",$B$19:$B$650,"27")</f>
        <v>0</v>
      </c>
      <c r="U45" s="103">
        <f>SUMIFS($J$19:$J$650,$G$19:$G$650,"Native Woody Shrub",$B$19:$B$650,"27")</f>
        <v>0</v>
      </c>
      <c r="V45" s="100">
        <f>SUMIFS($K$19:$K$2222,$G$19:$G$2222,"native broadleaf",$B$19:$B$2222,"27")</f>
        <v>0</v>
      </c>
      <c r="W45" s="101">
        <f>SUMIFS($K$19:$K$2222,$G$19:$G$2222,"Non-Native Broadleaf",$B$19:$B$2222,"27")</f>
        <v>0</v>
      </c>
      <c r="X45" s="101">
        <f>SUMIFS($K$19:$K$2222,$G$19:$G$2222,"Naturalised Broadleaf",$B$19:$B$2222,"27")</f>
        <v>0</v>
      </c>
      <c r="Y45" s="102">
        <f>SUMIFS($K$19:$K$2222,$G$19:$G$2222,"Native Conifer",$B$19:$B$2222,"27")</f>
        <v>0</v>
      </c>
      <c r="Z45" s="102">
        <f>SUMIFS($K$19:$K$2222,$G$19:$G$2222,"Non-Native Conifer",$B$19:$B$2222,"27")</f>
        <v>0</v>
      </c>
      <c r="AA45" s="102">
        <f>SUMIFS($K$19:$K$2222,$G$19:$G$2222,"Naturalised Conifer",$B$19:$B$2222,"27")</f>
        <v>0</v>
      </c>
      <c r="AB45" s="103">
        <f>SUMIFS($K$19:$K$2222,$G$19:$G$2222,"Native Woody Shrub",$B$19:$B$2222,"27")</f>
        <v>0</v>
      </c>
      <c r="AE45" s="187"/>
      <c r="AF45" s="185"/>
      <c r="AG45" s="185" t="str">
        <f t="shared" si="6"/>
        <v/>
      </c>
      <c r="AH45" s="186" t="str">
        <f t="shared" si="7"/>
        <v/>
      </c>
      <c r="AI45" s="185"/>
      <c r="AJ45" s="188"/>
    </row>
    <row r="46" spans="2:36" ht="30" customHeight="1" x14ac:dyDescent="0.3">
      <c r="B46" s="562"/>
      <c r="C46" s="563"/>
      <c r="D46" s="425"/>
      <c r="E46" s="250" t="str">
        <f t="shared" si="3"/>
        <v/>
      </c>
      <c r="F46" s="556"/>
      <c r="G46" s="252" t="str">
        <f>IFERROR(VLOOKUP(F46,'Data (hidden)'!N:O,2,FALSE),"")</f>
        <v/>
      </c>
      <c r="H46" s="557"/>
      <c r="I46" s="558"/>
      <c r="J46" s="123">
        <f t="shared" si="4"/>
        <v>0</v>
      </c>
      <c r="K46" s="123" t="e">
        <f t="shared" si="5"/>
        <v>#VALUE!</v>
      </c>
      <c r="L46" s="123">
        <f t="shared" si="1"/>
        <v>0</v>
      </c>
      <c r="M46" s="124" t="str">
        <f t="shared" si="2"/>
        <v/>
      </c>
      <c r="N46" s="100" t="s">
        <v>406</v>
      </c>
      <c r="O46" s="100">
        <f>SUMIFS($J$19:$J$650,$G$19:$G$650,"native broadleaf",$B$19:$B$650,"28")</f>
        <v>0</v>
      </c>
      <c r="P46" s="101">
        <f>SUMIFS($J$19:$J$650,$G$19:$G$650,"Non-Native Broadleaf",$B$19:$B$650,"28")</f>
        <v>0</v>
      </c>
      <c r="Q46" s="101">
        <f>SUMIFS($J$19:$J$650,$G$19:$G$650,"Naturalised Broadleaf",$B$19:$B$650,"28")</f>
        <v>0</v>
      </c>
      <c r="R46" s="102">
        <f>SUMIFS($J$19:$J$650,$G$19:$G$650,"Native Conifer",$B$19:$B$650,"28")</f>
        <v>0</v>
      </c>
      <c r="S46" s="102">
        <f>SUMIFS($J$19:$J$650,$G$19:$G$650,"Non-Native Conifer",$B$19:$B$650,"28")</f>
        <v>0</v>
      </c>
      <c r="T46" s="102">
        <f>SUMIFS($J$19:$J$650,$G$19:$G$650,"Naturalised Conifer",$B$19:$B$650,"28")</f>
        <v>0</v>
      </c>
      <c r="U46" s="103">
        <f>SUMIFS($J$19:$J$650,$G$19:$G$650,"Native Woody Shrub",$B$19:$B$650,"28")</f>
        <v>0</v>
      </c>
      <c r="V46" s="100">
        <f>SUMIFS($K$19:$K$2222,$G$19:$G$2222,"native broadleaf",$B$19:$B$2222,"28")</f>
        <v>0</v>
      </c>
      <c r="W46" s="101">
        <f>SUMIFS($K$19:$K$2222,$G$19:$G$2222,"Non-Native Broadleaf",$B$19:$B$2222,"28")</f>
        <v>0</v>
      </c>
      <c r="X46" s="101">
        <f>SUMIFS($K$19:$K$2222,$G$19:$G$2222,"Naturalised Broadleaf",$B$19:$B$2222,"28")</f>
        <v>0</v>
      </c>
      <c r="Y46" s="102">
        <f>SUMIFS($K$19:$K$2222,$G$19:$G$2222,"Native Conifer",$B$19:$B$2222,"28")</f>
        <v>0</v>
      </c>
      <c r="Z46" s="102">
        <f>SUMIFS($K$19:$K$2222,$G$19:$G$2222,"Non-Native Conifer",$B$19:$B$2222,"28")</f>
        <v>0</v>
      </c>
      <c r="AA46" s="102">
        <f>SUMIFS($K$19:$K$2222,$G$19:$G$2222,"Naturalised Conifer",$B$19:$B$2222,"28")</f>
        <v>0</v>
      </c>
      <c r="AB46" s="103">
        <f>SUMIFS($K$19:$K$2222,$G$19:$G$2222,"Native Woody Shrub",$B$19:$B$2222,"28")</f>
        <v>0</v>
      </c>
      <c r="AE46" s="187"/>
      <c r="AF46" s="185"/>
      <c r="AG46" s="185" t="str">
        <f t="shared" si="6"/>
        <v/>
      </c>
      <c r="AH46" s="186" t="str">
        <f t="shared" si="7"/>
        <v/>
      </c>
      <c r="AI46" s="185"/>
      <c r="AJ46" s="188"/>
    </row>
    <row r="47" spans="2:36" ht="30" customHeight="1" x14ac:dyDescent="0.3">
      <c r="B47" s="562"/>
      <c r="C47" s="563"/>
      <c r="D47" s="425"/>
      <c r="E47" s="250" t="str">
        <f t="shared" si="3"/>
        <v/>
      </c>
      <c r="F47" s="556"/>
      <c r="G47" s="252" t="str">
        <f>IFERROR(VLOOKUP(F47,'Data (hidden)'!N:O,2,FALSE),"")</f>
        <v/>
      </c>
      <c r="H47" s="557"/>
      <c r="I47" s="558"/>
      <c r="J47" s="123">
        <f t="shared" si="4"/>
        <v>0</v>
      </c>
      <c r="K47" s="123" t="e">
        <f t="shared" si="5"/>
        <v>#VALUE!</v>
      </c>
      <c r="L47" s="123">
        <f t="shared" si="1"/>
        <v>0</v>
      </c>
      <c r="M47" s="124" t="str">
        <f t="shared" si="2"/>
        <v/>
      </c>
      <c r="N47" s="100" t="s">
        <v>407</v>
      </c>
      <c r="O47" s="100">
        <f>SUMIFS($J$19:$J$650,$G$19:$G$650,"native broadleaf",$B$19:$B$650,"29")</f>
        <v>0</v>
      </c>
      <c r="P47" s="101">
        <f>SUMIFS($J$19:$J$650,$G$19:$G$650,"Non-Native Broadleaf",$B$19:$B$650,"29")</f>
        <v>0</v>
      </c>
      <c r="Q47" s="101">
        <f>SUMIFS($J$19:$J$650,$G$19:$G$650,"Naturalised Broadleaf",$B$19:$B$650,"29")</f>
        <v>0</v>
      </c>
      <c r="R47" s="102">
        <f>SUMIFS($J$19:$J$650,$G$19:$G$650,"Native Conifer",$B$19:$B$650,"29")</f>
        <v>0</v>
      </c>
      <c r="S47" s="102">
        <f>SUMIFS($J$19:$J$650,$G$19:$G$650,"Non-Native Conifer",$B$19:$B$650,"29")</f>
        <v>0</v>
      </c>
      <c r="T47" s="102">
        <f>SUMIFS($J$19:$J$650,$G$19:$G$650,"Naturalised Conifer",$B$19:$B$650,"29")</f>
        <v>0</v>
      </c>
      <c r="U47" s="103">
        <f>SUMIFS($J$19:$J$650,$G$19:$G$650,"Native Woody Shrub",$B$19:$B$650,"29")</f>
        <v>0</v>
      </c>
      <c r="V47" s="100">
        <f>SUMIFS($K$19:$K$2222,$G$19:$G$2222,"native broadleaf",$B$19:$B$2222,"29")</f>
        <v>0</v>
      </c>
      <c r="W47" s="101">
        <f>SUMIFS($K$19:$K$2222,$G$19:$G$2222,"Non-Native Broadleaf",$B$19:$B$2222,"29")</f>
        <v>0</v>
      </c>
      <c r="X47" s="101">
        <f>SUMIFS($K$19:$K$2222,$G$19:$G$2222,"Naturalised Broadleaf",$B$19:$B$2222,"29")</f>
        <v>0</v>
      </c>
      <c r="Y47" s="102">
        <f>SUMIFS($K$19:$K$2222,$G$19:$G$2222,"Native Conifer",$B$19:$B$2222,"29")</f>
        <v>0</v>
      </c>
      <c r="Z47" s="102">
        <f>SUMIFS($K$19:$K$2222,$G$19:$G$2222,"Non-Native Conifer",$B$19:$B$2222,"29")</f>
        <v>0</v>
      </c>
      <c r="AA47" s="102">
        <f>SUMIFS($K$19:$K$2222,$G$19:$G$2222,"Naturalised Conifer",$B$19:$B$2222,"29")</f>
        <v>0</v>
      </c>
      <c r="AB47" s="103">
        <f>SUMIFS($K$19:$K$2222,$G$19:$G$2222,"Native Woody Shrub",$B$19:$B$2222,"29")</f>
        <v>0</v>
      </c>
      <c r="AE47" s="187"/>
      <c r="AF47" s="185"/>
      <c r="AG47" s="185" t="str">
        <f t="shared" si="6"/>
        <v/>
      </c>
      <c r="AH47" s="186" t="str">
        <f t="shared" si="7"/>
        <v/>
      </c>
      <c r="AI47" s="185"/>
      <c r="AJ47" s="188"/>
    </row>
    <row r="48" spans="2:36" ht="30" customHeight="1" x14ac:dyDescent="0.3">
      <c r="B48" s="562"/>
      <c r="C48" s="563"/>
      <c r="D48" s="425"/>
      <c r="E48" s="250" t="str">
        <f t="shared" si="3"/>
        <v/>
      </c>
      <c r="F48" s="556"/>
      <c r="G48" s="252" t="str">
        <f>IFERROR(VLOOKUP(F48,'Data (hidden)'!N:O,2,FALSE),"")</f>
        <v/>
      </c>
      <c r="H48" s="557"/>
      <c r="I48" s="558"/>
      <c r="J48" s="123">
        <f t="shared" si="4"/>
        <v>0</v>
      </c>
      <c r="K48" s="123" t="e">
        <f t="shared" si="5"/>
        <v>#VALUE!</v>
      </c>
      <c r="L48" s="123">
        <f t="shared" si="1"/>
        <v>0</v>
      </c>
      <c r="M48" s="124" t="str">
        <f t="shared" si="2"/>
        <v/>
      </c>
      <c r="N48" s="100" t="s">
        <v>408</v>
      </c>
      <c r="O48" s="100">
        <f>SUMIFS($J$19:$J$650,$G$19:$G$650,"native broadleaf",$B$19:$B$650,"30")</f>
        <v>0</v>
      </c>
      <c r="P48" s="101">
        <f>SUMIFS($J$19:$J$650,$G$19:$G$650,"Non-Native Broadleaf",$B$19:$B$650,"30")</f>
        <v>0</v>
      </c>
      <c r="Q48" s="101">
        <f>SUMIFS($J$19:$J$650,$G$19:$G$650,"Naturalised Broadleaf",$B$19:$B$650,"30")</f>
        <v>0</v>
      </c>
      <c r="R48" s="102">
        <f>SUMIFS($J$19:$J$650,$G$19:$G$650,"Native Conifer",$B$19:$B$650,"30")</f>
        <v>0</v>
      </c>
      <c r="S48" s="102">
        <f>SUMIFS($J$19:$J$650,$G$19:$G$650,"Non-Native Conifer",$B$19:$B$650,"30")</f>
        <v>0</v>
      </c>
      <c r="T48" s="102">
        <f>SUMIFS($J$19:$J$650,$G$19:$G$650,"Naturalised Conifer",$B$19:$B$650,"30")</f>
        <v>0</v>
      </c>
      <c r="U48" s="103">
        <f>SUMIFS($J$19:$J$650,$G$19:$G$650,"Native Woody Shrub",$B$19:$B$650,"30")</f>
        <v>0</v>
      </c>
      <c r="V48" s="100">
        <f>SUMIFS($K$19:$K$2222,$G$19:$G$2222,"native broadleaf",$B$19:$B$2222,"30")</f>
        <v>0</v>
      </c>
      <c r="W48" s="101">
        <f>SUMIFS($K$19:$K$2222,$G$19:$G$2222,"Non-Native Broadleaf",$B$19:$B$2222,"30")</f>
        <v>0</v>
      </c>
      <c r="X48" s="101">
        <f>SUMIFS($K$19:$K$2222,$G$19:$G$2222,"Naturalised Broadleaf",$B$19:$B$2222,"30")</f>
        <v>0</v>
      </c>
      <c r="Y48" s="102">
        <f>SUMIFS($K$19:$K$2222,$G$19:$G$2222,"Native Conifer",$B$19:$B$2222,"30")</f>
        <v>0</v>
      </c>
      <c r="Z48" s="102">
        <f>SUMIFS($K$19:$K$2222,$G$19:$G$2222,"Non-Native Conifer",$B$19:$B$2222,"30")</f>
        <v>0</v>
      </c>
      <c r="AA48" s="102">
        <f>SUMIFS($K$19:$K$2222,$G$19:$G$2222,"Naturalised Conifer",$B$19:$B$2222,"30")</f>
        <v>0</v>
      </c>
      <c r="AB48" s="103">
        <f>SUMIFS($K$19:$K$2222,$G$19:$G$2222,"Native Woody Shrub",$B$19:$B$2222,"30")</f>
        <v>0</v>
      </c>
      <c r="AE48" s="187"/>
      <c r="AF48" s="185"/>
      <c r="AG48" s="185" t="str">
        <f t="shared" si="6"/>
        <v/>
      </c>
      <c r="AH48" s="186" t="str">
        <f t="shared" si="7"/>
        <v/>
      </c>
      <c r="AI48" s="185"/>
      <c r="AJ48" s="188"/>
    </row>
    <row r="49" spans="2:36" ht="30" customHeight="1" x14ac:dyDescent="0.3">
      <c r="B49" s="562"/>
      <c r="C49" s="563"/>
      <c r="D49" s="425"/>
      <c r="E49" s="250" t="str">
        <f t="shared" si="3"/>
        <v/>
      </c>
      <c r="F49" s="556"/>
      <c r="G49" s="252" t="str">
        <f>IFERROR(VLOOKUP(F49,'Data (hidden)'!N:O,2,FALSE),"")</f>
        <v/>
      </c>
      <c r="H49" s="557"/>
      <c r="I49" s="558"/>
      <c r="J49" s="123">
        <f t="shared" si="4"/>
        <v>0</v>
      </c>
      <c r="K49" s="123" t="e">
        <f t="shared" si="5"/>
        <v>#VALUE!</v>
      </c>
      <c r="L49" s="123">
        <f t="shared" si="1"/>
        <v>0</v>
      </c>
      <c r="M49" s="124" t="str">
        <f t="shared" si="2"/>
        <v/>
      </c>
      <c r="N49" s="100" t="s">
        <v>409</v>
      </c>
      <c r="O49" s="100">
        <f>SUMIFS($J$19:$J$650,$G$19:$G$650,"native broadleaf",$B$19:$B$650,"31")</f>
        <v>0</v>
      </c>
      <c r="P49" s="101">
        <f>SUMIFS($J$19:$J$650,$G$19:$G$650,"Non-Native Broadleaf",$B$19:$B$650,"31")</f>
        <v>0</v>
      </c>
      <c r="Q49" s="101">
        <f>SUMIFS($J$19:$J$650,$G$19:$G$650,"Naturalised Broadleaf",$B$19:$B$650,"31")</f>
        <v>0</v>
      </c>
      <c r="R49" s="102">
        <f>SUMIFS($J$19:$J$650,$G$19:$G$650,"Native Conifer",$B$19:$B$650,"31")</f>
        <v>0</v>
      </c>
      <c r="S49" s="102">
        <f>SUMIFS($J$19:$J$650,$G$19:$G$650,"Non-Native Conifer",$B$19:$B$650,"31")</f>
        <v>0</v>
      </c>
      <c r="T49" s="102">
        <f>SUMIFS($J$19:$J$650,$G$19:$G$650,"Naturalised Conifer",$B$19:$B$650,"31")</f>
        <v>0</v>
      </c>
      <c r="U49" s="103">
        <f>SUMIFS($J$19:$J$650,$G$19:$G$650,"Native Woody Shrub",$B$19:$B$650,"31")</f>
        <v>0</v>
      </c>
      <c r="V49" s="100">
        <f>SUMIFS($K$19:$K$2222,$G$19:$G$2222,"native broadleaf",$B$19:$B$2222,"31")</f>
        <v>0</v>
      </c>
      <c r="W49" s="101">
        <f>SUMIFS($K$19:$K$2222,$G$19:$G$2222,"Non-Native Broadleaf",$B$19:$B$2222,"31")</f>
        <v>0</v>
      </c>
      <c r="X49" s="101">
        <f>SUMIFS($K$19:$K$2222,$G$19:$G$2222,"Naturalised Broadleaf",$B$19:$B$2222,"31")</f>
        <v>0</v>
      </c>
      <c r="Y49" s="102">
        <f>SUMIFS($K$19:$K$2222,$G$19:$G$2222,"Native Conifer",$B$19:$B$2222,"31")</f>
        <v>0</v>
      </c>
      <c r="Z49" s="102">
        <f>SUMIFS($K$19:$K$2222,$G$19:$G$2222,"Non-Native Conifer",$B$19:$B$2222,"31")</f>
        <v>0</v>
      </c>
      <c r="AA49" s="102">
        <f>SUMIFS($K$19:$K$2222,$G$19:$G$2222,"Naturalised Conifer",$B$19:$B$2222,"31")</f>
        <v>0</v>
      </c>
      <c r="AB49" s="103">
        <f>SUMIFS($K$19:$K$2222,$G$19:$G$2222,"Native Woody Shrub",$B$19:$B$2222,"31")</f>
        <v>0</v>
      </c>
      <c r="AE49" s="187"/>
      <c r="AF49" s="185"/>
      <c r="AG49" s="185" t="str">
        <f t="shared" si="6"/>
        <v/>
      </c>
      <c r="AH49" s="186" t="str">
        <f t="shared" si="7"/>
        <v/>
      </c>
      <c r="AI49" s="185"/>
      <c r="AJ49" s="188"/>
    </row>
    <row r="50" spans="2:36" ht="30" customHeight="1" x14ac:dyDescent="0.3">
      <c r="B50" s="562"/>
      <c r="C50" s="563"/>
      <c r="D50" s="425"/>
      <c r="E50" s="250" t="str">
        <f t="shared" si="3"/>
        <v/>
      </c>
      <c r="F50" s="556"/>
      <c r="G50" s="252" t="str">
        <f>IFERROR(VLOOKUP(F50,'Data (hidden)'!N:O,2,FALSE),"")</f>
        <v/>
      </c>
      <c r="H50" s="557"/>
      <c r="I50" s="558"/>
      <c r="J50" s="123">
        <f t="shared" si="4"/>
        <v>0</v>
      </c>
      <c r="K50" s="123" t="e">
        <f t="shared" si="5"/>
        <v>#VALUE!</v>
      </c>
      <c r="L50" s="123">
        <f t="shared" si="1"/>
        <v>0</v>
      </c>
      <c r="M50" s="124" t="str">
        <f t="shared" si="2"/>
        <v/>
      </c>
      <c r="N50" s="100" t="s">
        <v>410</v>
      </c>
      <c r="O50" s="100">
        <f>SUMIFS($J$19:$J$650,$G$19:$G$650,"native broadleaf",$B$19:$B$650,"32")</f>
        <v>0</v>
      </c>
      <c r="P50" s="101">
        <f>SUMIFS($J$19:$J$650,$G$19:$G$650,"Non-Native Broadleaf",$B$19:$B$650,"32")</f>
        <v>0</v>
      </c>
      <c r="Q50" s="101">
        <f>SUMIFS($J$19:$J$650,$G$19:$G$650,"Naturalised Broadleaf",$B$19:$B$650,"32")</f>
        <v>0</v>
      </c>
      <c r="R50" s="102">
        <f>SUMIFS($J$19:$J$650,$G$19:$G$650,"Native Conifer",$B$19:$B$650,"32")</f>
        <v>0</v>
      </c>
      <c r="S50" s="102">
        <f>SUMIFS($J$19:$J$650,$G$19:$G$650,"Non-Native Conifer",$B$19:$B$650,"32")</f>
        <v>0</v>
      </c>
      <c r="T50" s="102">
        <f>SUMIFS($J$19:$J$650,$G$19:$G$650,"Naturalised Conifer",$B$19:$B$650,"32")</f>
        <v>0</v>
      </c>
      <c r="U50" s="103">
        <f>SUMIFS($J$19:$J$650,$G$19:$G$650,"Native Woody Shrub",$B$19:$B$650,"32")</f>
        <v>0</v>
      </c>
      <c r="V50" s="100">
        <f>SUMIFS($K$19:$K$2222,$G$19:$G$2222,"native broadleaf",$B$19:$B$2222,"32")</f>
        <v>0</v>
      </c>
      <c r="W50" s="101">
        <f>SUMIFS($K$19:$K$2222,$G$19:$G$2222,"Non-Native Broadleaf",$B$19:$B$2222,"32")</f>
        <v>0</v>
      </c>
      <c r="X50" s="101">
        <f>SUMIFS($K$19:$K$2222,$G$19:$G$2222,"Naturalised Broadleaf",$B$19:$B$2222,"32")</f>
        <v>0</v>
      </c>
      <c r="Y50" s="102">
        <f>SUMIFS($K$19:$K$2222,$G$19:$G$2222,"Native Conifer",$B$19:$B$2222,"32")</f>
        <v>0</v>
      </c>
      <c r="Z50" s="102">
        <f>SUMIFS($K$19:$K$2222,$G$19:$G$2222,"Non-Native Conifer",$B$19:$B$2222,"32")</f>
        <v>0</v>
      </c>
      <c r="AA50" s="102">
        <f>SUMIFS($K$19:$K$2222,$G$19:$G$2222,"Naturalised Conifer",$B$19:$B$2222,"32")</f>
        <v>0</v>
      </c>
      <c r="AB50" s="103">
        <f>SUMIFS($K$19:$K$2222,$G$19:$G$2222,"Native Woody Shrub",$B$19:$B$2222,"32")</f>
        <v>0</v>
      </c>
      <c r="AE50" s="187"/>
      <c r="AF50" s="185"/>
      <c r="AG50" s="185" t="str">
        <f t="shared" si="6"/>
        <v/>
      </c>
      <c r="AH50" s="186" t="str">
        <f t="shared" si="7"/>
        <v/>
      </c>
      <c r="AI50" s="185"/>
      <c r="AJ50" s="188"/>
    </row>
    <row r="51" spans="2:36" ht="30" customHeight="1" x14ac:dyDescent="0.3">
      <c r="B51" s="562"/>
      <c r="C51" s="563"/>
      <c r="D51" s="425"/>
      <c r="E51" s="250" t="str">
        <f t="shared" si="3"/>
        <v/>
      </c>
      <c r="F51" s="556"/>
      <c r="G51" s="252" t="str">
        <f>IFERROR(VLOOKUP(F51,'Data (hidden)'!N:O,2,FALSE),"")</f>
        <v/>
      </c>
      <c r="H51" s="557"/>
      <c r="I51" s="558"/>
      <c r="J51" s="123">
        <f t="shared" si="4"/>
        <v>0</v>
      </c>
      <c r="K51" s="123" t="e">
        <f t="shared" si="5"/>
        <v>#VALUE!</v>
      </c>
      <c r="L51" s="123">
        <f t="shared" si="1"/>
        <v>0</v>
      </c>
      <c r="M51" s="124" t="str">
        <f t="shared" si="2"/>
        <v/>
      </c>
      <c r="N51" s="100" t="s">
        <v>411</v>
      </c>
      <c r="O51" s="100">
        <f>SUMIFS($J$19:$J$650,$G$19:$G$650,"native broadleaf",$B$19:$B$650,"33")</f>
        <v>0</v>
      </c>
      <c r="P51" s="101">
        <f>SUMIFS($J$19:$J$650,$G$19:$G$650,"Non-Native Broadleaf",$B$19:$B$650,"33")</f>
        <v>0</v>
      </c>
      <c r="Q51" s="101">
        <f>SUMIFS($J$19:$J$650,$G$19:$G$650,"Naturalised Broadleaf",$B$19:$B$650,"33")</f>
        <v>0</v>
      </c>
      <c r="R51" s="102">
        <f>SUMIFS($J$19:$J$650,$G$19:$G$650,"Native Conifer",$B$19:$B$650,"33")</f>
        <v>0</v>
      </c>
      <c r="S51" s="102">
        <f>SUMIFS($J$19:$J$650,$G$19:$G$650,"Non-Native Conifer",$B$19:$B$650,"33")</f>
        <v>0</v>
      </c>
      <c r="T51" s="102">
        <f>SUMIFS($J$19:$J$650,$G$19:$G$650,"Naturalised Conifer",$B$19:$B$650,"33")</f>
        <v>0</v>
      </c>
      <c r="U51" s="103">
        <f>SUMIFS($J$19:$J$650,$G$19:$G$650,"Native Woody Shrub",$B$19:$B$650,"33")</f>
        <v>0</v>
      </c>
      <c r="V51" s="100">
        <f>SUMIFS($K$19:$K$2222,$G$19:$G$2222,"native broadleaf",$B$19:$B$2222,"33")</f>
        <v>0</v>
      </c>
      <c r="W51" s="101">
        <f>SUMIFS($K$19:$K$2222,$G$19:$G$2222,"Non-Native Broadleaf",$B$19:$B$2222,"33")</f>
        <v>0</v>
      </c>
      <c r="X51" s="101">
        <f>SUMIFS($K$19:$K$2222,$G$19:$G$2222,"Naturalised Broadleaf",$B$19:$B$2222,"33")</f>
        <v>0</v>
      </c>
      <c r="Y51" s="102">
        <f>SUMIFS($K$19:$K$2222,$G$19:$G$2222,"Native Conifer",$B$19:$B$2222,"33")</f>
        <v>0</v>
      </c>
      <c r="Z51" s="102">
        <f>SUMIFS($K$19:$K$2222,$G$19:$G$2222,"Non-Native Conifer",$B$19:$B$2222,"33")</f>
        <v>0</v>
      </c>
      <c r="AA51" s="102">
        <f>SUMIFS($K$19:$K$2222,$G$19:$G$2222,"Naturalised Conifer",$B$19:$B$2222,"33")</f>
        <v>0</v>
      </c>
      <c r="AB51" s="103">
        <f>SUMIFS($K$19:$K$2222,$G$19:$G$2222,"Native Woody Shrub",$B$19:$B$2222,"33")</f>
        <v>0</v>
      </c>
      <c r="AE51" s="187"/>
      <c r="AF51" s="185"/>
      <c r="AG51" s="185" t="str">
        <f t="shared" si="6"/>
        <v/>
      </c>
      <c r="AH51" s="186" t="str">
        <f t="shared" si="7"/>
        <v/>
      </c>
      <c r="AI51" s="185"/>
      <c r="AJ51" s="188"/>
    </row>
    <row r="52" spans="2:36" ht="30" customHeight="1" x14ac:dyDescent="0.3">
      <c r="B52" s="562"/>
      <c r="C52" s="563"/>
      <c r="D52" s="425"/>
      <c r="E52" s="250" t="str">
        <f t="shared" si="3"/>
        <v/>
      </c>
      <c r="F52" s="556"/>
      <c r="G52" s="252" t="str">
        <f>IFERROR(VLOOKUP(F52,'Data (hidden)'!N:O,2,FALSE),"")</f>
        <v/>
      </c>
      <c r="H52" s="557"/>
      <c r="I52" s="558"/>
      <c r="J52" s="123">
        <f t="shared" si="4"/>
        <v>0</v>
      </c>
      <c r="K52" s="123" t="e">
        <f t="shared" si="5"/>
        <v>#VALUE!</v>
      </c>
      <c r="L52" s="123">
        <f t="shared" si="1"/>
        <v>0</v>
      </c>
      <c r="M52" s="124" t="str">
        <f t="shared" si="2"/>
        <v/>
      </c>
      <c r="N52" s="100" t="s">
        <v>412</v>
      </c>
      <c r="O52" s="100">
        <f>SUMIFS($J$19:$J$650,$G$19:$G$650,"native broadleaf",$B$19:$B$650,"34")</f>
        <v>0</v>
      </c>
      <c r="P52" s="101">
        <f>SUMIFS($J$19:$J$650,$G$19:$G$650,"Non-Native Broadleaf",$B$19:$B$650,"34")</f>
        <v>0</v>
      </c>
      <c r="Q52" s="101">
        <f>SUMIFS($J$19:$J$650,$G$19:$G$650,"Naturalised Broadleaf",$B$19:$B$650,"34")</f>
        <v>0</v>
      </c>
      <c r="R52" s="102">
        <f>SUMIFS($J$19:$J$650,$G$19:$G$650,"Native Conifer",$B$19:$B$650,"34")</f>
        <v>0</v>
      </c>
      <c r="S52" s="102">
        <f>SUMIFS($J$19:$J$650,$G$19:$G$650,"Non-Native Conifer",$B$19:$B$650,"34")</f>
        <v>0</v>
      </c>
      <c r="T52" s="102">
        <f>SUMIFS($J$19:$J$650,$G$19:$G$650,"Naturalised Conifer",$B$19:$B$650,"34")</f>
        <v>0</v>
      </c>
      <c r="U52" s="103">
        <f>SUMIFS($J$19:$J$650,$G$19:$G$650,"Native Woody Shrub",$B$19:$B$650,"34")</f>
        <v>0</v>
      </c>
      <c r="V52" s="100">
        <f>SUMIFS($K$19:$K$2222,$G$19:$G$2222,"native broadleaf",$B$19:$B$2222,"34")</f>
        <v>0</v>
      </c>
      <c r="W52" s="101">
        <f>SUMIFS($K$19:$K$2222,$G$19:$G$2222,"Non-Native Broadleaf",$B$19:$B$2222,"34")</f>
        <v>0</v>
      </c>
      <c r="X52" s="101">
        <f>SUMIFS($K$19:$K$2222,$G$19:$G$2222,"Naturalised Broadleaf",$B$19:$B$2222,"34")</f>
        <v>0</v>
      </c>
      <c r="Y52" s="102">
        <f>SUMIFS($K$19:$K$2222,$G$19:$G$2222,"Native Conifer",$B$19:$B$2222,"34")</f>
        <v>0</v>
      </c>
      <c r="Z52" s="102">
        <f>SUMIFS($K$19:$K$2222,$G$19:$G$2222,"Non-Native Conifer",$B$19:$B$2222,"34")</f>
        <v>0</v>
      </c>
      <c r="AA52" s="102">
        <f>SUMIFS($K$19:$K$2222,$G$19:$G$2222,"Naturalised Conifer",$B$19:$B$2222,"34")</f>
        <v>0</v>
      </c>
      <c r="AB52" s="103">
        <f>SUMIFS($K$19:$K$2222,$G$19:$G$2222,"Native Woody Shrub",$B$19:$B$2222,"34")</f>
        <v>0</v>
      </c>
      <c r="AE52" s="187"/>
      <c r="AF52" s="185"/>
      <c r="AG52" s="185" t="str">
        <f t="shared" si="6"/>
        <v/>
      </c>
      <c r="AH52" s="186" t="str">
        <f t="shared" si="7"/>
        <v/>
      </c>
      <c r="AI52" s="185"/>
      <c r="AJ52" s="188"/>
    </row>
    <row r="53" spans="2:36" ht="30" customHeight="1" x14ac:dyDescent="0.3">
      <c r="B53" s="562"/>
      <c r="C53" s="563"/>
      <c r="D53" s="425"/>
      <c r="E53" s="250" t="str">
        <f t="shared" si="3"/>
        <v/>
      </c>
      <c r="F53" s="556"/>
      <c r="G53" s="252" t="str">
        <f>IFERROR(VLOOKUP(F53,'Data (hidden)'!N:O,2,FALSE),"")</f>
        <v/>
      </c>
      <c r="H53" s="557"/>
      <c r="I53" s="558"/>
      <c r="J53" s="123">
        <f t="shared" si="4"/>
        <v>0</v>
      </c>
      <c r="K53" s="123" t="e">
        <f t="shared" si="5"/>
        <v>#VALUE!</v>
      </c>
      <c r="L53" s="123">
        <f t="shared" si="1"/>
        <v>0</v>
      </c>
      <c r="M53" s="124" t="str">
        <f t="shared" si="2"/>
        <v/>
      </c>
      <c r="N53" s="100" t="s">
        <v>413</v>
      </c>
      <c r="O53" s="100">
        <f>SUMIFS($J$19:$J$650,$G$19:$G$650,"native broadleaf",$B$19:$B$650,"35")</f>
        <v>0</v>
      </c>
      <c r="P53" s="101">
        <f>SUMIFS($J$19:$J$650,$G$19:$G$650,"Non-Native Broadleaf",$B$19:$B$650,"35")</f>
        <v>0</v>
      </c>
      <c r="Q53" s="101">
        <f>SUMIFS($J$19:$J$650,$G$19:$G$650,"Naturalised Broadleaf",$B$19:$B$650,"35")</f>
        <v>0</v>
      </c>
      <c r="R53" s="102">
        <f>SUMIFS($J$19:$J$650,$G$19:$G$650,"Native Conifer",$B$19:$B$650,"35")</f>
        <v>0</v>
      </c>
      <c r="S53" s="102">
        <f>SUMIFS($J$19:$J$650,$G$19:$G$650,"Non-Native Conifer",$B$19:$B$650,"35")</f>
        <v>0</v>
      </c>
      <c r="T53" s="102">
        <f>SUMIFS($J$19:$J$650,$G$19:$G$650,"Naturalised Conifer",$B$19:$B$650,"35")</f>
        <v>0</v>
      </c>
      <c r="U53" s="103">
        <f>SUMIFS($J$19:$J$650,$G$19:$G$650,"Native Woody Shrub",$B$19:$B$650,"35")</f>
        <v>0</v>
      </c>
      <c r="V53" s="100">
        <f>SUMIFS($K$19:$K$2222,$G$19:$G$2222,"native broadleaf",$B$19:$B$2222,"35")</f>
        <v>0</v>
      </c>
      <c r="W53" s="101">
        <f>SUMIFS($K$19:$K$2222,$G$19:$G$2222,"Non-Native Broadleaf",$B$19:$B$2222,"35")</f>
        <v>0</v>
      </c>
      <c r="X53" s="101">
        <f>SUMIFS($K$19:$K$2222,$G$19:$G$2222,"Naturalised Broadleaf",$B$19:$B$2222,"35")</f>
        <v>0</v>
      </c>
      <c r="Y53" s="102">
        <f>SUMIFS($K$19:$K$2222,$G$19:$G$2222,"Native Conifer",$B$19:$B$2222,"35")</f>
        <v>0</v>
      </c>
      <c r="Z53" s="102">
        <f>SUMIFS($K$19:$K$2222,$G$19:$G$2222,"Non-Native Conifer",$B$19:$B$2222,"35")</f>
        <v>0</v>
      </c>
      <c r="AA53" s="102">
        <f>SUMIFS($K$19:$K$2222,$G$19:$G$2222,"Naturalised Conifer",$B$19:$B$2222,"35")</f>
        <v>0</v>
      </c>
      <c r="AB53" s="103">
        <f>SUMIFS($K$19:$K$2222,$G$19:$G$2222,"Native Woody Shrub",$B$19:$B$2222,"35")</f>
        <v>0</v>
      </c>
      <c r="AE53" s="187"/>
      <c r="AF53" s="185"/>
      <c r="AG53" s="185" t="str">
        <f t="shared" si="6"/>
        <v/>
      </c>
      <c r="AH53" s="186" t="str">
        <f t="shared" si="7"/>
        <v/>
      </c>
      <c r="AI53" s="185"/>
      <c r="AJ53" s="188"/>
    </row>
    <row r="54" spans="2:36" ht="30" customHeight="1" x14ac:dyDescent="0.3">
      <c r="B54" s="562"/>
      <c r="C54" s="563"/>
      <c r="D54" s="425"/>
      <c r="E54" s="250" t="str">
        <f t="shared" si="3"/>
        <v/>
      </c>
      <c r="F54" s="556"/>
      <c r="G54" s="252" t="str">
        <f>IFERROR(VLOOKUP(F54,'Data (hidden)'!N:O,2,FALSE),"")</f>
        <v/>
      </c>
      <c r="H54" s="557"/>
      <c r="I54" s="558"/>
      <c r="J54" s="123">
        <f t="shared" si="4"/>
        <v>0</v>
      </c>
      <c r="K54" s="123" t="e">
        <f t="shared" si="5"/>
        <v>#VALUE!</v>
      </c>
      <c r="L54" s="123">
        <f t="shared" si="1"/>
        <v>0</v>
      </c>
      <c r="M54" s="124" t="str">
        <f t="shared" si="2"/>
        <v/>
      </c>
      <c r="N54" s="100" t="s">
        <v>414</v>
      </c>
      <c r="O54" s="100">
        <f>SUMIFS($J$19:$J$650,$G$19:$G$650,"native broadleaf",$B$19:$B$650,"36")</f>
        <v>0</v>
      </c>
      <c r="P54" s="101">
        <f>SUMIFS($J$19:$J$650,$G$19:$G$650,"Non-Native Broadleaf",$B$19:$B$650,"36")</f>
        <v>0</v>
      </c>
      <c r="Q54" s="101">
        <f>SUMIFS($J$19:$J$650,$G$19:$G$650,"Naturalised Broadleaf",$B$19:$B$650,"36")</f>
        <v>0</v>
      </c>
      <c r="R54" s="102">
        <f>SUMIFS($J$19:$J$650,$G$19:$G$650,"Native Conifer",$B$19:$B$650,"36")</f>
        <v>0</v>
      </c>
      <c r="S54" s="102">
        <f>SUMIFS($J$19:$J$650,$G$19:$G$650,"Non-Native Conifer",$B$19:$B$650,"36")</f>
        <v>0</v>
      </c>
      <c r="T54" s="102">
        <f>SUMIFS($J$19:$J$650,$G$19:$G$650,"Naturalised Conifer",$B$19:$B$650,"36")</f>
        <v>0</v>
      </c>
      <c r="U54" s="103">
        <f>SUMIFS($J$19:$J$650,$G$19:$G$650,"Native Woody Shrub",$B$19:$B$650,"36")</f>
        <v>0</v>
      </c>
      <c r="V54" s="100">
        <f>SUMIFS($K$19:$K$2222,$G$19:$G$2222,"native broadleaf",$B$19:$B$2222,"36")</f>
        <v>0</v>
      </c>
      <c r="W54" s="101">
        <f>SUMIFS($K$19:$K$2222,$G$19:$G$2222,"Non-Native Broadleaf",$B$19:$B$2222,"36")</f>
        <v>0</v>
      </c>
      <c r="X54" s="101">
        <f>SUMIFS($K$19:$K$2222,$G$19:$G$2222,"Naturalised Broadleaf",$B$19:$B$2222,"36")</f>
        <v>0</v>
      </c>
      <c r="Y54" s="102">
        <f>SUMIFS($K$19:$K$2222,$G$19:$G$2222,"Native Conifer",$B$19:$B$2222,"36")</f>
        <v>0</v>
      </c>
      <c r="Z54" s="102">
        <f>SUMIFS($K$19:$K$2222,$G$19:$G$2222,"Non-Native Conifer",$B$19:$B$2222,"36")</f>
        <v>0</v>
      </c>
      <c r="AA54" s="102">
        <f>SUMIFS($K$19:$K$2222,$G$19:$G$2222,"Naturalised Conifer",$B$19:$B$2222,"36")</f>
        <v>0</v>
      </c>
      <c r="AB54" s="103">
        <f>SUMIFS($K$19:$K$2222,$G$19:$G$2222,"Native Woody Shrub",$B$19:$B$2222,"36")</f>
        <v>0</v>
      </c>
      <c r="AE54" s="187"/>
      <c r="AF54" s="185"/>
      <c r="AG54" s="185" t="str">
        <f t="shared" si="6"/>
        <v/>
      </c>
      <c r="AH54" s="186" t="str">
        <f t="shared" si="7"/>
        <v/>
      </c>
      <c r="AI54" s="185"/>
      <c r="AJ54" s="188"/>
    </row>
    <row r="55" spans="2:36" ht="30" customHeight="1" x14ac:dyDescent="0.3">
      <c r="B55" s="562"/>
      <c r="C55" s="563"/>
      <c r="D55" s="425"/>
      <c r="E55" s="250" t="str">
        <f t="shared" si="3"/>
        <v/>
      </c>
      <c r="F55" s="556"/>
      <c r="G55" s="252" t="str">
        <f>IFERROR(VLOOKUP(F55,'Data (hidden)'!N:O,2,FALSE),"")</f>
        <v/>
      </c>
      <c r="H55" s="557"/>
      <c r="I55" s="558"/>
      <c r="J55" s="123">
        <f t="shared" si="4"/>
        <v>0</v>
      </c>
      <c r="K55" s="123" t="e">
        <f t="shared" si="5"/>
        <v>#VALUE!</v>
      </c>
      <c r="L55" s="123">
        <f t="shared" si="1"/>
        <v>0</v>
      </c>
      <c r="M55" s="124" t="str">
        <f t="shared" si="2"/>
        <v/>
      </c>
      <c r="N55" s="100" t="s">
        <v>415</v>
      </c>
      <c r="O55" s="100">
        <f>SUMIFS($J$19:$J$650,$G$19:$G$650,"native broadleaf",$B$19:$B$650,"37")</f>
        <v>0</v>
      </c>
      <c r="P55" s="101">
        <f>SUMIFS($J$19:$J$650,$G$19:$G$650,"Non-Native Broadleaf",$B$19:$B$650,"37")</f>
        <v>0</v>
      </c>
      <c r="Q55" s="101">
        <f>SUMIFS($J$19:$J$650,$G$19:$G$650,"Naturalised Broadleaf",$B$19:$B$650,"37")</f>
        <v>0</v>
      </c>
      <c r="R55" s="102">
        <f>SUMIFS($J$19:$J$650,$G$19:$G$650,"Native Conifer",$B$19:$B$650,"37")</f>
        <v>0</v>
      </c>
      <c r="S55" s="102">
        <f>SUMIFS($J$19:$J$650,$G$19:$G$650,"Non-Native Conifer",$B$19:$B$650,"37")</f>
        <v>0</v>
      </c>
      <c r="T55" s="102">
        <f>SUMIFS($J$19:$J$650,$G$19:$G$650,"Naturalised Conifer",$B$19:$B$650,"37")</f>
        <v>0</v>
      </c>
      <c r="U55" s="103">
        <f>SUMIFS($J$19:$J$650,$G$19:$G$650,"Native Woody Shrub",$B$19:$B$650,"37")</f>
        <v>0</v>
      </c>
      <c r="V55" s="100">
        <f>SUMIFS($K$19:$K$2222,$G$19:$G$2222,"native broadleaf",$B$19:$B$2222,"37")</f>
        <v>0</v>
      </c>
      <c r="W55" s="101">
        <f>SUMIFS($K$19:$K$2222,$G$19:$G$2222,"Non-Native Broadleaf",$B$19:$B$2222,"37")</f>
        <v>0</v>
      </c>
      <c r="X55" s="101">
        <f>SUMIFS($K$19:$K$2222,$G$19:$G$2222,"Naturalised Broadleaf",$B$19:$B$2222,"37")</f>
        <v>0</v>
      </c>
      <c r="Y55" s="102">
        <f>SUMIFS($K$19:$K$2222,$G$19:$G$2222,"Native Conifer",$B$19:$B$2222,"37")</f>
        <v>0</v>
      </c>
      <c r="Z55" s="102">
        <f>SUMIFS($K$19:$K$2222,$G$19:$G$2222,"Non-Native Conifer",$B$19:$B$2222,"37")</f>
        <v>0</v>
      </c>
      <c r="AA55" s="102">
        <f>SUMIFS($K$19:$K$2222,$G$19:$G$2222,"Naturalised Conifer",$B$19:$B$2222,"37")</f>
        <v>0</v>
      </c>
      <c r="AB55" s="103">
        <f>SUMIFS($K$19:$K$2222,$G$19:$G$2222,"Native Woody Shrub",$B$19:$B$2222,"37")</f>
        <v>0</v>
      </c>
      <c r="AE55" s="187"/>
      <c r="AF55" s="185"/>
      <c r="AG55" s="185" t="str">
        <f t="shared" si="6"/>
        <v/>
      </c>
      <c r="AH55" s="186" t="str">
        <f t="shared" si="7"/>
        <v/>
      </c>
      <c r="AI55" s="185"/>
      <c r="AJ55" s="188"/>
    </row>
    <row r="56" spans="2:36" ht="30" customHeight="1" x14ac:dyDescent="0.3">
      <c r="B56" s="562"/>
      <c r="C56" s="563"/>
      <c r="D56" s="425"/>
      <c r="E56" s="250" t="str">
        <f t="shared" si="3"/>
        <v/>
      </c>
      <c r="F56" s="556"/>
      <c r="G56" s="252" t="str">
        <f>IFERROR(VLOOKUP(F56,'Data (hidden)'!N:O,2,FALSE),"")</f>
        <v/>
      </c>
      <c r="H56" s="557"/>
      <c r="I56" s="558"/>
      <c r="J56" s="123">
        <f t="shared" si="4"/>
        <v>0</v>
      </c>
      <c r="K56" s="123" t="e">
        <f t="shared" si="5"/>
        <v>#VALUE!</v>
      </c>
      <c r="L56" s="123">
        <f t="shared" si="1"/>
        <v>0</v>
      </c>
      <c r="M56" s="124" t="str">
        <f t="shared" si="2"/>
        <v/>
      </c>
      <c r="N56" s="100" t="s">
        <v>416</v>
      </c>
      <c r="O56" s="100">
        <f>SUMIFS($J$19:$J$650,$G$19:$G$650,"native broadleaf",$B$19:$B$650,"38")</f>
        <v>0</v>
      </c>
      <c r="P56" s="101">
        <f>SUMIFS($J$19:$J$650,$G$19:$G$650,"Non-Native Broadleaf",$B$19:$B$650,"38")</f>
        <v>0</v>
      </c>
      <c r="Q56" s="101">
        <f>SUMIFS($J$19:$J$650,$G$19:$G$650,"Naturalised Broadleaf",$B$19:$B$650,"38")</f>
        <v>0</v>
      </c>
      <c r="R56" s="102">
        <f>SUMIFS($J$19:$J$650,$G$19:$G$650,"Native Conifer",$B$19:$B$650,"38")</f>
        <v>0</v>
      </c>
      <c r="S56" s="102">
        <f>SUMIFS($J$19:$J$650,$G$19:$G$650,"Non-Native Conifer",$B$19:$B$650,"38")</f>
        <v>0</v>
      </c>
      <c r="T56" s="102">
        <f>SUMIFS($J$19:$J$650,$G$19:$G$650,"Naturalised Conifer",$B$19:$B$650,"38")</f>
        <v>0</v>
      </c>
      <c r="U56" s="103">
        <f>SUMIFS($J$19:$J$650,$G$19:$G$650,"Native Woody Shrub",$B$19:$B$650,"38")</f>
        <v>0</v>
      </c>
      <c r="V56" s="100">
        <f>SUMIFS($K$19:$K$2222,$G$19:$G$2222,"native broadleaf",$B$19:$B$2222,"38")</f>
        <v>0</v>
      </c>
      <c r="W56" s="101">
        <f>SUMIFS($K$19:$K$2222,$G$19:$G$2222,"Non-Native Broadleaf",$B$19:$B$2222,"38")</f>
        <v>0</v>
      </c>
      <c r="X56" s="101">
        <f>SUMIFS($K$19:$K$2222,$G$19:$G$2222,"Naturalised Broadleaf",$B$19:$B$2222,"38")</f>
        <v>0</v>
      </c>
      <c r="Y56" s="102">
        <f>SUMIFS($K$19:$K$2222,$G$19:$G$2222,"Native Conifer",$B$19:$B$2222,"38")</f>
        <v>0</v>
      </c>
      <c r="Z56" s="102">
        <f>SUMIFS($K$19:$K$2222,$G$19:$G$2222,"Non-Native Conifer",$B$19:$B$2222,"38")</f>
        <v>0</v>
      </c>
      <c r="AA56" s="102">
        <f>SUMIFS($K$19:$K$2222,$G$19:$G$2222,"Naturalised Conifer",$B$19:$B$2222,"38")</f>
        <v>0</v>
      </c>
      <c r="AB56" s="103">
        <f>SUMIFS($K$19:$K$2222,$G$19:$G$2222,"Native Woody Shrub",$B$19:$B$2222,"38")</f>
        <v>0</v>
      </c>
      <c r="AE56" s="187"/>
      <c r="AF56" s="185"/>
      <c r="AG56" s="185" t="str">
        <f t="shared" si="6"/>
        <v/>
      </c>
      <c r="AH56" s="186" t="str">
        <f t="shared" si="7"/>
        <v/>
      </c>
      <c r="AI56" s="185"/>
      <c r="AJ56" s="188"/>
    </row>
    <row r="57" spans="2:36" ht="30" customHeight="1" x14ac:dyDescent="0.3">
      <c r="B57" s="562"/>
      <c r="C57" s="563"/>
      <c r="D57" s="425"/>
      <c r="E57" s="250" t="str">
        <f t="shared" si="3"/>
        <v/>
      </c>
      <c r="F57" s="556"/>
      <c r="G57" s="252" t="str">
        <f>IFERROR(VLOOKUP(F57,'Data (hidden)'!N:O,2,FALSE),"")</f>
        <v/>
      </c>
      <c r="H57" s="557"/>
      <c r="I57" s="558"/>
      <c r="J57" s="123">
        <f t="shared" si="4"/>
        <v>0</v>
      </c>
      <c r="K57" s="123" t="e">
        <f t="shared" si="5"/>
        <v>#VALUE!</v>
      </c>
      <c r="L57" s="123">
        <f t="shared" si="1"/>
        <v>0</v>
      </c>
      <c r="M57" s="124" t="str">
        <f t="shared" si="2"/>
        <v/>
      </c>
      <c r="N57" s="100" t="s">
        <v>417</v>
      </c>
      <c r="O57" s="100">
        <f>SUMIFS($J$19:$J$650,$G$19:$G$650,"native broadleaf",$B$19:$B$650,"39")</f>
        <v>0</v>
      </c>
      <c r="P57" s="101">
        <f>SUMIFS($J$19:$J$650,$G$19:$G$650,"Non-Native Broadleaf",$B$19:$B$650,"39")</f>
        <v>0</v>
      </c>
      <c r="Q57" s="101">
        <f>SUMIFS($J$19:$J$650,$G$19:$G$650,"Naturalised Broadleaf",$B$19:$B$650,"39")</f>
        <v>0</v>
      </c>
      <c r="R57" s="102">
        <f>SUMIFS($J$19:$J$650,$G$19:$G$650,"Native Conifer",$B$19:$B$650,"39")</f>
        <v>0</v>
      </c>
      <c r="S57" s="102">
        <f>SUMIFS($J$19:$J$650,$G$19:$G$650,"Non-Native Conifer",$B$19:$B$650,"39")</f>
        <v>0</v>
      </c>
      <c r="T57" s="102">
        <f>SUMIFS($J$19:$J$650,$G$19:$G$650,"Naturalised Conifer",$B$19:$B$650,"39")</f>
        <v>0</v>
      </c>
      <c r="U57" s="103">
        <f>SUMIFS($J$19:$J$650,$G$19:$G$650,"Native Woody Shrub",$B$19:$B$650,"39")</f>
        <v>0</v>
      </c>
      <c r="V57" s="100">
        <f>SUMIFS($K$19:$K$2222,$G$19:$G$2222,"native broadleaf",$B$19:$B$2222,"39")</f>
        <v>0</v>
      </c>
      <c r="W57" s="101">
        <f>SUMIFS($K$19:$K$2222,$G$19:$G$2222,"Non-Native Broadleaf",$B$19:$B$2222,"39")</f>
        <v>0</v>
      </c>
      <c r="X57" s="101">
        <f>SUMIFS($K$19:$K$2222,$G$19:$G$2222,"Naturalised Broadleaf",$B$19:$B$2222,"39")</f>
        <v>0</v>
      </c>
      <c r="Y57" s="102">
        <f>SUMIFS($K$19:$K$2222,$G$19:$G$2222,"Native Conifer",$B$19:$B$2222,"39")</f>
        <v>0</v>
      </c>
      <c r="Z57" s="102">
        <f>SUMIFS($K$19:$K$2222,$G$19:$G$2222,"Non-Native Conifer",$B$19:$B$2222,"39")</f>
        <v>0</v>
      </c>
      <c r="AA57" s="102">
        <f>SUMIFS($K$19:$K$2222,$G$19:$G$2222,"Naturalised Conifer",$B$19:$B$2222,"39")</f>
        <v>0</v>
      </c>
      <c r="AB57" s="103">
        <f>SUMIFS($K$19:$K$2222,$G$19:$G$2222,"Native Woody Shrub",$B$19:$B$2222,"39")</f>
        <v>0</v>
      </c>
      <c r="AE57" s="187"/>
      <c r="AF57" s="185"/>
      <c r="AG57" s="185" t="str">
        <f t="shared" si="6"/>
        <v/>
      </c>
      <c r="AH57" s="186" t="str">
        <f t="shared" si="7"/>
        <v/>
      </c>
      <c r="AI57" s="185"/>
      <c r="AJ57" s="188"/>
    </row>
    <row r="58" spans="2:36" ht="30" customHeight="1" x14ac:dyDescent="0.3">
      <c r="B58" s="562"/>
      <c r="C58" s="563"/>
      <c r="D58" s="425"/>
      <c r="E58" s="250" t="str">
        <f t="shared" si="3"/>
        <v/>
      </c>
      <c r="F58" s="556"/>
      <c r="G58" s="252" t="str">
        <f>IFERROR(VLOOKUP(F58,'Data (hidden)'!N:O,2,FALSE),"")</f>
        <v/>
      </c>
      <c r="H58" s="557"/>
      <c r="I58" s="558"/>
      <c r="J58" s="123">
        <f t="shared" si="4"/>
        <v>0</v>
      </c>
      <c r="K58" s="123" t="e">
        <f t="shared" si="5"/>
        <v>#VALUE!</v>
      </c>
      <c r="L58" s="123">
        <f t="shared" si="1"/>
        <v>0</v>
      </c>
      <c r="M58" s="124" t="str">
        <f t="shared" si="2"/>
        <v/>
      </c>
      <c r="N58" s="100" t="s">
        <v>418</v>
      </c>
      <c r="O58" s="100">
        <f t="shared" ref="O58:O121" si="8">SUMIFS($J$19:$J$650,$G$19:$G$650,"native broadleaf",$B$19:$B$650,"40")</f>
        <v>0</v>
      </c>
      <c r="P58" s="101">
        <f t="shared" ref="P58:P121" si="9">SUMIFS($J$19:$J$650,$G$19:$G$650,"Non-Native Broadleaf",$B$19:$B$650,"40")</f>
        <v>0</v>
      </c>
      <c r="Q58" s="101">
        <f t="shared" ref="Q58:Q121" si="10">SUMIFS($J$19:$J$650,$G$19:$G$650,"Naturalised Broadleaf",$B$19:$B$650,"40")</f>
        <v>0</v>
      </c>
      <c r="R58" s="102">
        <f t="shared" ref="R58:R121" si="11">SUMIFS($J$19:$J$650,$G$19:$G$650,"Native Conifer",$B$19:$B$650,"40")</f>
        <v>0</v>
      </c>
      <c r="S58" s="102">
        <f t="shared" ref="S58:S121" si="12">SUMIFS($J$19:$J$650,$G$19:$G$650,"Non-Native Conifer",$B$19:$B$650,"40")</f>
        <v>0</v>
      </c>
      <c r="T58" s="102">
        <f t="shared" ref="T58:T121" si="13">SUMIFS($J$19:$J$650,$G$19:$G$650,"Naturalised Conifer",$B$19:$B$650,"40")</f>
        <v>0</v>
      </c>
      <c r="U58" s="103">
        <f>SUMIFS($J$19:$J$650,$G$19:$G$650,"Native Woody Shrub",$B$19:$B$650,"40")</f>
        <v>0</v>
      </c>
      <c r="V58" s="100">
        <f>SUMIFS($K$19:$K$2222,$G$19:$G$2222,"native broadleaf",$B$19:$B$2222,"40")</f>
        <v>0</v>
      </c>
      <c r="W58" s="101">
        <f>SUMIFS($K$19:$K$2222,$G$19:$G$2222,"Non-Native Broadleaf",$B$19:$B$2222,"40")</f>
        <v>0</v>
      </c>
      <c r="X58" s="101">
        <f>SUMIFS($K$19:$K$2222,$G$19:$G$2222,"Naturalised Broadleaf",$B$19:$B$2222,"40")</f>
        <v>0</v>
      </c>
      <c r="Y58" s="102">
        <f>SUMIFS($K$19:$K$2222,$G$19:$G$2222,"Native Conifer",$B$19:$B$2222,"40")</f>
        <v>0</v>
      </c>
      <c r="Z58" s="102">
        <f>SUMIFS($K$19:$K$2222,$G$19:$G$2222,"Non-Native Conifer",$B$19:$B$2222,"40")</f>
        <v>0</v>
      </c>
      <c r="AA58" s="102">
        <f>SUMIFS($K$19:$K$2222,$G$19:$G$2222,"Naturalised Conifer",$B$19:$B$2222,"40")</f>
        <v>0</v>
      </c>
      <c r="AB58" s="103">
        <f>SUMIFS($K$19:$K$2222,$G$19:$G$2222,"Native Woody Shrub",$B$19:$B$2222,"40")</f>
        <v>0</v>
      </c>
      <c r="AE58" s="187"/>
      <c r="AF58" s="185"/>
      <c r="AG58" s="185" t="str">
        <f t="shared" si="6"/>
        <v/>
      </c>
      <c r="AH58" s="186" t="str">
        <f t="shared" si="7"/>
        <v/>
      </c>
      <c r="AI58" s="185"/>
      <c r="AJ58" s="188"/>
    </row>
    <row r="59" spans="2:36" ht="30" customHeight="1" x14ac:dyDescent="0.3">
      <c r="B59" s="562"/>
      <c r="C59" s="563"/>
      <c r="D59" s="425"/>
      <c r="E59" s="250" t="str">
        <f t="shared" si="3"/>
        <v/>
      </c>
      <c r="F59" s="556"/>
      <c r="G59" s="252" t="str">
        <f>IFERROR(VLOOKUP(F59,'Data (hidden)'!N:O,2,FALSE),"")</f>
        <v/>
      </c>
      <c r="H59" s="557"/>
      <c r="I59" s="558"/>
      <c r="J59" s="123">
        <f t="shared" si="4"/>
        <v>0</v>
      </c>
      <c r="K59" s="123" t="e">
        <f t="shared" si="5"/>
        <v>#VALUE!</v>
      </c>
      <c r="L59" s="123">
        <f t="shared" si="1"/>
        <v>0</v>
      </c>
      <c r="M59" s="124" t="str">
        <f t="shared" si="2"/>
        <v/>
      </c>
      <c r="N59" s="100" t="s">
        <v>419</v>
      </c>
      <c r="O59" s="100">
        <f t="shared" si="8"/>
        <v>0</v>
      </c>
      <c r="P59" s="101">
        <f t="shared" si="9"/>
        <v>0</v>
      </c>
      <c r="Q59" s="101">
        <f t="shared" si="10"/>
        <v>0</v>
      </c>
      <c r="R59" s="102">
        <f t="shared" si="11"/>
        <v>0</v>
      </c>
      <c r="S59" s="102">
        <f t="shared" si="12"/>
        <v>0</v>
      </c>
      <c r="T59" s="102">
        <f t="shared" si="13"/>
        <v>0</v>
      </c>
      <c r="U59" s="107"/>
      <c r="V59" s="108"/>
      <c r="W59" s="105"/>
      <c r="X59" s="109"/>
      <c r="Y59" s="110"/>
      <c r="Z59" s="106"/>
      <c r="AA59" s="106"/>
      <c r="AB59" s="111"/>
      <c r="AE59" s="187"/>
      <c r="AF59" s="185"/>
      <c r="AG59" s="185" t="str">
        <f t="shared" si="6"/>
        <v/>
      </c>
      <c r="AH59" s="186" t="str">
        <f t="shared" si="7"/>
        <v/>
      </c>
      <c r="AI59" s="185"/>
      <c r="AJ59" s="188"/>
    </row>
    <row r="60" spans="2:36" ht="30" customHeight="1" x14ac:dyDescent="0.3">
      <c r="B60" s="562"/>
      <c r="C60" s="563"/>
      <c r="D60" s="425"/>
      <c r="E60" s="250" t="str">
        <f t="shared" si="3"/>
        <v/>
      </c>
      <c r="F60" s="556"/>
      <c r="G60" s="252" t="str">
        <f>IFERROR(VLOOKUP(F60,'Data (hidden)'!N:O,2,FALSE),"")</f>
        <v/>
      </c>
      <c r="H60" s="557"/>
      <c r="I60" s="558"/>
      <c r="J60" s="123">
        <f t="shared" si="4"/>
        <v>0</v>
      </c>
      <c r="K60" s="123" t="e">
        <f t="shared" si="5"/>
        <v>#VALUE!</v>
      </c>
      <c r="L60" s="123">
        <f t="shared" si="1"/>
        <v>0</v>
      </c>
      <c r="M60" s="124" t="str">
        <f t="shared" si="2"/>
        <v/>
      </c>
      <c r="N60" s="100" t="s">
        <v>420</v>
      </c>
      <c r="O60" s="100">
        <f t="shared" si="8"/>
        <v>0</v>
      </c>
      <c r="P60" s="101">
        <f t="shared" si="9"/>
        <v>0</v>
      </c>
      <c r="Q60" s="101">
        <f t="shared" si="10"/>
        <v>0</v>
      </c>
      <c r="R60" s="102">
        <f t="shared" si="11"/>
        <v>0</v>
      </c>
      <c r="S60" s="102">
        <f t="shared" si="12"/>
        <v>0</v>
      </c>
      <c r="T60" s="102">
        <f t="shared" si="13"/>
        <v>0</v>
      </c>
      <c r="U60" s="107"/>
      <c r="V60" s="108"/>
      <c r="W60" s="105"/>
      <c r="X60" s="109"/>
      <c r="Y60" s="110"/>
      <c r="Z60" s="106"/>
      <c r="AA60" s="106"/>
      <c r="AB60" s="111"/>
      <c r="AE60" s="187"/>
      <c r="AF60" s="185"/>
      <c r="AG60" s="185" t="str">
        <f t="shared" si="6"/>
        <v/>
      </c>
      <c r="AH60" s="186" t="str">
        <f t="shared" si="7"/>
        <v/>
      </c>
      <c r="AI60" s="185"/>
      <c r="AJ60" s="188"/>
    </row>
    <row r="61" spans="2:36" ht="30" customHeight="1" x14ac:dyDescent="0.3">
      <c r="B61" s="562"/>
      <c r="C61" s="563"/>
      <c r="D61" s="425"/>
      <c r="E61" s="250" t="str">
        <f t="shared" si="3"/>
        <v/>
      </c>
      <c r="F61" s="556"/>
      <c r="G61" s="252" t="str">
        <f>IFERROR(VLOOKUP(F61,'Data (hidden)'!N:O,2,FALSE),"")</f>
        <v/>
      </c>
      <c r="H61" s="557"/>
      <c r="I61" s="558"/>
      <c r="J61" s="123">
        <f t="shared" si="4"/>
        <v>0</v>
      </c>
      <c r="K61" s="123" t="e">
        <f t="shared" si="5"/>
        <v>#VALUE!</v>
      </c>
      <c r="L61" s="123">
        <f t="shared" si="1"/>
        <v>0</v>
      </c>
      <c r="M61" s="124" t="str">
        <f t="shared" si="2"/>
        <v/>
      </c>
      <c r="N61" s="100" t="s">
        <v>421</v>
      </c>
      <c r="O61" s="100">
        <f t="shared" si="8"/>
        <v>0</v>
      </c>
      <c r="P61" s="101">
        <f t="shared" si="9"/>
        <v>0</v>
      </c>
      <c r="Q61" s="101">
        <f t="shared" si="10"/>
        <v>0</v>
      </c>
      <c r="R61" s="102">
        <f t="shared" si="11"/>
        <v>0</v>
      </c>
      <c r="S61" s="102">
        <f t="shared" si="12"/>
        <v>0</v>
      </c>
      <c r="T61" s="102">
        <f t="shared" si="13"/>
        <v>0</v>
      </c>
      <c r="U61" s="107"/>
      <c r="V61" s="108"/>
      <c r="W61" s="105"/>
      <c r="X61" s="109"/>
      <c r="Y61" s="110"/>
      <c r="Z61" s="106"/>
      <c r="AA61" s="106"/>
      <c r="AB61" s="111"/>
      <c r="AE61" s="187"/>
      <c r="AF61" s="185"/>
      <c r="AG61" s="185" t="str">
        <f t="shared" si="6"/>
        <v/>
      </c>
      <c r="AH61" s="186" t="str">
        <f t="shared" si="7"/>
        <v/>
      </c>
      <c r="AI61" s="185"/>
      <c r="AJ61" s="188"/>
    </row>
    <row r="62" spans="2:36" ht="30" customHeight="1" x14ac:dyDescent="0.3">
      <c r="B62" s="562"/>
      <c r="C62" s="563"/>
      <c r="D62" s="425"/>
      <c r="E62" s="250" t="str">
        <f t="shared" si="3"/>
        <v/>
      </c>
      <c r="F62" s="556"/>
      <c r="G62" s="252" t="str">
        <f>IFERROR(VLOOKUP(F62,'Data (hidden)'!N:O,2,FALSE),"")</f>
        <v/>
      </c>
      <c r="H62" s="557"/>
      <c r="I62" s="558"/>
      <c r="J62" s="123">
        <f t="shared" si="4"/>
        <v>0</v>
      </c>
      <c r="K62" s="123" t="e">
        <f t="shared" si="5"/>
        <v>#VALUE!</v>
      </c>
      <c r="L62" s="123">
        <f t="shared" si="1"/>
        <v>0</v>
      </c>
      <c r="M62" s="124" t="str">
        <f t="shared" si="2"/>
        <v/>
      </c>
      <c r="N62" s="100" t="s">
        <v>422</v>
      </c>
      <c r="O62" s="100">
        <f t="shared" si="8"/>
        <v>0</v>
      </c>
      <c r="P62" s="101">
        <f t="shared" si="9"/>
        <v>0</v>
      </c>
      <c r="Q62" s="101">
        <f t="shared" si="10"/>
        <v>0</v>
      </c>
      <c r="R62" s="102">
        <f t="shared" si="11"/>
        <v>0</v>
      </c>
      <c r="S62" s="102">
        <f t="shared" si="12"/>
        <v>0</v>
      </c>
      <c r="T62" s="102">
        <f t="shared" si="13"/>
        <v>0</v>
      </c>
      <c r="U62" s="107"/>
      <c r="V62" s="108"/>
      <c r="W62" s="105"/>
      <c r="X62" s="109"/>
      <c r="Y62" s="110"/>
      <c r="Z62" s="106"/>
      <c r="AA62" s="106"/>
      <c r="AB62" s="111"/>
      <c r="AE62" s="187"/>
      <c r="AF62" s="185"/>
      <c r="AG62" s="185" t="str">
        <f t="shared" si="6"/>
        <v/>
      </c>
      <c r="AH62" s="186" t="str">
        <f t="shared" si="7"/>
        <v/>
      </c>
      <c r="AI62" s="185"/>
      <c r="AJ62" s="188"/>
    </row>
    <row r="63" spans="2:36" ht="30" customHeight="1" x14ac:dyDescent="0.3">
      <c r="B63" s="562"/>
      <c r="C63" s="563"/>
      <c r="D63" s="425"/>
      <c r="E63" s="250" t="str">
        <f t="shared" si="3"/>
        <v/>
      </c>
      <c r="F63" s="556"/>
      <c r="G63" s="252" t="str">
        <f>IFERROR(VLOOKUP(F63,'Data (hidden)'!N:O,2,FALSE),"")</f>
        <v/>
      </c>
      <c r="H63" s="557"/>
      <c r="I63" s="558"/>
      <c r="J63" s="123">
        <f t="shared" si="4"/>
        <v>0</v>
      </c>
      <c r="K63" s="123" t="e">
        <f t="shared" si="5"/>
        <v>#VALUE!</v>
      </c>
      <c r="L63" s="123">
        <f t="shared" si="1"/>
        <v>0</v>
      </c>
      <c r="M63" s="124" t="str">
        <f t="shared" si="2"/>
        <v/>
      </c>
      <c r="N63" s="100" t="s">
        <v>423</v>
      </c>
      <c r="O63" s="100">
        <f t="shared" si="8"/>
        <v>0</v>
      </c>
      <c r="P63" s="101">
        <f t="shared" si="9"/>
        <v>0</v>
      </c>
      <c r="Q63" s="101">
        <f t="shared" si="10"/>
        <v>0</v>
      </c>
      <c r="R63" s="102">
        <f t="shared" si="11"/>
        <v>0</v>
      </c>
      <c r="S63" s="102">
        <f t="shared" si="12"/>
        <v>0</v>
      </c>
      <c r="T63" s="102">
        <f t="shared" si="13"/>
        <v>0</v>
      </c>
      <c r="U63" s="107"/>
      <c r="V63" s="108"/>
      <c r="W63" s="105"/>
      <c r="X63" s="109"/>
      <c r="Y63" s="110"/>
      <c r="Z63" s="106"/>
      <c r="AA63" s="106"/>
      <c r="AB63" s="111"/>
      <c r="AE63" s="187"/>
      <c r="AF63" s="185"/>
      <c r="AG63" s="185" t="str">
        <f t="shared" si="6"/>
        <v/>
      </c>
      <c r="AH63" s="186" t="str">
        <f t="shared" si="7"/>
        <v/>
      </c>
      <c r="AI63" s="185"/>
      <c r="AJ63" s="188"/>
    </row>
    <row r="64" spans="2:36" ht="30" customHeight="1" x14ac:dyDescent="0.3">
      <c r="B64" s="562"/>
      <c r="C64" s="563"/>
      <c r="D64" s="425"/>
      <c r="E64" s="250" t="str">
        <f t="shared" si="3"/>
        <v/>
      </c>
      <c r="F64" s="556"/>
      <c r="G64" s="252" t="str">
        <f>IFERROR(VLOOKUP(F64,'Data (hidden)'!N:O,2,FALSE),"")</f>
        <v/>
      </c>
      <c r="H64" s="557"/>
      <c r="I64" s="558"/>
      <c r="J64" s="123">
        <f t="shared" si="4"/>
        <v>0</v>
      </c>
      <c r="K64" s="123" t="e">
        <f t="shared" si="5"/>
        <v>#VALUE!</v>
      </c>
      <c r="L64" s="123">
        <f t="shared" si="1"/>
        <v>0</v>
      </c>
      <c r="M64" s="124" t="str">
        <f t="shared" si="2"/>
        <v/>
      </c>
      <c r="N64" s="100" t="s">
        <v>424</v>
      </c>
      <c r="O64" s="100">
        <f t="shared" si="8"/>
        <v>0</v>
      </c>
      <c r="P64" s="101">
        <f t="shared" si="9"/>
        <v>0</v>
      </c>
      <c r="Q64" s="101">
        <f t="shared" si="10"/>
        <v>0</v>
      </c>
      <c r="R64" s="102">
        <f t="shared" si="11"/>
        <v>0</v>
      </c>
      <c r="S64" s="102">
        <f t="shared" si="12"/>
        <v>0</v>
      </c>
      <c r="T64" s="102">
        <f t="shared" si="13"/>
        <v>0</v>
      </c>
      <c r="U64" s="107"/>
      <c r="V64" s="108"/>
      <c r="W64" s="105"/>
      <c r="X64" s="109"/>
      <c r="Y64" s="110"/>
      <c r="Z64" s="106"/>
      <c r="AA64" s="106"/>
      <c r="AB64" s="111"/>
      <c r="AE64" s="187"/>
      <c r="AF64" s="185"/>
      <c r="AG64" s="185" t="str">
        <f t="shared" si="6"/>
        <v/>
      </c>
      <c r="AH64" s="186" t="str">
        <f t="shared" si="7"/>
        <v/>
      </c>
      <c r="AI64" s="185"/>
      <c r="AJ64" s="188"/>
    </row>
    <row r="65" spans="2:36" ht="30" customHeight="1" x14ac:dyDescent="0.3">
      <c r="B65" s="562"/>
      <c r="C65" s="563"/>
      <c r="D65" s="425"/>
      <c r="E65" s="250" t="str">
        <f t="shared" si="3"/>
        <v/>
      </c>
      <c r="F65" s="556"/>
      <c r="G65" s="252" t="str">
        <f>IFERROR(VLOOKUP(F65,'Data (hidden)'!N:O,2,FALSE),"")</f>
        <v/>
      </c>
      <c r="H65" s="557"/>
      <c r="I65" s="558"/>
      <c r="J65" s="123">
        <f t="shared" si="4"/>
        <v>0</v>
      </c>
      <c r="K65" s="123" t="e">
        <f t="shared" si="5"/>
        <v>#VALUE!</v>
      </c>
      <c r="L65" s="123">
        <f t="shared" si="1"/>
        <v>0</v>
      </c>
      <c r="M65" s="124" t="str">
        <f t="shared" si="2"/>
        <v/>
      </c>
      <c r="N65" s="100" t="s">
        <v>425</v>
      </c>
      <c r="O65" s="100">
        <f t="shared" si="8"/>
        <v>0</v>
      </c>
      <c r="P65" s="101">
        <f t="shared" si="9"/>
        <v>0</v>
      </c>
      <c r="Q65" s="101">
        <f t="shared" si="10"/>
        <v>0</v>
      </c>
      <c r="R65" s="102">
        <f t="shared" si="11"/>
        <v>0</v>
      </c>
      <c r="S65" s="102">
        <f t="shared" si="12"/>
        <v>0</v>
      </c>
      <c r="T65" s="102">
        <f t="shared" si="13"/>
        <v>0</v>
      </c>
      <c r="U65" s="107"/>
      <c r="V65" s="108"/>
      <c r="W65" s="105"/>
      <c r="X65" s="109"/>
      <c r="Y65" s="110"/>
      <c r="Z65" s="106"/>
      <c r="AA65" s="106"/>
      <c r="AB65" s="111"/>
      <c r="AE65" s="187"/>
      <c r="AF65" s="185"/>
      <c r="AG65" s="185" t="str">
        <f t="shared" si="6"/>
        <v/>
      </c>
      <c r="AH65" s="186" t="str">
        <f t="shared" si="7"/>
        <v/>
      </c>
      <c r="AI65" s="185"/>
      <c r="AJ65" s="188"/>
    </row>
    <row r="66" spans="2:36" ht="30" customHeight="1" x14ac:dyDescent="0.3">
      <c r="B66" s="562"/>
      <c r="C66" s="563"/>
      <c r="D66" s="425"/>
      <c r="E66" s="250" t="str">
        <f t="shared" si="3"/>
        <v/>
      </c>
      <c r="F66" s="556"/>
      <c r="G66" s="252" t="str">
        <f>IFERROR(VLOOKUP(F66,'Data (hidden)'!N:O,2,FALSE),"")</f>
        <v/>
      </c>
      <c r="H66" s="557"/>
      <c r="I66" s="558"/>
      <c r="J66" s="123">
        <f t="shared" si="4"/>
        <v>0</v>
      </c>
      <c r="K66" s="123" t="e">
        <f t="shared" si="5"/>
        <v>#VALUE!</v>
      </c>
      <c r="L66" s="123">
        <f t="shared" si="1"/>
        <v>0</v>
      </c>
      <c r="M66" s="124" t="str">
        <f t="shared" si="2"/>
        <v/>
      </c>
      <c r="N66" s="100" t="s">
        <v>426</v>
      </c>
      <c r="O66" s="100">
        <f t="shared" si="8"/>
        <v>0</v>
      </c>
      <c r="P66" s="101">
        <f t="shared" si="9"/>
        <v>0</v>
      </c>
      <c r="Q66" s="101">
        <f t="shared" si="10"/>
        <v>0</v>
      </c>
      <c r="R66" s="102">
        <f t="shared" si="11"/>
        <v>0</v>
      </c>
      <c r="S66" s="102">
        <f t="shared" si="12"/>
        <v>0</v>
      </c>
      <c r="T66" s="102">
        <f t="shared" si="13"/>
        <v>0</v>
      </c>
      <c r="U66" s="107"/>
      <c r="V66" s="108"/>
      <c r="W66" s="105"/>
      <c r="X66" s="109"/>
      <c r="Y66" s="110"/>
      <c r="Z66" s="106"/>
      <c r="AA66" s="106"/>
      <c r="AB66" s="111"/>
      <c r="AE66" s="187"/>
      <c r="AF66" s="185"/>
      <c r="AG66" s="185" t="str">
        <f t="shared" si="6"/>
        <v/>
      </c>
      <c r="AH66" s="186" t="str">
        <f t="shared" si="7"/>
        <v/>
      </c>
      <c r="AI66" s="185"/>
      <c r="AJ66" s="188"/>
    </row>
    <row r="67" spans="2:36" ht="30" customHeight="1" x14ac:dyDescent="0.3">
      <c r="B67" s="562"/>
      <c r="C67" s="563"/>
      <c r="D67" s="425"/>
      <c r="E67" s="250" t="str">
        <f t="shared" si="3"/>
        <v/>
      </c>
      <c r="F67" s="556"/>
      <c r="G67" s="252" t="str">
        <f>IFERROR(VLOOKUP(F67,'Data (hidden)'!N:O,2,FALSE),"")</f>
        <v/>
      </c>
      <c r="H67" s="557"/>
      <c r="I67" s="558"/>
      <c r="J67" s="123">
        <f t="shared" si="4"/>
        <v>0</v>
      </c>
      <c r="K67" s="123" t="e">
        <f t="shared" si="5"/>
        <v>#VALUE!</v>
      </c>
      <c r="L67" s="123">
        <f t="shared" si="1"/>
        <v>0</v>
      </c>
      <c r="M67" s="124" t="str">
        <f t="shared" si="2"/>
        <v/>
      </c>
      <c r="N67" s="100" t="s">
        <v>427</v>
      </c>
      <c r="O67" s="100">
        <f t="shared" si="8"/>
        <v>0</v>
      </c>
      <c r="P67" s="101">
        <f t="shared" si="9"/>
        <v>0</v>
      </c>
      <c r="Q67" s="101">
        <f t="shared" si="10"/>
        <v>0</v>
      </c>
      <c r="R67" s="102">
        <f t="shared" si="11"/>
        <v>0</v>
      </c>
      <c r="S67" s="102">
        <f t="shared" si="12"/>
        <v>0</v>
      </c>
      <c r="T67" s="102">
        <f t="shared" si="13"/>
        <v>0</v>
      </c>
      <c r="U67" s="107"/>
      <c r="V67" s="108"/>
      <c r="W67" s="105"/>
      <c r="X67" s="109"/>
      <c r="Y67" s="110"/>
      <c r="Z67" s="106"/>
      <c r="AA67" s="106"/>
      <c r="AB67" s="111"/>
      <c r="AE67" s="187"/>
      <c r="AF67" s="185"/>
      <c r="AG67" s="185" t="str">
        <f t="shared" si="6"/>
        <v/>
      </c>
      <c r="AH67" s="186" t="str">
        <f t="shared" si="7"/>
        <v/>
      </c>
      <c r="AI67" s="185"/>
      <c r="AJ67" s="188"/>
    </row>
    <row r="68" spans="2:36" ht="30" customHeight="1" x14ac:dyDescent="0.3">
      <c r="B68" s="562"/>
      <c r="C68" s="563"/>
      <c r="D68" s="425"/>
      <c r="E68" s="250" t="str">
        <f t="shared" si="3"/>
        <v/>
      </c>
      <c r="F68" s="556"/>
      <c r="G68" s="252" t="str">
        <f>IFERROR(VLOOKUP(F68,'Data (hidden)'!N:O,2,FALSE),"")</f>
        <v/>
      </c>
      <c r="H68" s="557"/>
      <c r="I68" s="558"/>
      <c r="J68" s="123">
        <f t="shared" si="4"/>
        <v>0</v>
      </c>
      <c r="K68" s="123" t="e">
        <f t="shared" si="5"/>
        <v>#VALUE!</v>
      </c>
      <c r="L68" s="123">
        <f t="shared" si="1"/>
        <v>0</v>
      </c>
      <c r="M68" s="124" t="str">
        <f t="shared" si="2"/>
        <v/>
      </c>
      <c r="N68" s="100" t="s">
        <v>428</v>
      </c>
      <c r="O68" s="100">
        <f t="shared" si="8"/>
        <v>0</v>
      </c>
      <c r="P68" s="101">
        <f t="shared" si="9"/>
        <v>0</v>
      </c>
      <c r="Q68" s="101">
        <f t="shared" si="10"/>
        <v>0</v>
      </c>
      <c r="R68" s="102">
        <f t="shared" si="11"/>
        <v>0</v>
      </c>
      <c r="S68" s="102">
        <f t="shared" si="12"/>
        <v>0</v>
      </c>
      <c r="T68" s="102">
        <f t="shared" si="13"/>
        <v>0</v>
      </c>
      <c r="U68" s="107"/>
      <c r="V68" s="108"/>
      <c r="W68" s="105"/>
      <c r="X68" s="109"/>
      <c r="Y68" s="110"/>
      <c r="Z68" s="106"/>
      <c r="AA68" s="106"/>
      <c r="AB68" s="111"/>
      <c r="AE68" s="187"/>
      <c r="AF68" s="185"/>
      <c r="AG68" s="185" t="str">
        <f t="shared" si="6"/>
        <v/>
      </c>
      <c r="AH68" s="186" t="str">
        <f t="shared" si="7"/>
        <v/>
      </c>
      <c r="AI68" s="185"/>
      <c r="AJ68" s="188"/>
    </row>
    <row r="69" spans="2:36" ht="30" customHeight="1" x14ac:dyDescent="0.3">
      <c r="B69" s="562"/>
      <c r="C69" s="563"/>
      <c r="D69" s="425"/>
      <c r="E69" s="250" t="str">
        <f t="shared" si="3"/>
        <v/>
      </c>
      <c r="F69" s="556"/>
      <c r="G69" s="252" t="str">
        <f>IFERROR(VLOOKUP(F69,'Data (hidden)'!N:O,2,FALSE),"")</f>
        <v/>
      </c>
      <c r="H69" s="557"/>
      <c r="I69" s="558"/>
      <c r="J69" s="123">
        <f t="shared" si="4"/>
        <v>0</v>
      </c>
      <c r="K69" s="123" t="e">
        <f t="shared" si="5"/>
        <v>#VALUE!</v>
      </c>
      <c r="L69" s="123">
        <f t="shared" si="1"/>
        <v>0</v>
      </c>
      <c r="M69" s="124" t="str">
        <f t="shared" si="2"/>
        <v/>
      </c>
      <c r="N69" s="100" t="s">
        <v>429</v>
      </c>
      <c r="O69" s="100">
        <f t="shared" si="8"/>
        <v>0</v>
      </c>
      <c r="P69" s="101">
        <f t="shared" si="9"/>
        <v>0</v>
      </c>
      <c r="Q69" s="101">
        <f t="shared" si="10"/>
        <v>0</v>
      </c>
      <c r="R69" s="102">
        <f t="shared" si="11"/>
        <v>0</v>
      </c>
      <c r="S69" s="102">
        <f t="shared" si="12"/>
        <v>0</v>
      </c>
      <c r="T69" s="102">
        <f t="shared" si="13"/>
        <v>0</v>
      </c>
      <c r="U69" s="107"/>
      <c r="V69" s="108"/>
      <c r="W69" s="105"/>
      <c r="X69" s="109"/>
      <c r="Y69" s="110"/>
      <c r="Z69" s="106"/>
      <c r="AA69" s="106"/>
      <c r="AB69" s="111"/>
      <c r="AE69" s="187"/>
      <c r="AF69" s="185"/>
      <c r="AG69" s="185" t="str">
        <f t="shared" si="6"/>
        <v/>
      </c>
      <c r="AH69" s="186" t="str">
        <f t="shared" si="7"/>
        <v/>
      </c>
      <c r="AI69" s="185"/>
      <c r="AJ69" s="188"/>
    </row>
    <row r="70" spans="2:36" ht="30" customHeight="1" x14ac:dyDescent="0.3">
      <c r="B70" s="562"/>
      <c r="C70" s="563"/>
      <c r="D70" s="425"/>
      <c r="E70" s="250" t="str">
        <f t="shared" si="3"/>
        <v/>
      </c>
      <c r="F70" s="556"/>
      <c r="G70" s="252" t="str">
        <f>IFERROR(VLOOKUP(F70,'Data (hidden)'!N:O,2,FALSE),"")</f>
        <v/>
      </c>
      <c r="H70" s="557"/>
      <c r="I70" s="558"/>
      <c r="J70" s="123">
        <f t="shared" si="4"/>
        <v>0</v>
      </c>
      <c r="K70" s="123" t="e">
        <f t="shared" si="5"/>
        <v>#VALUE!</v>
      </c>
      <c r="L70" s="123">
        <f t="shared" si="1"/>
        <v>0</v>
      </c>
      <c r="M70" s="124" t="str">
        <f t="shared" si="2"/>
        <v/>
      </c>
      <c r="N70" s="100" t="s">
        <v>430</v>
      </c>
      <c r="O70" s="100">
        <f t="shared" si="8"/>
        <v>0</v>
      </c>
      <c r="P70" s="101">
        <f t="shared" si="9"/>
        <v>0</v>
      </c>
      <c r="Q70" s="101">
        <f t="shared" si="10"/>
        <v>0</v>
      </c>
      <c r="R70" s="102">
        <f t="shared" si="11"/>
        <v>0</v>
      </c>
      <c r="S70" s="102">
        <f t="shared" si="12"/>
        <v>0</v>
      </c>
      <c r="T70" s="102">
        <f t="shared" si="13"/>
        <v>0</v>
      </c>
      <c r="U70" s="107"/>
      <c r="V70" s="108"/>
      <c r="W70" s="105"/>
      <c r="X70" s="109"/>
      <c r="Y70" s="110"/>
      <c r="Z70" s="106"/>
      <c r="AA70" s="106"/>
      <c r="AB70" s="111"/>
      <c r="AE70" s="187"/>
      <c r="AF70" s="185"/>
      <c r="AG70" s="185" t="str">
        <f t="shared" si="6"/>
        <v/>
      </c>
      <c r="AH70" s="186" t="str">
        <f t="shared" si="7"/>
        <v/>
      </c>
      <c r="AI70" s="185"/>
      <c r="AJ70" s="188"/>
    </row>
    <row r="71" spans="2:36" ht="30" customHeight="1" x14ac:dyDescent="0.3">
      <c r="B71" s="562"/>
      <c r="C71" s="563"/>
      <c r="D71" s="425"/>
      <c r="E71" s="250" t="str">
        <f t="shared" si="3"/>
        <v/>
      </c>
      <c r="F71" s="556"/>
      <c r="G71" s="252" t="str">
        <f>IFERROR(VLOOKUP(F71,'Data (hidden)'!N:O,2,FALSE),"")</f>
        <v/>
      </c>
      <c r="H71" s="557"/>
      <c r="I71" s="558"/>
      <c r="J71" s="123">
        <f t="shared" si="4"/>
        <v>0</v>
      </c>
      <c r="K71" s="123" t="e">
        <f t="shared" si="5"/>
        <v>#VALUE!</v>
      </c>
      <c r="L71" s="123">
        <f t="shared" si="1"/>
        <v>0</v>
      </c>
      <c r="M71" s="124" t="str">
        <f t="shared" si="2"/>
        <v/>
      </c>
      <c r="N71" s="100" t="s">
        <v>431</v>
      </c>
      <c r="O71" s="100">
        <f t="shared" si="8"/>
        <v>0</v>
      </c>
      <c r="P71" s="101">
        <f t="shared" si="9"/>
        <v>0</v>
      </c>
      <c r="Q71" s="101">
        <f t="shared" si="10"/>
        <v>0</v>
      </c>
      <c r="R71" s="102">
        <f t="shared" si="11"/>
        <v>0</v>
      </c>
      <c r="S71" s="102">
        <f t="shared" si="12"/>
        <v>0</v>
      </c>
      <c r="T71" s="102">
        <f t="shared" si="13"/>
        <v>0</v>
      </c>
      <c r="U71" s="107"/>
      <c r="V71" s="108"/>
      <c r="W71" s="105"/>
      <c r="X71" s="109"/>
      <c r="Y71" s="110"/>
      <c r="Z71" s="106"/>
      <c r="AA71" s="106"/>
      <c r="AB71" s="111"/>
      <c r="AE71" s="187"/>
      <c r="AF71" s="185"/>
      <c r="AG71" s="185" t="str">
        <f t="shared" si="6"/>
        <v/>
      </c>
      <c r="AH71" s="186" t="str">
        <f t="shared" si="7"/>
        <v/>
      </c>
      <c r="AI71" s="185"/>
      <c r="AJ71" s="188"/>
    </row>
    <row r="72" spans="2:36" ht="30" customHeight="1" x14ac:dyDescent="0.3">
      <c r="B72" s="562"/>
      <c r="C72" s="563"/>
      <c r="D72" s="425"/>
      <c r="E72" s="250" t="str">
        <f t="shared" si="3"/>
        <v/>
      </c>
      <c r="F72" s="556"/>
      <c r="G72" s="252" t="str">
        <f>IFERROR(VLOOKUP(F72,'Data (hidden)'!N:O,2,FALSE),"")</f>
        <v/>
      </c>
      <c r="H72" s="557"/>
      <c r="I72" s="558"/>
      <c r="J72" s="123">
        <f t="shared" si="4"/>
        <v>0</v>
      </c>
      <c r="K72" s="123" t="e">
        <f t="shared" si="5"/>
        <v>#VALUE!</v>
      </c>
      <c r="L72" s="123">
        <f t="shared" si="1"/>
        <v>0</v>
      </c>
      <c r="M72" s="124" t="str">
        <f t="shared" si="2"/>
        <v/>
      </c>
      <c r="N72" s="100" t="s">
        <v>432</v>
      </c>
      <c r="O72" s="100">
        <f t="shared" si="8"/>
        <v>0</v>
      </c>
      <c r="P72" s="101">
        <f t="shared" si="9"/>
        <v>0</v>
      </c>
      <c r="Q72" s="101">
        <f t="shared" si="10"/>
        <v>0</v>
      </c>
      <c r="R72" s="102">
        <f t="shared" si="11"/>
        <v>0</v>
      </c>
      <c r="S72" s="102">
        <f t="shared" si="12"/>
        <v>0</v>
      </c>
      <c r="T72" s="102">
        <f t="shared" si="13"/>
        <v>0</v>
      </c>
      <c r="U72" s="107"/>
      <c r="V72" s="108"/>
      <c r="W72" s="105"/>
      <c r="X72" s="109"/>
      <c r="Y72" s="110"/>
      <c r="Z72" s="106"/>
      <c r="AA72" s="106"/>
      <c r="AB72" s="111"/>
      <c r="AE72" s="187"/>
      <c r="AF72" s="185"/>
      <c r="AG72" s="185" t="str">
        <f t="shared" si="6"/>
        <v/>
      </c>
      <c r="AH72" s="186" t="str">
        <f t="shared" si="7"/>
        <v/>
      </c>
      <c r="AI72" s="185"/>
      <c r="AJ72" s="188"/>
    </row>
    <row r="73" spans="2:36" ht="30" customHeight="1" x14ac:dyDescent="0.3">
      <c r="B73" s="562"/>
      <c r="C73" s="563"/>
      <c r="D73" s="425"/>
      <c r="E73" s="250" t="str">
        <f t="shared" si="3"/>
        <v/>
      </c>
      <c r="F73" s="556"/>
      <c r="G73" s="252" t="str">
        <f>IFERROR(VLOOKUP(F73,'Data (hidden)'!N:O,2,FALSE),"")</f>
        <v/>
      </c>
      <c r="H73" s="557"/>
      <c r="I73" s="558"/>
      <c r="J73" s="123">
        <f t="shared" si="4"/>
        <v>0</v>
      </c>
      <c r="K73" s="123" t="e">
        <f t="shared" si="5"/>
        <v>#VALUE!</v>
      </c>
      <c r="L73" s="123">
        <f t="shared" si="1"/>
        <v>0</v>
      </c>
      <c r="M73" s="124" t="str">
        <f t="shared" si="2"/>
        <v/>
      </c>
      <c r="N73" s="100" t="s">
        <v>433</v>
      </c>
      <c r="O73" s="100">
        <f t="shared" si="8"/>
        <v>0</v>
      </c>
      <c r="P73" s="101">
        <f t="shared" si="9"/>
        <v>0</v>
      </c>
      <c r="Q73" s="101">
        <f t="shared" si="10"/>
        <v>0</v>
      </c>
      <c r="R73" s="102">
        <f t="shared" si="11"/>
        <v>0</v>
      </c>
      <c r="S73" s="102">
        <f t="shared" si="12"/>
        <v>0</v>
      </c>
      <c r="T73" s="102">
        <f t="shared" si="13"/>
        <v>0</v>
      </c>
      <c r="U73" s="107"/>
      <c r="V73" s="108"/>
      <c r="W73" s="105"/>
      <c r="X73" s="109"/>
      <c r="Y73" s="110"/>
      <c r="Z73" s="106"/>
      <c r="AA73" s="106"/>
      <c r="AB73" s="111"/>
      <c r="AE73" s="187"/>
      <c r="AF73" s="185"/>
      <c r="AG73" s="185" t="str">
        <f t="shared" si="6"/>
        <v/>
      </c>
      <c r="AH73" s="186" t="str">
        <f t="shared" si="7"/>
        <v/>
      </c>
      <c r="AI73" s="185"/>
      <c r="AJ73" s="188"/>
    </row>
    <row r="74" spans="2:36" ht="30" customHeight="1" x14ac:dyDescent="0.3">
      <c r="B74" s="562"/>
      <c r="C74" s="563"/>
      <c r="D74" s="425"/>
      <c r="E74" s="250" t="str">
        <f t="shared" si="3"/>
        <v/>
      </c>
      <c r="F74" s="556"/>
      <c r="G74" s="252" t="str">
        <f>IFERROR(VLOOKUP(F74,'Data (hidden)'!N:O,2,FALSE),"")</f>
        <v/>
      </c>
      <c r="H74" s="557"/>
      <c r="I74" s="558"/>
      <c r="J74" s="123">
        <f t="shared" si="4"/>
        <v>0</v>
      </c>
      <c r="K74" s="123" t="e">
        <f t="shared" si="5"/>
        <v>#VALUE!</v>
      </c>
      <c r="L74" s="123">
        <f t="shared" si="1"/>
        <v>0</v>
      </c>
      <c r="M74" s="124" t="str">
        <f t="shared" si="2"/>
        <v/>
      </c>
      <c r="N74" s="100" t="s">
        <v>434</v>
      </c>
      <c r="O74" s="100">
        <f t="shared" si="8"/>
        <v>0</v>
      </c>
      <c r="P74" s="101">
        <f t="shared" si="9"/>
        <v>0</v>
      </c>
      <c r="Q74" s="101">
        <f t="shared" si="10"/>
        <v>0</v>
      </c>
      <c r="R74" s="102">
        <f t="shared" si="11"/>
        <v>0</v>
      </c>
      <c r="S74" s="102">
        <f t="shared" si="12"/>
        <v>0</v>
      </c>
      <c r="T74" s="102">
        <f t="shared" si="13"/>
        <v>0</v>
      </c>
      <c r="U74" s="107"/>
      <c r="V74" s="108"/>
      <c r="W74" s="105"/>
      <c r="X74" s="109"/>
      <c r="Y74" s="110"/>
      <c r="Z74" s="106"/>
      <c r="AA74" s="106"/>
      <c r="AB74" s="111"/>
      <c r="AE74" s="187"/>
      <c r="AF74" s="185"/>
      <c r="AG74" s="185" t="str">
        <f t="shared" si="6"/>
        <v/>
      </c>
      <c r="AH74" s="186" t="str">
        <f t="shared" si="7"/>
        <v/>
      </c>
      <c r="AI74" s="185"/>
      <c r="AJ74" s="188"/>
    </row>
    <row r="75" spans="2:36" ht="30" customHeight="1" x14ac:dyDescent="0.3">
      <c r="B75" s="562"/>
      <c r="C75" s="563"/>
      <c r="D75" s="425"/>
      <c r="E75" s="250" t="str">
        <f t="shared" si="3"/>
        <v/>
      </c>
      <c r="F75" s="556"/>
      <c r="G75" s="252" t="str">
        <f>IFERROR(VLOOKUP(F75,'Data (hidden)'!N:O,2,FALSE),"")</f>
        <v/>
      </c>
      <c r="H75" s="557"/>
      <c r="I75" s="558"/>
      <c r="J75" s="123">
        <f t="shared" si="4"/>
        <v>0</v>
      </c>
      <c r="K75" s="123" t="e">
        <f t="shared" si="5"/>
        <v>#VALUE!</v>
      </c>
      <c r="L75" s="123">
        <f t="shared" si="1"/>
        <v>0</v>
      </c>
      <c r="M75" s="124" t="str">
        <f t="shared" si="2"/>
        <v/>
      </c>
      <c r="N75" s="100" t="s">
        <v>435</v>
      </c>
      <c r="O75" s="100">
        <f t="shared" si="8"/>
        <v>0</v>
      </c>
      <c r="P75" s="101">
        <f t="shared" si="9"/>
        <v>0</v>
      </c>
      <c r="Q75" s="101">
        <f t="shared" si="10"/>
        <v>0</v>
      </c>
      <c r="R75" s="102">
        <f t="shared" si="11"/>
        <v>0</v>
      </c>
      <c r="S75" s="102">
        <f t="shared" si="12"/>
        <v>0</v>
      </c>
      <c r="T75" s="102">
        <f t="shared" si="13"/>
        <v>0</v>
      </c>
      <c r="U75" s="107"/>
      <c r="V75" s="108"/>
      <c r="W75" s="105"/>
      <c r="X75" s="109"/>
      <c r="Y75" s="110"/>
      <c r="Z75" s="106"/>
      <c r="AA75" s="106"/>
      <c r="AB75" s="111"/>
      <c r="AE75" s="187"/>
      <c r="AF75" s="185"/>
      <c r="AG75" s="185" t="str">
        <f t="shared" si="6"/>
        <v/>
      </c>
      <c r="AH75" s="186" t="str">
        <f t="shared" si="7"/>
        <v/>
      </c>
      <c r="AI75" s="185"/>
      <c r="AJ75" s="188"/>
    </row>
    <row r="76" spans="2:36" ht="30" customHeight="1" x14ac:dyDescent="0.3">
      <c r="B76" s="562"/>
      <c r="C76" s="563"/>
      <c r="D76" s="425"/>
      <c r="E76" s="250" t="str">
        <f t="shared" si="3"/>
        <v/>
      </c>
      <c r="F76" s="556"/>
      <c r="G76" s="252" t="str">
        <f>IFERROR(VLOOKUP(F76,'Data (hidden)'!N:O,2,FALSE),"")</f>
        <v/>
      </c>
      <c r="H76" s="557"/>
      <c r="I76" s="558"/>
      <c r="J76" s="123">
        <f t="shared" si="4"/>
        <v>0</v>
      </c>
      <c r="K76" s="123" t="e">
        <f t="shared" si="5"/>
        <v>#VALUE!</v>
      </c>
      <c r="L76" s="123">
        <f t="shared" si="1"/>
        <v>0</v>
      </c>
      <c r="M76" s="124" t="str">
        <f t="shared" si="2"/>
        <v/>
      </c>
      <c r="N76" s="100" t="s">
        <v>436</v>
      </c>
      <c r="O76" s="100">
        <f t="shared" si="8"/>
        <v>0</v>
      </c>
      <c r="P76" s="101">
        <f t="shared" si="9"/>
        <v>0</v>
      </c>
      <c r="Q76" s="101">
        <f t="shared" si="10"/>
        <v>0</v>
      </c>
      <c r="R76" s="102">
        <f t="shared" si="11"/>
        <v>0</v>
      </c>
      <c r="S76" s="102">
        <f t="shared" si="12"/>
        <v>0</v>
      </c>
      <c r="T76" s="102">
        <f t="shared" si="13"/>
        <v>0</v>
      </c>
      <c r="U76" s="107"/>
      <c r="V76" s="108"/>
      <c r="W76" s="105"/>
      <c r="X76" s="109"/>
      <c r="Y76" s="110"/>
      <c r="Z76" s="106"/>
      <c r="AA76" s="106"/>
      <c r="AB76" s="111"/>
      <c r="AE76" s="187"/>
      <c r="AF76" s="185"/>
      <c r="AG76" s="185" t="str">
        <f t="shared" si="6"/>
        <v/>
      </c>
      <c r="AH76" s="186" t="str">
        <f t="shared" si="7"/>
        <v/>
      </c>
      <c r="AI76" s="185"/>
      <c r="AJ76" s="188"/>
    </row>
    <row r="77" spans="2:36" ht="30" customHeight="1" x14ac:dyDescent="0.3">
      <c r="B77" s="562"/>
      <c r="C77" s="563"/>
      <c r="D77" s="425"/>
      <c r="E77" s="250" t="str">
        <f t="shared" si="3"/>
        <v/>
      </c>
      <c r="F77" s="556"/>
      <c r="G77" s="252" t="str">
        <f>IFERROR(VLOOKUP(F77,'Data (hidden)'!N:O,2,FALSE),"")</f>
        <v/>
      </c>
      <c r="H77" s="557"/>
      <c r="I77" s="558"/>
      <c r="J77" s="123">
        <f t="shared" si="4"/>
        <v>0</v>
      </c>
      <c r="K77" s="123" t="e">
        <f t="shared" si="5"/>
        <v>#VALUE!</v>
      </c>
      <c r="L77" s="123">
        <f t="shared" si="1"/>
        <v>0</v>
      </c>
      <c r="M77" s="124" t="str">
        <f t="shared" si="2"/>
        <v/>
      </c>
      <c r="N77" s="100" t="s">
        <v>437</v>
      </c>
      <c r="O77" s="100">
        <f t="shared" si="8"/>
        <v>0</v>
      </c>
      <c r="P77" s="101">
        <f t="shared" si="9"/>
        <v>0</v>
      </c>
      <c r="Q77" s="101">
        <f t="shared" si="10"/>
        <v>0</v>
      </c>
      <c r="R77" s="102">
        <f t="shared" si="11"/>
        <v>0</v>
      </c>
      <c r="S77" s="102">
        <f t="shared" si="12"/>
        <v>0</v>
      </c>
      <c r="T77" s="102">
        <f t="shared" si="13"/>
        <v>0</v>
      </c>
      <c r="U77" s="107"/>
      <c r="V77" s="108"/>
      <c r="W77" s="105"/>
      <c r="X77" s="109"/>
      <c r="Y77" s="110"/>
      <c r="Z77" s="106"/>
      <c r="AA77" s="106"/>
      <c r="AB77" s="111"/>
      <c r="AE77" s="187"/>
      <c r="AF77" s="185"/>
      <c r="AG77" s="185" t="str">
        <f t="shared" si="6"/>
        <v/>
      </c>
      <c r="AH77" s="186" t="str">
        <f t="shared" si="7"/>
        <v/>
      </c>
      <c r="AI77" s="185"/>
      <c r="AJ77" s="188"/>
    </row>
    <row r="78" spans="2:36" ht="30" customHeight="1" x14ac:dyDescent="0.3">
      <c r="B78" s="562"/>
      <c r="C78" s="563"/>
      <c r="D78" s="425"/>
      <c r="E78" s="250" t="str">
        <f t="shared" si="3"/>
        <v/>
      </c>
      <c r="F78" s="556"/>
      <c r="G78" s="252" t="str">
        <f>IFERROR(VLOOKUP(F78,'Data (hidden)'!N:O,2,FALSE),"")</f>
        <v/>
      </c>
      <c r="H78" s="557"/>
      <c r="I78" s="558"/>
      <c r="J78" s="123">
        <f t="shared" si="4"/>
        <v>0</v>
      </c>
      <c r="K78" s="123" t="e">
        <f t="shared" si="5"/>
        <v>#VALUE!</v>
      </c>
      <c r="L78" s="123">
        <f t="shared" si="1"/>
        <v>0</v>
      </c>
      <c r="M78" s="124" t="str">
        <f t="shared" si="2"/>
        <v/>
      </c>
      <c r="N78" s="100" t="s">
        <v>438</v>
      </c>
      <c r="O78" s="100">
        <f t="shared" si="8"/>
        <v>0</v>
      </c>
      <c r="P78" s="101">
        <f t="shared" si="9"/>
        <v>0</v>
      </c>
      <c r="Q78" s="101">
        <f t="shared" si="10"/>
        <v>0</v>
      </c>
      <c r="R78" s="102">
        <f t="shared" si="11"/>
        <v>0</v>
      </c>
      <c r="S78" s="102">
        <f t="shared" si="12"/>
        <v>0</v>
      </c>
      <c r="T78" s="102">
        <f t="shared" si="13"/>
        <v>0</v>
      </c>
      <c r="U78" s="107"/>
      <c r="V78" s="108"/>
      <c r="W78" s="105"/>
      <c r="X78" s="109"/>
      <c r="Y78" s="110"/>
      <c r="Z78" s="106"/>
      <c r="AA78" s="106"/>
      <c r="AB78" s="111"/>
      <c r="AE78" s="187"/>
      <c r="AF78" s="185"/>
      <c r="AG78" s="185" t="str">
        <f t="shared" si="6"/>
        <v/>
      </c>
      <c r="AH78" s="186" t="str">
        <f t="shared" si="7"/>
        <v/>
      </c>
      <c r="AI78" s="185"/>
      <c r="AJ78" s="188"/>
    </row>
    <row r="79" spans="2:36" ht="30" customHeight="1" x14ac:dyDescent="0.3">
      <c r="B79" s="562"/>
      <c r="C79" s="563"/>
      <c r="D79" s="425"/>
      <c r="E79" s="250" t="str">
        <f t="shared" si="3"/>
        <v/>
      </c>
      <c r="F79" s="556"/>
      <c r="G79" s="252" t="str">
        <f>IFERROR(VLOOKUP(F79,'Data (hidden)'!N:O,2,FALSE),"")</f>
        <v/>
      </c>
      <c r="H79" s="557"/>
      <c r="I79" s="558"/>
      <c r="J79" s="123">
        <f t="shared" si="4"/>
        <v>0</v>
      </c>
      <c r="K79" s="123" t="e">
        <f t="shared" si="5"/>
        <v>#VALUE!</v>
      </c>
      <c r="L79" s="123">
        <f t="shared" si="1"/>
        <v>0</v>
      </c>
      <c r="M79" s="124" t="str">
        <f t="shared" si="2"/>
        <v/>
      </c>
      <c r="N79" s="100" t="s">
        <v>439</v>
      </c>
      <c r="O79" s="100">
        <f t="shared" si="8"/>
        <v>0</v>
      </c>
      <c r="P79" s="101">
        <f t="shared" si="9"/>
        <v>0</v>
      </c>
      <c r="Q79" s="101">
        <f t="shared" si="10"/>
        <v>0</v>
      </c>
      <c r="R79" s="102">
        <f t="shared" si="11"/>
        <v>0</v>
      </c>
      <c r="S79" s="102">
        <f t="shared" si="12"/>
        <v>0</v>
      </c>
      <c r="T79" s="102">
        <f t="shared" si="13"/>
        <v>0</v>
      </c>
      <c r="U79" s="107"/>
      <c r="V79" s="108"/>
      <c r="W79" s="105"/>
      <c r="X79" s="109"/>
      <c r="Y79" s="110"/>
      <c r="Z79" s="106"/>
      <c r="AA79" s="106"/>
      <c r="AB79" s="111"/>
      <c r="AE79" s="187"/>
      <c r="AF79" s="185"/>
      <c r="AG79" s="185" t="str">
        <f t="shared" si="6"/>
        <v/>
      </c>
      <c r="AH79" s="186" t="str">
        <f t="shared" si="7"/>
        <v/>
      </c>
      <c r="AI79" s="185"/>
      <c r="AJ79" s="188"/>
    </row>
    <row r="80" spans="2:36" ht="30" customHeight="1" x14ac:dyDescent="0.3">
      <c r="B80" s="562"/>
      <c r="C80" s="563"/>
      <c r="D80" s="425"/>
      <c r="E80" s="250" t="str">
        <f t="shared" si="3"/>
        <v/>
      </c>
      <c r="F80" s="556"/>
      <c r="G80" s="252" t="str">
        <f>IFERROR(VLOOKUP(F80,'Data (hidden)'!N:O,2,FALSE),"")</f>
        <v/>
      </c>
      <c r="H80" s="557"/>
      <c r="I80" s="558"/>
      <c r="J80" s="123">
        <f t="shared" si="4"/>
        <v>0</v>
      </c>
      <c r="K80" s="123" t="e">
        <f t="shared" si="5"/>
        <v>#VALUE!</v>
      </c>
      <c r="L80" s="123">
        <f t="shared" si="1"/>
        <v>0</v>
      </c>
      <c r="M80" s="124" t="str">
        <f t="shared" si="2"/>
        <v/>
      </c>
      <c r="N80" s="100" t="s">
        <v>440</v>
      </c>
      <c r="O80" s="100">
        <f t="shared" si="8"/>
        <v>0</v>
      </c>
      <c r="P80" s="101">
        <f t="shared" si="9"/>
        <v>0</v>
      </c>
      <c r="Q80" s="101">
        <f t="shared" si="10"/>
        <v>0</v>
      </c>
      <c r="R80" s="102">
        <f t="shared" si="11"/>
        <v>0</v>
      </c>
      <c r="S80" s="102">
        <f t="shared" si="12"/>
        <v>0</v>
      </c>
      <c r="T80" s="102">
        <f t="shared" si="13"/>
        <v>0</v>
      </c>
      <c r="U80" s="107"/>
      <c r="V80" s="108"/>
      <c r="W80" s="105"/>
      <c r="X80" s="109"/>
      <c r="Y80" s="110"/>
      <c r="Z80" s="106"/>
      <c r="AA80" s="106"/>
      <c r="AB80" s="111"/>
      <c r="AE80" s="187"/>
      <c r="AF80" s="185"/>
      <c r="AG80" s="185" t="str">
        <f t="shared" si="6"/>
        <v/>
      </c>
      <c r="AH80" s="186" t="str">
        <f t="shared" si="7"/>
        <v/>
      </c>
      <c r="AI80" s="185"/>
      <c r="AJ80" s="188"/>
    </row>
    <row r="81" spans="2:36" ht="30" customHeight="1" x14ac:dyDescent="0.3">
      <c r="B81" s="562"/>
      <c r="C81" s="563"/>
      <c r="D81" s="425"/>
      <c r="E81" s="250" t="str">
        <f t="shared" si="3"/>
        <v/>
      </c>
      <c r="F81" s="556"/>
      <c r="G81" s="252" t="str">
        <f>IFERROR(VLOOKUP(F81,'Data (hidden)'!N:O,2,FALSE),"")</f>
        <v/>
      </c>
      <c r="H81" s="557"/>
      <c r="I81" s="558"/>
      <c r="J81" s="123">
        <f t="shared" si="4"/>
        <v>0</v>
      </c>
      <c r="K81" s="123" t="e">
        <f t="shared" si="5"/>
        <v>#VALUE!</v>
      </c>
      <c r="L81" s="123">
        <f t="shared" si="1"/>
        <v>0</v>
      </c>
      <c r="M81" s="124" t="str">
        <f t="shared" si="2"/>
        <v/>
      </c>
      <c r="N81" s="100" t="s">
        <v>441</v>
      </c>
      <c r="O81" s="100">
        <f t="shared" si="8"/>
        <v>0</v>
      </c>
      <c r="P81" s="101">
        <f t="shared" si="9"/>
        <v>0</v>
      </c>
      <c r="Q81" s="101">
        <f t="shared" si="10"/>
        <v>0</v>
      </c>
      <c r="R81" s="102">
        <f t="shared" si="11"/>
        <v>0</v>
      </c>
      <c r="S81" s="102">
        <f t="shared" si="12"/>
        <v>0</v>
      </c>
      <c r="T81" s="102">
        <f t="shared" si="13"/>
        <v>0</v>
      </c>
      <c r="U81" s="107"/>
      <c r="V81" s="108"/>
      <c r="W81" s="105"/>
      <c r="X81" s="109"/>
      <c r="Y81" s="110"/>
      <c r="Z81" s="106"/>
      <c r="AA81" s="106"/>
      <c r="AB81" s="111"/>
      <c r="AE81" s="187"/>
      <c r="AF81" s="185"/>
      <c r="AG81" s="185" t="str">
        <f t="shared" si="6"/>
        <v/>
      </c>
      <c r="AH81" s="186" t="str">
        <f t="shared" si="7"/>
        <v/>
      </c>
      <c r="AI81" s="185"/>
      <c r="AJ81" s="188"/>
    </row>
    <row r="82" spans="2:36" ht="30" customHeight="1" x14ac:dyDescent="0.3">
      <c r="B82" s="562"/>
      <c r="C82" s="563"/>
      <c r="D82" s="425"/>
      <c r="E82" s="250" t="str">
        <f t="shared" si="3"/>
        <v/>
      </c>
      <c r="F82" s="556"/>
      <c r="G82" s="252" t="str">
        <f>IFERROR(VLOOKUP(F82,'Data (hidden)'!N:O,2,FALSE),"")</f>
        <v/>
      </c>
      <c r="H82" s="557"/>
      <c r="I82" s="558"/>
      <c r="J82" s="123">
        <f t="shared" si="4"/>
        <v>0</v>
      </c>
      <c r="K82" s="123" t="e">
        <f t="shared" si="5"/>
        <v>#VALUE!</v>
      </c>
      <c r="L82" s="123">
        <f t="shared" si="1"/>
        <v>0</v>
      </c>
      <c r="M82" s="124" t="str">
        <f t="shared" si="2"/>
        <v/>
      </c>
      <c r="N82" s="100" t="s">
        <v>442</v>
      </c>
      <c r="O82" s="100">
        <f t="shared" si="8"/>
        <v>0</v>
      </c>
      <c r="P82" s="101">
        <f t="shared" si="9"/>
        <v>0</v>
      </c>
      <c r="Q82" s="101">
        <f t="shared" si="10"/>
        <v>0</v>
      </c>
      <c r="R82" s="102">
        <f t="shared" si="11"/>
        <v>0</v>
      </c>
      <c r="S82" s="102">
        <f t="shared" si="12"/>
        <v>0</v>
      </c>
      <c r="T82" s="102">
        <f t="shared" si="13"/>
        <v>0</v>
      </c>
      <c r="U82" s="107"/>
      <c r="V82" s="108"/>
      <c r="W82" s="105"/>
      <c r="X82" s="109"/>
      <c r="Y82" s="110"/>
      <c r="Z82" s="106"/>
      <c r="AA82" s="106"/>
      <c r="AB82" s="111"/>
      <c r="AE82" s="187"/>
      <c r="AF82" s="185"/>
      <c r="AG82" s="185" t="str">
        <f t="shared" si="6"/>
        <v/>
      </c>
      <c r="AH82" s="186" t="str">
        <f t="shared" si="7"/>
        <v/>
      </c>
      <c r="AI82" s="185"/>
      <c r="AJ82" s="188"/>
    </row>
    <row r="83" spans="2:36" ht="30" customHeight="1" x14ac:dyDescent="0.3">
      <c r="B83" s="562"/>
      <c r="C83" s="563"/>
      <c r="D83" s="425"/>
      <c r="E83" s="250" t="str">
        <f t="shared" si="3"/>
        <v/>
      </c>
      <c r="F83" s="556"/>
      <c r="G83" s="252" t="str">
        <f>IFERROR(VLOOKUP(F83,'Data (hidden)'!N:O,2,FALSE),"")</f>
        <v/>
      </c>
      <c r="H83" s="557"/>
      <c r="I83" s="558"/>
      <c r="J83" s="123">
        <f t="shared" si="4"/>
        <v>0</v>
      </c>
      <c r="K83" s="123" t="e">
        <f t="shared" si="5"/>
        <v>#VALUE!</v>
      </c>
      <c r="L83" s="123">
        <f t="shared" ref="L83:L146" si="14">D83*0.01</f>
        <v>0</v>
      </c>
      <c r="M83" s="124" t="str">
        <f t="shared" ref="M83:AB146" si="15">IFERROR(K83*I83,"")</f>
        <v/>
      </c>
      <c r="N83" s="100" t="s">
        <v>443</v>
      </c>
      <c r="O83" s="100">
        <f t="shared" si="8"/>
        <v>0</v>
      </c>
      <c r="P83" s="101">
        <f t="shared" si="9"/>
        <v>0</v>
      </c>
      <c r="Q83" s="101">
        <f t="shared" si="10"/>
        <v>0</v>
      </c>
      <c r="R83" s="102">
        <f t="shared" si="11"/>
        <v>0</v>
      </c>
      <c r="S83" s="102">
        <f t="shared" si="12"/>
        <v>0</v>
      </c>
      <c r="T83" s="102">
        <f t="shared" si="13"/>
        <v>0</v>
      </c>
      <c r="U83" s="107"/>
      <c r="V83" s="108"/>
      <c r="W83" s="105"/>
      <c r="X83" s="109"/>
      <c r="Y83" s="110"/>
      <c r="Z83" s="106"/>
      <c r="AA83" s="106"/>
      <c r="AB83" s="111"/>
      <c r="AE83" s="187"/>
      <c r="AF83" s="185"/>
      <c r="AG83" s="185" t="str">
        <f t="shared" si="6"/>
        <v/>
      </c>
      <c r="AH83" s="186" t="str">
        <f t="shared" si="7"/>
        <v/>
      </c>
      <c r="AI83" s="185"/>
      <c r="AJ83" s="188"/>
    </row>
    <row r="84" spans="2:36" ht="30" customHeight="1" x14ac:dyDescent="0.3">
      <c r="B84" s="562"/>
      <c r="C84" s="563"/>
      <c r="D84" s="425"/>
      <c r="E84" s="250" t="str">
        <f t="shared" ref="E84:E88" si="16">IF(SUM(C84-(C84*L84))=0,"",SUM(C84-(C84*L84)))</f>
        <v/>
      </c>
      <c r="F84" s="556"/>
      <c r="G84" s="252" t="str">
        <f>IFERROR(VLOOKUP(F84,'Data (hidden)'!N:O,2,FALSE),"")</f>
        <v/>
      </c>
      <c r="H84" s="557"/>
      <c r="I84" s="558"/>
      <c r="J84" s="123">
        <f t="shared" ref="J84:J147" si="17">H84*0.01</f>
        <v>0</v>
      </c>
      <c r="K84" s="123" t="e">
        <f t="shared" ref="K84:K147" si="18">E84*J84</f>
        <v>#VALUE!</v>
      </c>
      <c r="L84" s="123">
        <f t="shared" si="14"/>
        <v>0</v>
      </c>
      <c r="M84" s="124" t="str">
        <f t="shared" si="15"/>
        <v/>
      </c>
      <c r="N84" s="100" t="s">
        <v>444</v>
      </c>
      <c r="O84" s="100">
        <f t="shared" si="8"/>
        <v>0</v>
      </c>
      <c r="P84" s="101">
        <f t="shared" si="9"/>
        <v>0</v>
      </c>
      <c r="Q84" s="101">
        <f t="shared" si="10"/>
        <v>0</v>
      </c>
      <c r="R84" s="102">
        <f t="shared" si="11"/>
        <v>0</v>
      </c>
      <c r="S84" s="102">
        <f t="shared" si="12"/>
        <v>0</v>
      </c>
      <c r="T84" s="102">
        <f t="shared" si="13"/>
        <v>0</v>
      </c>
      <c r="U84" s="107"/>
      <c r="V84" s="108"/>
      <c r="W84" s="105"/>
      <c r="X84" s="109"/>
      <c r="Y84" s="110"/>
      <c r="Z84" s="106"/>
      <c r="AA84" s="106"/>
      <c r="AB84" s="111"/>
      <c r="AE84" s="187"/>
      <c r="AF84" s="185"/>
      <c r="AG84" s="185" t="str">
        <f t="shared" ref="AG84:AG147" si="19">IF(ISNUMBER(B84), B84, "")</f>
        <v/>
      </c>
      <c r="AH84" s="186" t="str">
        <f t="shared" ref="AH84:AH147" si="20">E84</f>
        <v/>
      </c>
      <c r="AI84" s="185"/>
      <c r="AJ84" s="188"/>
    </row>
    <row r="85" spans="2:36" ht="30" customHeight="1" x14ac:dyDescent="0.3">
      <c r="B85" s="562"/>
      <c r="C85" s="563"/>
      <c r="D85" s="425"/>
      <c r="E85" s="250" t="str">
        <f t="shared" si="16"/>
        <v/>
      </c>
      <c r="F85" s="556"/>
      <c r="G85" s="252" t="str">
        <f>IFERROR(VLOOKUP(F85,'Data (hidden)'!N:O,2,FALSE),"")</f>
        <v/>
      </c>
      <c r="H85" s="557"/>
      <c r="I85" s="558"/>
      <c r="J85" s="123">
        <f t="shared" si="17"/>
        <v>0</v>
      </c>
      <c r="K85" s="123" t="e">
        <f t="shared" si="18"/>
        <v>#VALUE!</v>
      </c>
      <c r="L85" s="123">
        <f t="shared" si="14"/>
        <v>0</v>
      </c>
      <c r="M85" s="124" t="str">
        <f t="shared" si="15"/>
        <v/>
      </c>
      <c r="N85" s="100" t="s">
        <v>445</v>
      </c>
      <c r="O85" s="100">
        <f t="shared" si="8"/>
        <v>0</v>
      </c>
      <c r="P85" s="101">
        <f t="shared" si="9"/>
        <v>0</v>
      </c>
      <c r="Q85" s="101">
        <f t="shared" si="10"/>
        <v>0</v>
      </c>
      <c r="R85" s="102">
        <f t="shared" si="11"/>
        <v>0</v>
      </c>
      <c r="S85" s="102">
        <f t="shared" si="12"/>
        <v>0</v>
      </c>
      <c r="T85" s="102">
        <f t="shared" si="13"/>
        <v>0</v>
      </c>
      <c r="U85" s="107"/>
      <c r="V85" s="108"/>
      <c r="W85" s="105"/>
      <c r="X85" s="109"/>
      <c r="Y85" s="110"/>
      <c r="Z85" s="106"/>
      <c r="AA85" s="106"/>
      <c r="AB85" s="111"/>
      <c r="AE85" s="187"/>
      <c r="AF85" s="185"/>
      <c r="AG85" s="185" t="str">
        <f t="shared" si="19"/>
        <v/>
      </c>
      <c r="AH85" s="186" t="str">
        <f t="shared" si="20"/>
        <v/>
      </c>
      <c r="AI85" s="185"/>
      <c r="AJ85" s="188"/>
    </row>
    <row r="86" spans="2:36" ht="30" customHeight="1" x14ac:dyDescent="0.3">
      <c r="B86" s="562"/>
      <c r="C86" s="563"/>
      <c r="D86" s="425"/>
      <c r="E86" s="250" t="str">
        <f t="shared" si="16"/>
        <v/>
      </c>
      <c r="F86" s="556"/>
      <c r="G86" s="252" t="str">
        <f>IFERROR(VLOOKUP(F86,'Data (hidden)'!N:O,2,FALSE),"")</f>
        <v/>
      </c>
      <c r="H86" s="557"/>
      <c r="I86" s="558"/>
      <c r="J86" s="123">
        <f t="shared" si="17"/>
        <v>0</v>
      </c>
      <c r="K86" s="123" t="e">
        <f t="shared" si="18"/>
        <v>#VALUE!</v>
      </c>
      <c r="L86" s="123">
        <f t="shared" si="14"/>
        <v>0</v>
      </c>
      <c r="M86" s="124" t="str">
        <f t="shared" si="15"/>
        <v/>
      </c>
      <c r="N86" s="100" t="s">
        <v>446</v>
      </c>
      <c r="O86" s="100">
        <f t="shared" si="8"/>
        <v>0</v>
      </c>
      <c r="P86" s="101">
        <f t="shared" si="9"/>
        <v>0</v>
      </c>
      <c r="Q86" s="101">
        <f t="shared" si="10"/>
        <v>0</v>
      </c>
      <c r="R86" s="102">
        <f t="shared" si="11"/>
        <v>0</v>
      </c>
      <c r="S86" s="102">
        <f t="shared" si="12"/>
        <v>0</v>
      </c>
      <c r="T86" s="102">
        <f t="shared" si="13"/>
        <v>0</v>
      </c>
      <c r="U86" s="107"/>
      <c r="V86" s="108"/>
      <c r="W86" s="105"/>
      <c r="X86" s="109"/>
      <c r="Y86" s="110"/>
      <c r="Z86" s="106"/>
      <c r="AA86" s="106"/>
      <c r="AB86" s="111"/>
      <c r="AE86" s="187"/>
      <c r="AF86" s="185"/>
      <c r="AG86" s="185" t="str">
        <f t="shared" si="19"/>
        <v/>
      </c>
      <c r="AH86" s="186" t="str">
        <f t="shared" si="20"/>
        <v/>
      </c>
      <c r="AI86" s="185"/>
      <c r="AJ86" s="188"/>
    </row>
    <row r="87" spans="2:36" ht="30" customHeight="1" x14ac:dyDescent="0.3">
      <c r="B87" s="562"/>
      <c r="C87" s="563"/>
      <c r="D87" s="425"/>
      <c r="E87" s="250" t="str">
        <f t="shared" si="16"/>
        <v/>
      </c>
      <c r="F87" s="556"/>
      <c r="G87" s="252" t="str">
        <f>IFERROR(VLOOKUP(F87,'Data (hidden)'!N:O,2,FALSE),"")</f>
        <v/>
      </c>
      <c r="H87" s="557"/>
      <c r="I87" s="558"/>
      <c r="J87" s="123">
        <f t="shared" si="17"/>
        <v>0</v>
      </c>
      <c r="K87" s="123" t="e">
        <f t="shared" si="18"/>
        <v>#VALUE!</v>
      </c>
      <c r="L87" s="123">
        <f t="shared" si="14"/>
        <v>0</v>
      </c>
      <c r="M87" s="124" t="str">
        <f t="shared" si="15"/>
        <v/>
      </c>
      <c r="N87" s="100" t="s">
        <v>447</v>
      </c>
      <c r="O87" s="100">
        <f t="shared" si="8"/>
        <v>0</v>
      </c>
      <c r="P87" s="101">
        <f t="shared" si="9"/>
        <v>0</v>
      </c>
      <c r="Q87" s="101">
        <f t="shared" si="10"/>
        <v>0</v>
      </c>
      <c r="R87" s="102">
        <f t="shared" si="11"/>
        <v>0</v>
      </c>
      <c r="S87" s="102">
        <f t="shared" si="12"/>
        <v>0</v>
      </c>
      <c r="T87" s="102">
        <f t="shared" si="13"/>
        <v>0</v>
      </c>
      <c r="U87" s="107"/>
      <c r="V87" s="108"/>
      <c r="W87" s="105"/>
      <c r="X87" s="109"/>
      <c r="Y87" s="110"/>
      <c r="Z87" s="106"/>
      <c r="AA87" s="106"/>
      <c r="AB87" s="111"/>
      <c r="AE87" s="187"/>
      <c r="AF87" s="185"/>
      <c r="AG87" s="185" t="str">
        <f t="shared" si="19"/>
        <v/>
      </c>
      <c r="AH87" s="186" t="str">
        <f t="shared" si="20"/>
        <v/>
      </c>
      <c r="AI87" s="185"/>
      <c r="AJ87" s="188"/>
    </row>
    <row r="88" spans="2:36" ht="30" customHeight="1" x14ac:dyDescent="0.3">
      <c r="B88" s="562"/>
      <c r="C88" s="563"/>
      <c r="D88" s="425"/>
      <c r="E88" s="250" t="str">
        <f t="shared" si="16"/>
        <v/>
      </c>
      <c r="F88" s="556"/>
      <c r="G88" s="252" t="str">
        <f>IFERROR(VLOOKUP(F88,'Data (hidden)'!N:O,2,FALSE),"")</f>
        <v/>
      </c>
      <c r="H88" s="557"/>
      <c r="I88" s="558"/>
      <c r="J88" s="123">
        <f t="shared" si="17"/>
        <v>0</v>
      </c>
      <c r="K88" s="123" t="e">
        <f t="shared" si="18"/>
        <v>#VALUE!</v>
      </c>
      <c r="L88" s="123">
        <f t="shared" si="14"/>
        <v>0</v>
      </c>
      <c r="M88" s="124" t="str">
        <f t="shared" si="15"/>
        <v/>
      </c>
      <c r="N88" s="100" t="s">
        <v>448</v>
      </c>
      <c r="O88" s="100">
        <f t="shared" si="8"/>
        <v>0</v>
      </c>
      <c r="P88" s="101">
        <f t="shared" si="9"/>
        <v>0</v>
      </c>
      <c r="Q88" s="101">
        <f t="shared" si="10"/>
        <v>0</v>
      </c>
      <c r="R88" s="102">
        <f t="shared" si="11"/>
        <v>0</v>
      </c>
      <c r="S88" s="102">
        <f t="shared" si="12"/>
        <v>0</v>
      </c>
      <c r="T88" s="102">
        <f t="shared" si="13"/>
        <v>0</v>
      </c>
      <c r="U88" s="107"/>
      <c r="V88" s="108"/>
      <c r="W88" s="105"/>
      <c r="X88" s="109"/>
      <c r="Y88" s="110"/>
      <c r="Z88" s="106"/>
      <c r="AA88" s="106"/>
      <c r="AB88" s="111"/>
      <c r="AE88" s="187"/>
      <c r="AF88" s="185"/>
      <c r="AG88" s="185" t="str">
        <f t="shared" si="19"/>
        <v/>
      </c>
      <c r="AH88" s="186" t="str">
        <f t="shared" si="20"/>
        <v/>
      </c>
      <c r="AI88" s="185"/>
      <c r="AJ88" s="188"/>
    </row>
    <row r="89" spans="2:36" ht="30" customHeight="1" x14ac:dyDescent="0.3">
      <c r="B89" s="562"/>
      <c r="C89" s="563"/>
      <c r="D89" s="425"/>
      <c r="E89" s="250" t="str">
        <f t="shared" ref="E89:E115" si="21">IF(SUM(C89-(C89*L89))=0,"",SUM(C89-(C89*L89)))</f>
        <v/>
      </c>
      <c r="F89" s="556"/>
      <c r="G89" s="252" t="str">
        <f>IFERROR(VLOOKUP(F89,'Data (hidden)'!N:O,2,FALSE),"")</f>
        <v/>
      </c>
      <c r="H89" s="557"/>
      <c r="I89" s="558"/>
      <c r="J89" s="123">
        <f t="shared" si="17"/>
        <v>0</v>
      </c>
      <c r="K89" s="123" t="e">
        <f t="shared" si="18"/>
        <v>#VALUE!</v>
      </c>
      <c r="L89" s="123">
        <f t="shared" si="14"/>
        <v>0</v>
      </c>
      <c r="M89" s="124" t="str">
        <f t="shared" si="15"/>
        <v/>
      </c>
      <c r="N89" s="100" t="s">
        <v>449</v>
      </c>
      <c r="O89" s="100">
        <f t="shared" si="8"/>
        <v>0</v>
      </c>
      <c r="P89" s="101">
        <f t="shared" si="9"/>
        <v>0</v>
      </c>
      <c r="Q89" s="101">
        <f t="shared" si="10"/>
        <v>0</v>
      </c>
      <c r="R89" s="102">
        <f t="shared" si="11"/>
        <v>0</v>
      </c>
      <c r="S89" s="102">
        <f t="shared" si="12"/>
        <v>0</v>
      </c>
      <c r="T89" s="102">
        <f t="shared" si="13"/>
        <v>0</v>
      </c>
      <c r="U89" s="107"/>
      <c r="V89" s="108"/>
      <c r="W89" s="105"/>
      <c r="X89" s="109"/>
      <c r="Y89" s="110"/>
      <c r="Z89" s="106"/>
      <c r="AA89" s="106"/>
      <c r="AB89" s="111"/>
      <c r="AE89" s="187"/>
      <c r="AF89" s="185"/>
      <c r="AG89" s="185" t="str">
        <f t="shared" si="19"/>
        <v/>
      </c>
      <c r="AH89" s="186" t="str">
        <f t="shared" si="20"/>
        <v/>
      </c>
      <c r="AI89" s="185"/>
      <c r="AJ89" s="188"/>
    </row>
    <row r="90" spans="2:36" ht="30" customHeight="1" x14ac:dyDescent="0.3">
      <c r="B90" s="562"/>
      <c r="C90" s="563"/>
      <c r="D90" s="425"/>
      <c r="E90" s="250" t="str">
        <f t="shared" si="21"/>
        <v/>
      </c>
      <c r="F90" s="556"/>
      <c r="G90" s="252" t="str">
        <f>IFERROR(VLOOKUP(F90,'Data (hidden)'!N:O,2,FALSE),"")</f>
        <v/>
      </c>
      <c r="H90" s="557"/>
      <c r="I90" s="558"/>
      <c r="J90" s="123">
        <f t="shared" si="17"/>
        <v>0</v>
      </c>
      <c r="K90" s="123" t="e">
        <f t="shared" si="18"/>
        <v>#VALUE!</v>
      </c>
      <c r="L90" s="123">
        <f t="shared" si="14"/>
        <v>0</v>
      </c>
      <c r="M90" s="124" t="str">
        <f t="shared" si="15"/>
        <v/>
      </c>
      <c r="N90" s="100" t="s">
        <v>450</v>
      </c>
      <c r="O90" s="100">
        <f t="shared" si="8"/>
        <v>0</v>
      </c>
      <c r="P90" s="101">
        <f t="shared" si="9"/>
        <v>0</v>
      </c>
      <c r="Q90" s="101">
        <f t="shared" si="10"/>
        <v>0</v>
      </c>
      <c r="R90" s="102">
        <f t="shared" si="11"/>
        <v>0</v>
      </c>
      <c r="S90" s="102">
        <f t="shared" si="12"/>
        <v>0</v>
      </c>
      <c r="T90" s="102">
        <f t="shared" si="13"/>
        <v>0</v>
      </c>
      <c r="U90" s="107"/>
      <c r="V90" s="108"/>
      <c r="W90" s="105"/>
      <c r="X90" s="109"/>
      <c r="Y90" s="110"/>
      <c r="Z90" s="106"/>
      <c r="AA90" s="106"/>
      <c r="AB90" s="111"/>
      <c r="AE90" s="187"/>
      <c r="AF90" s="185"/>
      <c r="AG90" s="185" t="str">
        <f t="shared" si="19"/>
        <v/>
      </c>
      <c r="AH90" s="186" t="str">
        <f t="shared" si="20"/>
        <v/>
      </c>
      <c r="AI90" s="185"/>
      <c r="AJ90" s="188"/>
    </row>
    <row r="91" spans="2:36" ht="30" customHeight="1" x14ac:dyDescent="0.3">
      <c r="B91" s="562"/>
      <c r="C91" s="563"/>
      <c r="D91" s="425"/>
      <c r="E91" s="250" t="str">
        <f t="shared" si="21"/>
        <v/>
      </c>
      <c r="F91" s="556"/>
      <c r="G91" s="252" t="str">
        <f>IFERROR(VLOOKUP(F91,'Data (hidden)'!N:O,2,FALSE),"")</f>
        <v/>
      </c>
      <c r="H91" s="557"/>
      <c r="I91" s="558"/>
      <c r="J91" s="123">
        <f t="shared" si="17"/>
        <v>0</v>
      </c>
      <c r="K91" s="123" t="e">
        <f t="shared" si="18"/>
        <v>#VALUE!</v>
      </c>
      <c r="L91" s="123">
        <f t="shared" si="14"/>
        <v>0</v>
      </c>
      <c r="M91" s="124" t="str">
        <f t="shared" si="15"/>
        <v/>
      </c>
      <c r="N91" s="100" t="s">
        <v>451</v>
      </c>
      <c r="O91" s="100">
        <f t="shared" si="8"/>
        <v>0</v>
      </c>
      <c r="P91" s="101">
        <f t="shared" si="9"/>
        <v>0</v>
      </c>
      <c r="Q91" s="101">
        <f t="shared" si="10"/>
        <v>0</v>
      </c>
      <c r="R91" s="102">
        <f t="shared" si="11"/>
        <v>0</v>
      </c>
      <c r="S91" s="102">
        <f t="shared" si="12"/>
        <v>0</v>
      </c>
      <c r="T91" s="102">
        <f t="shared" si="13"/>
        <v>0</v>
      </c>
      <c r="U91" s="107"/>
      <c r="V91" s="108"/>
      <c r="W91" s="105"/>
      <c r="X91" s="109"/>
      <c r="Y91" s="110"/>
      <c r="Z91" s="106"/>
      <c r="AA91" s="106"/>
      <c r="AB91" s="111"/>
      <c r="AE91" s="187"/>
      <c r="AF91" s="185"/>
      <c r="AG91" s="185" t="str">
        <f t="shared" si="19"/>
        <v/>
      </c>
      <c r="AH91" s="186" t="str">
        <f t="shared" si="20"/>
        <v/>
      </c>
      <c r="AI91" s="185"/>
      <c r="AJ91" s="188"/>
    </row>
    <row r="92" spans="2:36" ht="30" customHeight="1" x14ac:dyDescent="0.3">
      <c r="B92" s="562"/>
      <c r="C92" s="563"/>
      <c r="D92" s="425"/>
      <c r="E92" s="250" t="str">
        <f t="shared" si="21"/>
        <v/>
      </c>
      <c r="F92" s="556"/>
      <c r="G92" s="252" t="str">
        <f>IFERROR(VLOOKUP(F92,'Data (hidden)'!N:O,2,FALSE),"")</f>
        <v/>
      </c>
      <c r="H92" s="557"/>
      <c r="I92" s="558"/>
      <c r="J92" s="123">
        <f t="shared" si="17"/>
        <v>0</v>
      </c>
      <c r="K92" s="123" t="e">
        <f t="shared" si="18"/>
        <v>#VALUE!</v>
      </c>
      <c r="L92" s="123">
        <f t="shared" si="14"/>
        <v>0</v>
      </c>
      <c r="M92" s="124" t="str">
        <f t="shared" si="15"/>
        <v/>
      </c>
      <c r="N92" s="100" t="s">
        <v>452</v>
      </c>
      <c r="O92" s="100">
        <f t="shared" si="8"/>
        <v>0</v>
      </c>
      <c r="P92" s="101">
        <f t="shared" si="9"/>
        <v>0</v>
      </c>
      <c r="Q92" s="101">
        <f t="shared" si="10"/>
        <v>0</v>
      </c>
      <c r="R92" s="102">
        <f t="shared" si="11"/>
        <v>0</v>
      </c>
      <c r="S92" s="102">
        <f t="shared" si="12"/>
        <v>0</v>
      </c>
      <c r="T92" s="102">
        <f t="shared" si="13"/>
        <v>0</v>
      </c>
      <c r="U92" s="107"/>
      <c r="V92" s="108"/>
      <c r="W92" s="105"/>
      <c r="X92" s="109"/>
      <c r="Y92" s="110"/>
      <c r="Z92" s="106"/>
      <c r="AA92" s="106"/>
      <c r="AB92" s="111"/>
      <c r="AE92" s="187"/>
      <c r="AF92" s="185"/>
      <c r="AG92" s="185" t="str">
        <f t="shared" si="19"/>
        <v/>
      </c>
      <c r="AH92" s="186" t="str">
        <f t="shared" si="20"/>
        <v/>
      </c>
      <c r="AI92" s="185"/>
      <c r="AJ92" s="188"/>
    </row>
    <row r="93" spans="2:36" ht="30" customHeight="1" x14ac:dyDescent="0.3">
      <c r="B93" s="562"/>
      <c r="C93" s="563"/>
      <c r="D93" s="425"/>
      <c r="E93" s="250" t="str">
        <f t="shared" si="21"/>
        <v/>
      </c>
      <c r="F93" s="556"/>
      <c r="G93" s="252" t="str">
        <f>IFERROR(VLOOKUP(F93,'Data (hidden)'!N:O,2,FALSE),"")</f>
        <v/>
      </c>
      <c r="H93" s="557"/>
      <c r="I93" s="558"/>
      <c r="J93" s="123">
        <f t="shared" si="17"/>
        <v>0</v>
      </c>
      <c r="K93" s="123" t="e">
        <f t="shared" si="18"/>
        <v>#VALUE!</v>
      </c>
      <c r="L93" s="123">
        <f t="shared" si="14"/>
        <v>0</v>
      </c>
      <c r="M93" s="124" t="str">
        <f t="shared" si="15"/>
        <v/>
      </c>
      <c r="N93" s="100" t="s">
        <v>453</v>
      </c>
      <c r="O93" s="100">
        <f t="shared" si="8"/>
        <v>0</v>
      </c>
      <c r="P93" s="101">
        <f t="shared" si="9"/>
        <v>0</v>
      </c>
      <c r="Q93" s="101">
        <f t="shared" si="10"/>
        <v>0</v>
      </c>
      <c r="R93" s="102">
        <f t="shared" si="11"/>
        <v>0</v>
      </c>
      <c r="S93" s="102">
        <f t="shared" si="12"/>
        <v>0</v>
      </c>
      <c r="T93" s="102">
        <f t="shared" si="13"/>
        <v>0</v>
      </c>
      <c r="U93" s="107"/>
      <c r="V93" s="108"/>
      <c r="W93" s="105"/>
      <c r="X93" s="109"/>
      <c r="Y93" s="110"/>
      <c r="Z93" s="106"/>
      <c r="AA93" s="106"/>
      <c r="AB93" s="111"/>
      <c r="AE93" s="187"/>
      <c r="AF93" s="185"/>
      <c r="AG93" s="185" t="str">
        <f t="shared" si="19"/>
        <v/>
      </c>
      <c r="AH93" s="186" t="str">
        <f t="shared" si="20"/>
        <v/>
      </c>
      <c r="AI93" s="185"/>
      <c r="AJ93" s="188"/>
    </row>
    <row r="94" spans="2:36" ht="30" customHeight="1" x14ac:dyDescent="0.3">
      <c r="B94" s="562"/>
      <c r="C94" s="563"/>
      <c r="D94" s="425"/>
      <c r="E94" s="250" t="str">
        <f t="shared" si="21"/>
        <v/>
      </c>
      <c r="F94" s="556"/>
      <c r="G94" s="252" t="str">
        <f>IFERROR(VLOOKUP(F94,'Data (hidden)'!N:O,2,FALSE),"")</f>
        <v/>
      </c>
      <c r="H94" s="557"/>
      <c r="I94" s="558"/>
      <c r="J94" s="123">
        <f t="shared" si="17"/>
        <v>0</v>
      </c>
      <c r="K94" s="123" t="e">
        <f t="shared" si="18"/>
        <v>#VALUE!</v>
      </c>
      <c r="L94" s="123">
        <f t="shared" si="14"/>
        <v>0</v>
      </c>
      <c r="M94" s="124" t="str">
        <f t="shared" si="15"/>
        <v/>
      </c>
      <c r="N94" s="100" t="s">
        <v>454</v>
      </c>
      <c r="O94" s="100">
        <f t="shared" si="8"/>
        <v>0</v>
      </c>
      <c r="P94" s="101">
        <f t="shared" si="9"/>
        <v>0</v>
      </c>
      <c r="Q94" s="101">
        <f t="shared" si="10"/>
        <v>0</v>
      </c>
      <c r="R94" s="102">
        <f t="shared" si="11"/>
        <v>0</v>
      </c>
      <c r="S94" s="102">
        <f t="shared" si="12"/>
        <v>0</v>
      </c>
      <c r="T94" s="102">
        <f t="shared" si="13"/>
        <v>0</v>
      </c>
      <c r="U94" s="107"/>
      <c r="V94" s="108"/>
      <c r="W94" s="105"/>
      <c r="X94" s="109"/>
      <c r="Y94" s="110"/>
      <c r="Z94" s="106"/>
      <c r="AA94" s="106"/>
      <c r="AB94" s="111"/>
      <c r="AE94" s="187"/>
      <c r="AF94" s="185"/>
      <c r="AG94" s="185" t="str">
        <f t="shared" si="19"/>
        <v/>
      </c>
      <c r="AH94" s="186" t="str">
        <f t="shared" si="20"/>
        <v/>
      </c>
      <c r="AI94" s="185"/>
      <c r="AJ94" s="188"/>
    </row>
    <row r="95" spans="2:36" ht="30" customHeight="1" x14ac:dyDescent="0.3">
      <c r="B95" s="562"/>
      <c r="C95" s="563"/>
      <c r="D95" s="425"/>
      <c r="E95" s="250" t="str">
        <f t="shared" si="21"/>
        <v/>
      </c>
      <c r="F95" s="556"/>
      <c r="G95" s="252" t="str">
        <f>IFERROR(VLOOKUP(F95,'Data (hidden)'!N:O,2,FALSE),"")</f>
        <v/>
      </c>
      <c r="H95" s="557"/>
      <c r="I95" s="558"/>
      <c r="J95" s="123">
        <f t="shared" si="17"/>
        <v>0</v>
      </c>
      <c r="K95" s="123" t="e">
        <f t="shared" si="18"/>
        <v>#VALUE!</v>
      </c>
      <c r="L95" s="123">
        <f t="shared" si="14"/>
        <v>0</v>
      </c>
      <c r="M95" s="124" t="str">
        <f t="shared" si="15"/>
        <v/>
      </c>
      <c r="N95" s="100" t="s">
        <v>455</v>
      </c>
      <c r="O95" s="100">
        <f t="shared" si="8"/>
        <v>0</v>
      </c>
      <c r="P95" s="101">
        <f t="shared" si="9"/>
        <v>0</v>
      </c>
      <c r="Q95" s="101">
        <f t="shared" si="10"/>
        <v>0</v>
      </c>
      <c r="R95" s="102">
        <f t="shared" si="11"/>
        <v>0</v>
      </c>
      <c r="S95" s="102">
        <f t="shared" si="12"/>
        <v>0</v>
      </c>
      <c r="T95" s="102">
        <f t="shared" si="13"/>
        <v>0</v>
      </c>
      <c r="U95" s="107"/>
      <c r="V95" s="108"/>
      <c r="W95" s="105"/>
      <c r="X95" s="109"/>
      <c r="Y95" s="110"/>
      <c r="Z95" s="106"/>
      <c r="AA95" s="106"/>
      <c r="AB95" s="111"/>
      <c r="AE95" s="187"/>
      <c r="AF95" s="185"/>
      <c r="AG95" s="185" t="str">
        <f t="shared" si="19"/>
        <v/>
      </c>
      <c r="AH95" s="186" t="str">
        <f t="shared" si="20"/>
        <v/>
      </c>
      <c r="AI95" s="185"/>
      <c r="AJ95" s="188"/>
    </row>
    <row r="96" spans="2:36" ht="30" customHeight="1" x14ac:dyDescent="0.3">
      <c r="B96" s="562"/>
      <c r="C96" s="563"/>
      <c r="D96" s="425"/>
      <c r="E96" s="250" t="str">
        <f t="shared" si="21"/>
        <v/>
      </c>
      <c r="F96" s="556"/>
      <c r="G96" s="252" t="str">
        <f>IFERROR(VLOOKUP(F96,'Data (hidden)'!N:O,2,FALSE),"")</f>
        <v/>
      </c>
      <c r="H96" s="557"/>
      <c r="I96" s="558"/>
      <c r="J96" s="123">
        <f t="shared" si="17"/>
        <v>0</v>
      </c>
      <c r="K96" s="123" t="e">
        <f t="shared" si="18"/>
        <v>#VALUE!</v>
      </c>
      <c r="L96" s="123">
        <f t="shared" si="14"/>
        <v>0</v>
      </c>
      <c r="M96" s="124" t="str">
        <f t="shared" si="15"/>
        <v/>
      </c>
      <c r="N96" s="100" t="s">
        <v>456</v>
      </c>
      <c r="O96" s="100">
        <f t="shared" si="8"/>
        <v>0</v>
      </c>
      <c r="P96" s="101">
        <f t="shared" si="9"/>
        <v>0</v>
      </c>
      <c r="Q96" s="101">
        <f t="shared" si="10"/>
        <v>0</v>
      </c>
      <c r="R96" s="102">
        <f t="shared" si="11"/>
        <v>0</v>
      </c>
      <c r="S96" s="102">
        <f t="shared" si="12"/>
        <v>0</v>
      </c>
      <c r="T96" s="102">
        <f t="shared" si="13"/>
        <v>0</v>
      </c>
      <c r="U96" s="107"/>
      <c r="V96" s="108"/>
      <c r="W96" s="105"/>
      <c r="X96" s="109"/>
      <c r="Y96" s="110"/>
      <c r="Z96" s="106"/>
      <c r="AA96" s="106"/>
      <c r="AB96" s="111"/>
      <c r="AE96" s="187"/>
      <c r="AF96" s="185"/>
      <c r="AG96" s="185" t="str">
        <f t="shared" si="19"/>
        <v/>
      </c>
      <c r="AH96" s="186" t="str">
        <f t="shared" si="20"/>
        <v/>
      </c>
      <c r="AI96" s="185"/>
      <c r="AJ96" s="188"/>
    </row>
    <row r="97" spans="2:36" ht="30" customHeight="1" x14ac:dyDescent="0.3">
      <c r="B97" s="562"/>
      <c r="C97" s="563"/>
      <c r="D97" s="425"/>
      <c r="E97" s="250" t="str">
        <f t="shared" si="21"/>
        <v/>
      </c>
      <c r="F97" s="556"/>
      <c r="G97" s="252" t="str">
        <f>IFERROR(VLOOKUP(F97,'Data (hidden)'!N:O,2,FALSE),"")</f>
        <v/>
      </c>
      <c r="H97" s="557"/>
      <c r="I97" s="558"/>
      <c r="J97" s="123">
        <f t="shared" si="17"/>
        <v>0</v>
      </c>
      <c r="K97" s="123" t="e">
        <f t="shared" si="18"/>
        <v>#VALUE!</v>
      </c>
      <c r="L97" s="123">
        <f t="shared" si="14"/>
        <v>0</v>
      </c>
      <c r="M97" s="124" t="str">
        <f t="shared" si="15"/>
        <v/>
      </c>
      <c r="N97" s="100" t="s">
        <v>457</v>
      </c>
      <c r="O97" s="100">
        <f t="shared" si="8"/>
        <v>0</v>
      </c>
      <c r="P97" s="101">
        <f t="shared" si="9"/>
        <v>0</v>
      </c>
      <c r="Q97" s="101">
        <f t="shared" si="10"/>
        <v>0</v>
      </c>
      <c r="R97" s="102">
        <f t="shared" si="11"/>
        <v>0</v>
      </c>
      <c r="S97" s="102">
        <f t="shared" si="12"/>
        <v>0</v>
      </c>
      <c r="T97" s="102">
        <f t="shared" si="13"/>
        <v>0</v>
      </c>
      <c r="U97" s="107"/>
      <c r="V97" s="108"/>
      <c r="W97" s="105"/>
      <c r="X97" s="109"/>
      <c r="Y97" s="110"/>
      <c r="Z97" s="106"/>
      <c r="AA97" s="106"/>
      <c r="AB97" s="111"/>
      <c r="AE97" s="187"/>
      <c r="AF97" s="185"/>
      <c r="AG97" s="185" t="str">
        <f t="shared" si="19"/>
        <v/>
      </c>
      <c r="AH97" s="186" t="str">
        <f t="shared" si="20"/>
        <v/>
      </c>
      <c r="AI97" s="185"/>
      <c r="AJ97" s="188"/>
    </row>
    <row r="98" spans="2:36" ht="30" customHeight="1" x14ac:dyDescent="0.3">
      <c r="B98" s="562"/>
      <c r="C98" s="563"/>
      <c r="D98" s="425"/>
      <c r="E98" s="250" t="str">
        <f t="shared" si="21"/>
        <v/>
      </c>
      <c r="F98" s="556"/>
      <c r="G98" s="252" t="str">
        <f>IFERROR(VLOOKUP(F98,'Data (hidden)'!N:O,2,FALSE),"")</f>
        <v/>
      </c>
      <c r="H98" s="557"/>
      <c r="I98" s="558"/>
      <c r="J98" s="123">
        <f t="shared" si="17"/>
        <v>0</v>
      </c>
      <c r="K98" s="123" t="e">
        <f t="shared" si="18"/>
        <v>#VALUE!</v>
      </c>
      <c r="L98" s="123">
        <f t="shared" si="14"/>
        <v>0</v>
      </c>
      <c r="M98" s="124" t="str">
        <f t="shared" si="15"/>
        <v/>
      </c>
      <c r="N98" s="100" t="s">
        <v>458</v>
      </c>
      <c r="O98" s="100">
        <f t="shared" si="8"/>
        <v>0</v>
      </c>
      <c r="P98" s="101">
        <f t="shared" si="9"/>
        <v>0</v>
      </c>
      <c r="Q98" s="101">
        <f t="shared" si="10"/>
        <v>0</v>
      </c>
      <c r="R98" s="102">
        <f t="shared" si="11"/>
        <v>0</v>
      </c>
      <c r="S98" s="102">
        <f t="shared" si="12"/>
        <v>0</v>
      </c>
      <c r="T98" s="102">
        <f t="shared" si="13"/>
        <v>0</v>
      </c>
      <c r="U98" s="107"/>
      <c r="V98" s="108"/>
      <c r="W98" s="105"/>
      <c r="X98" s="109"/>
      <c r="Y98" s="110"/>
      <c r="Z98" s="106"/>
      <c r="AA98" s="106"/>
      <c r="AB98" s="111"/>
      <c r="AE98" s="187"/>
      <c r="AF98" s="185"/>
      <c r="AG98" s="185" t="str">
        <f t="shared" si="19"/>
        <v/>
      </c>
      <c r="AH98" s="186" t="str">
        <f t="shared" si="20"/>
        <v/>
      </c>
      <c r="AI98" s="185"/>
      <c r="AJ98" s="188"/>
    </row>
    <row r="99" spans="2:36" ht="30" customHeight="1" x14ac:dyDescent="0.3">
      <c r="B99" s="562"/>
      <c r="C99" s="563"/>
      <c r="D99" s="425"/>
      <c r="E99" s="250" t="str">
        <f t="shared" si="21"/>
        <v/>
      </c>
      <c r="F99" s="556"/>
      <c r="G99" s="252" t="str">
        <f>IFERROR(VLOOKUP(F99,'Data (hidden)'!N:O,2,FALSE),"")</f>
        <v/>
      </c>
      <c r="H99" s="557"/>
      <c r="I99" s="558"/>
      <c r="J99" s="123">
        <f t="shared" si="17"/>
        <v>0</v>
      </c>
      <c r="K99" s="123" t="e">
        <f t="shared" si="18"/>
        <v>#VALUE!</v>
      </c>
      <c r="L99" s="123">
        <f t="shared" si="14"/>
        <v>0</v>
      </c>
      <c r="M99" s="124" t="str">
        <f t="shared" si="15"/>
        <v/>
      </c>
      <c r="N99" s="100" t="s">
        <v>459</v>
      </c>
      <c r="O99" s="100">
        <f t="shared" si="8"/>
        <v>0</v>
      </c>
      <c r="P99" s="101">
        <f t="shared" si="9"/>
        <v>0</v>
      </c>
      <c r="Q99" s="101">
        <f t="shared" si="10"/>
        <v>0</v>
      </c>
      <c r="R99" s="102">
        <f t="shared" si="11"/>
        <v>0</v>
      </c>
      <c r="S99" s="102">
        <f t="shared" si="12"/>
        <v>0</v>
      </c>
      <c r="T99" s="102">
        <f t="shared" si="13"/>
        <v>0</v>
      </c>
      <c r="U99" s="107"/>
      <c r="V99" s="108"/>
      <c r="W99" s="105"/>
      <c r="X99" s="109"/>
      <c r="Y99" s="110"/>
      <c r="Z99" s="106"/>
      <c r="AA99" s="106"/>
      <c r="AB99" s="111"/>
      <c r="AE99" s="187"/>
      <c r="AF99" s="185"/>
      <c r="AG99" s="185" t="str">
        <f t="shared" si="19"/>
        <v/>
      </c>
      <c r="AH99" s="186" t="str">
        <f t="shared" si="20"/>
        <v/>
      </c>
      <c r="AI99" s="185"/>
      <c r="AJ99" s="188"/>
    </row>
    <row r="100" spans="2:36" ht="30" customHeight="1" x14ac:dyDescent="0.3">
      <c r="B100" s="562"/>
      <c r="C100" s="563"/>
      <c r="D100" s="425"/>
      <c r="E100" s="250" t="str">
        <f t="shared" si="21"/>
        <v/>
      </c>
      <c r="F100" s="556"/>
      <c r="G100" s="252" t="str">
        <f>IFERROR(VLOOKUP(F100,'Data (hidden)'!N:O,2,FALSE),"")</f>
        <v/>
      </c>
      <c r="H100" s="557"/>
      <c r="I100" s="558"/>
      <c r="J100" s="123">
        <f t="shared" si="17"/>
        <v>0</v>
      </c>
      <c r="K100" s="123" t="e">
        <f t="shared" si="18"/>
        <v>#VALUE!</v>
      </c>
      <c r="L100" s="123">
        <f t="shared" si="14"/>
        <v>0</v>
      </c>
      <c r="M100" s="124" t="str">
        <f t="shared" si="15"/>
        <v/>
      </c>
      <c r="N100" s="100" t="s">
        <v>460</v>
      </c>
      <c r="O100" s="100">
        <f t="shared" si="8"/>
        <v>0</v>
      </c>
      <c r="P100" s="101">
        <f t="shared" si="9"/>
        <v>0</v>
      </c>
      <c r="Q100" s="101">
        <f t="shared" si="10"/>
        <v>0</v>
      </c>
      <c r="R100" s="102">
        <f t="shared" si="11"/>
        <v>0</v>
      </c>
      <c r="S100" s="102">
        <f t="shared" si="12"/>
        <v>0</v>
      </c>
      <c r="T100" s="102">
        <f t="shared" si="13"/>
        <v>0</v>
      </c>
      <c r="U100" s="107"/>
      <c r="V100" s="108"/>
      <c r="W100" s="105"/>
      <c r="X100" s="109"/>
      <c r="Y100" s="110"/>
      <c r="Z100" s="106"/>
      <c r="AA100" s="106"/>
      <c r="AB100" s="111"/>
      <c r="AE100" s="187"/>
      <c r="AF100" s="185"/>
      <c r="AG100" s="185" t="str">
        <f t="shared" si="19"/>
        <v/>
      </c>
      <c r="AH100" s="186" t="str">
        <f t="shared" si="20"/>
        <v/>
      </c>
      <c r="AI100" s="185"/>
      <c r="AJ100" s="188"/>
    </row>
    <row r="101" spans="2:36" ht="30" customHeight="1" x14ac:dyDescent="0.3">
      <c r="B101" s="562"/>
      <c r="C101" s="563"/>
      <c r="D101" s="425"/>
      <c r="E101" s="250" t="str">
        <f t="shared" si="21"/>
        <v/>
      </c>
      <c r="F101" s="556"/>
      <c r="G101" s="252" t="str">
        <f>IFERROR(VLOOKUP(F101,'Data (hidden)'!N:O,2,FALSE),"")</f>
        <v/>
      </c>
      <c r="H101" s="557"/>
      <c r="I101" s="558"/>
      <c r="J101" s="123">
        <f t="shared" si="17"/>
        <v>0</v>
      </c>
      <c r="K101" s="123" t="e">
        <f t="shared" si="18"/>
        <v>#VALUE!</v>
      </c>
      <c r="L101" s="123">
        <f t="shared" si="14"/>
        <v>0</v>
      </c>
      <c r="M101" s="124" t="str">
        <f t="shared" si="15"/>
        <v/>
      </c>
      <c r="N101" s="100" t="s">
        <v>461</v>
      </c>
      <c r="O101" s="100">
        <f t="shared" si="8"/>
        <v>0</v>
      </c>
      <c r="P101" s="101">
        <f t="shared" si="9"/>
        <v>0</v>
      </c>
      <c r="Q101" s="101">
        <f t="shared" si="10"/>
        <v>0</v>
      </c>
      <c r="R101" s="102">
        <f t="shared" si="11"/>
        <v>0</v>
      </c>
      <c r="S101" s="102">
        <f t="shared" si="12"/>
        <v>0</v>
      </c>
      <c r="T101" s="102">
        <f t="shared" si="13"/>
        <v>0</v>
      </c>
      <c r="U101" s="107"/>
      <c r="V101" s="108"/>
      <c r="W101" s="105"/>
      <c r="X101" s="109"/>
      <c r="Y101" s="110"/>
      <c r="Z101" s="106"/>
      <c r="AA101" s="106"/>
      <c r="AB101" s="111"/>
      <c r="AE101" s="187"/>
      <c r="AF101" s="185"/>
      <c r="AG101" s="185" t="str">
        <f t="shared" si="19"/>
        <v/>
      </c>
      <c r="AH101" s="186" t="str">
        <f t="shared" si="20"/>
        <v/>
      </c>
      <c r="AI101" s="185"/>
      <c r="AJ101" s="188"/>
    </row>
    <row r="102" spans="2:36" ht="30" customHeight="1" x14ac:dyDescent="0.3">
      <c r="B102" s="562"/>
      <c r="C102" s="563"/>
      <c r="D102" s="425"/>
      <c r="E102" s="250" t="str">
        <f t="shared" si="21"/>
        <v/>
      </c>
      <c r="F102" s="556"/>
      <c r="G102" s="252" t="str">
        <f>IFERROR(VLOOKUP(F102,'Data (hidden)'!N:O,2,FALSE),"")</f>
        <v/>
      </c>
      <c r="H102" s="557"/>
      <c r="I102" s="558"/>
      <c r="J102" s="123">
        <f t="shared" si="17"/>
        <v>0</v>
      </c>
      <c r="K102" s="123" t="e">
        <f t="shared" si="18"/>
        <v>#VALUE!</v>
      </c>
      <c r="L102" s="123">
        <f t="shared" si="14"/>
        <v>0</v>
      </c>
      <c r="M102" s="124" t="str">
        <f t="shared" si="15"/>
        <v/>
      </c>
      <c r="N102" s="100" t="s">
        <v>462</v>
      </c>
      <c r="O102" s="100">
        <f t="shared" si="8"/>
        <v>0</v>
      </c>
      <c r="P102" s="101">
        <f t="shared" si="9"/>
        <v>0</v>
      </c>
      <c r="Q102" s="101">
        <f t="shared" si="10"/>
        <v>0</v>
      </c>
      <c r="R102" s="102">
        <f t="shared" si="11"/>
        <v>0</v>
      </c>
      <c r="S102" s="102">
        <f t="shared" si="12"/>
        <v>0</v>
      </c>
      <c r="T102" s="102">
        <f t="shared" si="13"/>
        <v>0</v>
      </c>
      <c r="U102" s="107"/>
      <c r="V102" s="108"/>
      <c r="W102" s="105"/>
      <c r="X102" s="109"/>
      <c r="Y102" s="110"/>
      <c r="Z102" s="106"/>
      <c r="AA102" s="106"/>
      <c r="AB102" s="111"/>
      <c r="AE102" s="187"/>
      <c r="AF102" s="185"/>
      <c r="AG102" s="185" t="str">
        <f t="shared" si="19"/>
        <v/>
      </c>
      <c r="AH102" s="186" t="str">
        <f t="shared" si="20"/>
        <v/>
      </c>
      <c r="AI102" s="185"/>
      <c r="AJ102" s="188"/>
    </row>
    <row r="103" spans="2:36" ht="30" customHeight="1" x14ac:dyDescent="0.3">
      <c r="B103" s="562"/>
      <c r="C103" s="563"/>
      <c r="D103" s="425"/>
      <c r="E103" s="250" t="str">
        <f t="shared" si="21"/>
        <v/>
      </c>
      <c r="F103" s="556"/>
      <c r="G103" s="252" t="str">
        <f>IFERROR(VLOOKUP(F103,'Data (hidden)'!N:O,2,FALSE),"")</f>
        <v/>
      </c>
      <c r="H103" s="557"/>
      <c r="I103" s="558"/>
      <c r="J103" s="123">
        <f t="shared" si="17"/>
        <v>0</v>
      </c>
      <c r="K103" s="123" t="e">
        <f t="shared" si="18"/>
        <v>#VALUE!</v>
      </c>
      <c r="L103" s="123">
        <f t="shared" si="14"/>
        <v>0</v>
      </c>
      <c r="M103" s="124" t="str">
        <f t="shared" si="15"/>
        <v/>
      </c>
      <c r="N103" s="100" t="s">
        <v>463</v>
      </c>
      <c r="O103" s="100">
        <f t="shared" si="8"/>
        <v>0</v>
      </c>
      <c r="P103" s="101">
        <f t="shared" si="9"/>
        <v>0</v>
      </c>
      <c r="Q103" s="101">
        <f t="shared" si="10"/>
        <v>0</v>
      </c>
      <c r="R103" s="102">
        <f t="shared" si="11"/>
        <v>0</v>
      </c>
      <c r="S103" s="102">
        <f t="shared" si="12"/>
        <v>0</v>
      </c>
      <c r="T103" s="102">
        <f t="shared" si="13"/>
        <v>0</v>
      </c>
      <c r="U103" s="107"/>
      <c r="V103" s="108"/>
      <c r="W103" s="105"/>
      <c r="X103" s="109"/>
      <c r="Y103" s="110"/>
      <c r="Z103" s="106"/>
      <c r="AA103" s="106"/>
      <c r="AB103" s="111"/>
      <c r="AE103" s="187"/>
      <c r="AF103" s="185"/>
      <c r="AG103" s="185" t="str">
        <f t="shared" si="19"/>
        <v/>
      </c>
      <c r="AH103" s="186" t="str">
        <f t="shared" si="20"/>
        <v/>
      </c>
      <c r="AI103" s="185"/>
      <c r="AJ103" s="188"/>
    </row>
    <row r="104" spans="2:36" ht="30" customHeight="1" x14ac:dyDescent="0.3">
      <c r="B104" s="562"/>
      <c r="C104" s="563"/>
      <c r="D104" s="425"/>
      <c r="E104" s="250" t="str">
        <f t="shared" si="21"/>
        <v/>
      </c>
      <c r="F104" s="556"/>
      <c r="G104" s="252" t="str">
        <f>IFERROR(VLOOKUP(F104,'Data (hidden)'!N:O,2,FALSE),"")</f>
        <v/>
      </c>
      <c r="H104" s="557"/>
      <c r="I104" s="558"/>
      <c r="J104" s="123">
        <f t="shared" si="17"/>
        <v>0</v>
      </c>
      <c r="K104" s="123" t="e">
        <f t="shared" si="18"/>
        <v>#VALUE!</v>
      </c>
      <c r="L104" s="123">
        <f t="shared" si="14"/>
        <v>0</v>
      </c>
      <c r="M104" s="124" t="str">
        <f t="shared" si="15"/>
        <v/>
      </c>
      <c r="N104" s="100" t="s">
        <v>464</v>
      </c>
      <c r="O104" s="100">
        <f t="shared" si="8"/>
        <v>0</v>
      </c>
      <c r="P104" s="101">
        <f t="shared" si="9"/>
        <v>0</v>
      </c>
      <c r="Q104" s="101">
        <f t="shared" si="10"/>
        <v>0</v>
      </c>
      <c r="R104" s="102">
        <f t="shared" si="11"/>
        <v>0</v>
      </c>
      <c r="S104" s="102">
        <f t="shared" si="12"/>
        <v>0</v>
      </c>
      <c r="T104" s="102">
        <f t="shared" si="13"/>
        <v>0</v>
      </c>
      <c r="U104" s="107"/>
      <c r="V104" s="108"/>
      <c r="W104" s="105"/>
      <c r="X104" s="109"/>
      <c r="Y104" s="110"/>
      <c r="Z104" s="106"/>
      <c r="AA104" s="106"/>
      <c r="AB104" s="111"/>
      <c r="AE104" s="187"/>
      <c r="AF104" s="185"/>
      <c r="AG104" s="185" t="str">
        <f t="shared" si="19"/>
        <v/>
      </c>
      <c r="AH104" s="186" t="str">
        <f t="shared" si="20"/>
        <v/>
      </c>
      <c r="AI104" s="185"/>
      <c r="AJ104" s="188"/>
    </row>
    <row r="105" spans="2:36" ht="30" customHeight="1" x14ac:dyDescent="0.3">
      <c r="B105" s="562"/>
      <c r="C105" s="563"/>
      <c r="D105" s="425"/>
      <c r="E105" s="250" t="str">
        <f t="shared" si="21"/>
        <v/>
      </c>
      <c r="F105" s="556"/>
      <c r="G105" s="252" t="str">
        <f>IFERROR(VLOOKUP(F105,'Data (hidden)'!N:O,2,FALSE),"")</f>
        <v/>
      </c>
      <c r="H105" s="557"/>
      <c r="I105" s="558"/>
      <c r="J105" s="123">
        <f t="shared" si="17"/>
        <v>0</v>
      </c>
      <c r="K105" s="123" t="e">
        <f t="shared" si="18"/>
        <v>#VALUE!</v>
      </c>
      <c r="L105" s="123">
        <f t="shared" si="14"/>
        <v>0</v>
      </c>
      <c r="M105" s="124" t="str">
        <f t="shared" si="15"/>
        <v/>
      </c>
      <c r="N105" s="100" t="s">
        <v>465</v>
      </c>
      <c r="O105" s="100">
        <f t="shared" si="8"/>
        <v>0</v>
      </c>
      <c r="P105" s="101">
        <f t="shared" si="9"/>
        <v>0</v>
      </c>
      <c r="Q105" s="101">
        <f t="shared" si="10"/>
        <v>0</v>
      </c>
      <c r="R105" s="102">
        <f t="shared" si="11"/>
        <v>0</v>
      </c>
      <c r="S105" s="102">
        <f t="shared" si="12"/>
        <v>0</v>
      </c>
      <c r="T105" s="102">
        <f t="shared" si="13"/>
        <v>0</v>
      </c>
      <c r="U105" s="107"/>
      <c r="V105" s="108"/>
      <c r="W105" s="105"/>
      <c r="X105" s="109"/>
      <c r="Y105" s="110"/>
      <c r="Z105" s="106"/>
      <c r="AA105" s="106"/>
      <c r="AB105" s="111"/>
      <c r="AE105" s="187"/>
      <c r="AF105" s="185"/>
      <c r="AG105" s="185" t="str">
        <f t="shared" si="19"/>
        <v/>
      </c>
      <c r="AH105" s="186" t="str">
        <f t="shared" si="20"/>
        <v/>
      </c>
      <c r="AI105" s="185"/>
      <c r="AJ105" s="188"/>
    </row>
    <row r="106" spans="2:36" ht="30" customHeight="1" x14ac:dyDescent="0.3">
      <c r="B106" s="562"/>
      <c r="C106" s="563"/>
      <c r="D106" s="425"/>
      <c r="E106" s="250" t="str">
        <f t="shared" si="21"/>
        <v/>
      </c>
      <c r="F106" s="556"/>
      <c r="G106" s="252" t="str">
        <f>IFERROR(VLOOKUP(F106,'Data (hidden)'!N:O,2,FALSE),"")</f>
        <v/>
      </c>
      <c r="H106" s="557"/>
      <c r="I106" s="558"/>
      <c r="J106" s="123">
        <f t="shared" si="17"/>
        <v>0</v>
      </c>
      <c r="K106" s="123" t="e">
        <f t="shared" si="18"/>
        <v>#VALUE!</v>
      </c>
      <c r="L106" s="123">
        <f t="shared" si="14"/>
        <v>0</v>
      </c>
      <c r="M106" s="124" t="str">
        <f t="shared" si="15"/>
        <v/>
      </c>
      <c r="N106" s="100" t="s">
        <v>466</v>
      </c>
      <c r="O106" s="100">
        <f t="shared" si="8"/>
        <v>0</v>
      </c>
      <c r="P106" s="101">
        <f t="shared" si="9"/>
        <v>0</v>
      </c>
      <c r="Q106" s="101">
        <f t="shared" si="10"/>
        <v>0</v>
      </c>
      <c r="R106" s="102">
        <f t="shared" si="11"/>
        <v>0</v>
      </c>
      <c r="S106" s="102">
        <f t="shared" si="12"/>
        <v>0</v>
      </c>
      <c r="T106" s="102">
        <f t="shared" si="13"/>
        <v>0</v>
      </c>
      <c r="U106" s="107"/>
      <c r="V106" s="108"/>
      <c r="W106" s="105"/>
      <c r="X106" s="109"/>
      <c r="Y106" s="110"/>
      <c r="Z106" s="106"/>
      <c r="AA106" s="106"/>
      <c r="AB106" s="111"/>
      <c r="AE106" s="187"/>
      <c r="AF106" s="185"/>
      <c r="AG106" s="185" t="str">
        <f t="shared" si="19"/>
        <v/>
      </c>
      <c r="AH106" s="186" t="str">
        <f t="shared" si="20"/>
        <v/>
      </c>
      <c r="AI106" s="185"/>
      <c r="AJ106" s="188"/>
    </row>
    <row r="107" spans="2:36" ht="30" customHeight="1" x14ac:dyDescent="0.3">
      <c r="B107" s="562"/>
      <c r="C107" s="563"/>
      <c r="D107" s="425"/>
      <c r="E107" s="250" t="str">
        <f t="shared" si="21"/>
        <v/>
      </c>
      <c r="F107" s="556"/>
      <c r="G107" s="252" t="str">
        <f>IFERROR(VLOOKUP(F107,'Data (hidden)'!N:O,2,FALSE),"")</f>
        <v/>
      </c>
      <c r="H107" s="557"/>
      <c r="I107" s="558"/>
      <c r="J107" s="123">
        <f t="shared" si="17"/>
        <v>0</v>
      </c>
      <c r="K107" s="123" t="e">
        <f t="shared" si="18"/>
        <v>#VALUE!</v>
      </c>
      <c r="L107" s="123">
        <f t="shared" si="14"/>
        <v>0</v>
      </c>
      <c r="M107" s="124" t="str">
        <f t="shared" si="15"/>
        <v/>
      </c>
      <c r="N107" s="100" t="s">
        <v>467</v>
      </c>
      <c r="O107" s="100">
        <f t="shared" si="8"/>
        <v>0</v>
      </c>
      <c r="P107" s="101">
        <f t="shared" si="9"/>
        <v>0</v>
      </c>
      <c r="Q107" s="101">
        <f t="shared" si="10"/>
        <v>0</v>
      </c>
      <c r="R107" s="102">
        <f t="shared" si="11"/>
        <v>0</v>
      </c>
      <c r="S107" s="102">
        <f t="shared" si="12"/>
        <v>0</v>
      </c>
      <c r="T107" s="102">
        <f t="shared" si="13"/>
        <v>0</v>
      </c>
      <c r="U107" s="107"/>
      <c r="V107" s="108"/>
      <c r="W107" s="105"/>
      <c r="X107" s="109"/>
      <c r="Y107" s="110"/>
      <c r="Z107" s="106"/>
      <c r="AA107" s="106"/>
      <c r="AB107" s="111"/>
      <c r="AE107" s="187"/>
      <c r="AF107" s="185"/>
      <c r="AG107" s="185" t="str">
        <f t="shared" si="19"/>
        <v/>
      </c>
      <c r="AH107" s="186" t="str">
        <f t="shared" si="20"/>
        <v/>
      </c>
      <c r="AI107" s="185"/>
      <c r="AJ107" s="188"/>
    </row>
    <row r="108" spans="2:36" ht="30" customHeight="1" x14ac:dyDescent="0.3">
      <c r="B108" s="562"/>
      <c r="C108" s="563"/>
      <c r="D108" s="425"/>
      <c r="E108" s="250" t="str">
        <f t="shared" si="21"/>
        <v/>
      </c>
      <c r="F108" s="556"/>
      <c r="G108" s="252" t="str">
        <f>IFERROR(VLOOKUP(F108,'Data (hidden)'!N:O,2,FALSE),"")</f>
        <v/>
      </c>
      <c r="H108" s="557"/>
      <c r="I108" s="558"/>
      <c r="J108" s="123">
        <f t="shared" si="17"/>
        <v>0</v>
      </c>
      <c r="K108" s="123" t="e">
        <f t="shared" si="18"/>
        <v>#VALUE!</v>
      </c>
      <c r="L108" s="123">
        <f t="shared" si="14"/>
        <v>0</v>
      </c>
      <c r="M108" s="124" t="str">
        <f t="shared" si="15"/>
        <v/>
      </c>
      <c r="N108" s="100" t="s">
        <v>468</v>
      </c>
      <c r="O108" s="100">
        <f t="shared" si="8"/>
        <v>0</v>
      </c>
      <c r="P108" s="101">
        <f t="shared" si="9"/>
        <v>0</v>
      </c>
      <c r="Q108" s="101">
        <f t="shared" si="10"/>
        <v>0</v>
      </c>
      <c r="R108" s="102">
        <f t="shared" si="11"/>
        <v>0</v>
      </c>
      <c r="S108" s="102">
        <f t="shared" si="12"/>
        <v>0</v>
      </c>
      <c r="T108" s="102">
        <f t="shared" si="13"/>
        <v>0</v>
      </c>
      <c r="U108" s="107"/>
      <c r="V108" s="108"/>
      <c r="W108" s="105"/>
      <c r="X108" s="109"/>
      <c r="Y108" s="110"/>
      <c r="Z108" s="106"/>
      <c r="AA108" s="106"/>
      <c r="AB108" s="111"/>
      <c r="AE108" s="187"/>
      <c r="AF108" s="185"/>
      <c r="AG108" s="185" t="str">
        <f t="shared" si="19"/>
        <v/>
      </c>
      <c r="AH108" s="186" t="str">
        <f t="shared" si="20"/>
        <v/>
      </c>
      <c r="AI108" s="185"/>
      <c r="AJ108" s="188"/>
    </row>
    <row r="109" spans="2:36" ht="30" customHeight="1" x14ac:dyDescent="0.3">
      <c r="B109" s="562"/>
      <c r="C109" s="563"/>
      <c r="D109" s="425"/>
      <c r="E109" s="250" t="str">
        <f t="shared" si="21"/>
        <v/>
      </c>
      <c r="F109" s="556"/>
      <c r="G109" s="252" t="str">
        <f>IFERROR(VLOOKUP(F109,'Data (hidden)'!N:O,2,FALSE),"")</f>
        <v/>
      </c>
      <c r="H109" s="557"/>
      <c r="I109" s="558"/>
      <c r="J109" s="123">
        <f t="shared" si="17"/>
        <v>0</v>
      </c>
      <c r="K109" s="123" t="e">
        <f t="shared" si="18"/>
        <v>#VALUE!</v>
      </c>
      <c r="L109" s="123">
        <f t="shared" si="14"/>
        <v>0</v>
      </c>
      <c r="M109" s="124" t="str">
        <f t="shared" si="15"/>
        <v/>
      </c>
      <c r="N109" s="100" t="s">
        <v>469</v>
      </c>
      <c r="O109" s="100">
        <f t="shared" si="8"/>
        <v>0</v>
      </c>
      <c r="P109" s="101">
        <f t="shared" si="9"/>
        <v>0</v>
      </c>
      <c r="Q109" s="101">
        <f t="shared" si="10"/>
        <v>0</v>
      </c>
      <c r="R109" s="102">
        <f t="shared" si="11"/>
        <v>0</v>
      </c>
      <c r="S109" s="102">
        <f t="shared" si="12"/>
        <v>0</v>
      </c>
      <c r="T109" s="102">
        <f t="shared" si="13"/>
        <v>0</v>
      </c>
      <c r="U109" s="107"/>
      <c r="V109" s="108"/>
      <c r="W109" s="105"/>
      <c r="X109" s="109"/>
      <c r="Y109" s="110"/>
      <c r="Z109" s="106"/>
      <c r="AA109" s="106"/>
      <c r="AB109" s="111"/>
      <c r="AE109" s="187"/>
      <c r="AF109" s="185"/>
      <c r="AG109" s="185" t="str">
        <f t="shared" si="19"/>
        <v/>
      </c>
      <c r="AH109" s="186" t="str">
        <f t="shared" si="20"/>
        <v/>
      </c>
      <c r="AI109" s="185"/>
      <c r="AJ109" s="188"/>
    </row>
    <row r="110" spans="2:36" ht="30" customHeight="1" x14ac:dyDescent="0.3">
      <c r="B110" s="562"/>
      <c r="C110" s="563"/>
      <c r="D110" s="425"/>
      <c r="E110" s="250" t="str">
        <f t="shared" si="21"/>
        <v/>
      </c>
      <c r="F110" s="556"/>
      <c r="G110" s="252" t="str">
        <f>IFERROR(VLOOKUP(F110,'Data (hidden)'!N:O,2,FALSE),"")</f>
        <v/>
      </c>
      <c r="H110" s="557"/>
      <c r="I110" s="558"/>
      <c r="J110" s="123">
        <f t="shared" si="17"/>
        <v>0</v>
      </c>
      <c r="K110" s="123" t="e">
        <f t="shared" si="18"/>
        <v>#VALUE!</v>
      </c>
      <c r="L110" s="123">
        <f t="shared" si="14"/>
        <v>0</v>
      </c>
      <c r="M110" s="124" t="str">
        <f t="shared" si="15"/>
        <v/>
      </c>
      <c r="N110" s="100" t="s">
        <v>470</v>
      </c>
      <c r="O110" s="100">
        <f t="shared" si="8"/>
        <v>0</v>
      </c>
      <c r="P110" s="101">
        <f t="shared" si="9"/>
        <v>0</v>
      </c>
      <c r="Q110" s="101">
        <f t="shared" si="10"/>
        <v>0</v>
      </c>
      <c r="R110" s="102">
        <f t="shared" si="11"/>
        <v>0</v>
      </c>
      <c r="S110" s="102">
        <f t="shared" si="12"/>
        <v>0</v>
      </c>
      <c r="T110" s="102">
        <f t="shared" si="13"/>
        <v>0</v>
      </c>
      <c r="U110" s="107"/>
      <c r="V110" s="108"/>
      <c r="W110" s="105"/>
      <c r="X110" s="109"/>
      <c r="Y110" s="110"/>
      <c r="Z110" s="106"/>
      <c r="AA110" s="106"/>
      <c r="AB110" s="111"/>
      <c r="AE110" s="187"/>
      <c r="AF110" s="185"/>
      <c r="AG110" s="185" t="str">
        <f t="shared" si="19"/>
        <v/>
      </c>
      <c r="AH110" s="186" t="str">
        <f t="shared" si="20"/>
        <v/>
      </c>
      <c r="AI110" s="185"/>
      <c r="AJ110" s="188"/>
    </row>
    <row r="111" spans="2:36" ht="30" customHeight="1" x14ac:dyDescent="0.3">
      <c r="B111" s="562"/>
      <c r="C111" s="563"/>
      <c r="D111" s="425"/>
      <c r="E111" s="250" t="str">
        <f t="shared" si="21"/>
        <v/>
      </c>
      <c r="F111" s="556"/>
      <c r="G111" s="252" t="str">
        <f>IFERROR(VLOOKUP(F111,'Data (hidden)'!N:O,2,FALSE),"")</f>
        <v/>
      </c>
      <c r="H111" s="557"/>
      <c r="I111" s="558"/>
      <c r="J111" s="123">
        <f t="shared" si="17"/>
        <v>0</v>
      </c>
      <c r="K111" s="123" t="e">
        <f t="shared" si="18"/>
        <v>#VALUE!</v>
      </c>
      <c r="L111" s="123">
        <f t="shared" si="14"/>
        <v>0</v>
      </c>
      <c r="M111" s="124" t="str">
        <f t="shared" si="15"/>
        <v/>
      </c>
      <c r="N111" s="100" t="s">
        <v>471</v>
      </c>
      <c r="O111" s="100">
        <f t="shared" si="8"/>
        <v>0</v>
      </c>
      <c r="P111" s="101">
        <f t="shared" si="9"/>
        <v>0</v>
      </c>
      <c r="Q111" s="101">
        <f t="shared" si="10"/>
        <v>0</v>
      </c>
      <c r="R111" s="102">
        <f t="shared" si="11"/>
        <v>0</v>
      </c>
      <c r="S111" s="102">
        <f t="shared" si="12"/>
        <v>0</v>
      </c>
      <c r="T111" s="102">
        <f t="shared" si="13"/>
        <v>0</v>
      </c>
      <c r="U111" s="107"/>
      <c r="V111" s="108"/>
      <c r="W111" s="105"/>
      <c r="X111" s="109"/>
      <c r="Y111" s="110"/>
      <c r="Z111" s="106"/>
      <c r="AA111" s="106"/>
      <c r="AB111" s="111"/>
      <c r="AE111" s="187"/>
      <c r="AF111" s="185"/>
      <c r="AG111" s="185" t="str">
        <f t="shared" si="19"/>
        <v/>
      </c>
      <c r="AH111" s="186" t="str">
        <f t="shared" si="20"/>
        <v/>
      </c>
      <c r="AI111" s="185"/>
      <c r="AJ111" s="188"/>
    </row>
    <row r="112" spans="2:36" ht="30" customHeight="1" x14ac:dyDescent="0.3">
      <c r="B112" s="562"/>
      <c r="C112" s="563"/>
      <c r="D112" s="425"/>
      <c r="E112" s="250" t="str">
        <f t="shared" si="21"/>
        <v/>
      </c>
      <c r="F112" s="556"/>
      <c r="G112" s="252" t="str">
        <f>IFERROR(VLOOKUP(F112,'Data (hidden)'!N:O,2,FALSE),"")</f>
        <v/>
      </c>
      <c r="H112" s="557"/>
      <c r="I112" s="558"/>
      <c r="J112" s="123">
        <f t="shared" si="17"/>
        <v>0</v>
      </c>
      <c r="K112" s="123" t="e">
        <f t="shared" si="18"/>
        <v>#VALUE!</v>
      </c>
      <c r="L112" s="123">
        <f t="shared" si="14"/>
        <v>0</v>
      </c>
      <c r="M112" s="124" t="str">
        <f t="shared" si="15"/>
        <v/>
      </c>
      <c r="N112" s="100" t="s">
        <v>472</v>
      </c>
      <c r="O112" s="100">
        <f t="shared" si="8"/>
        <v>0</v>
      </c>
      <c r="P112" s="101">
        <f t="shared" si="9"/>
        <v>0</v>
      </c>
      <c r="Q112" s="101">
        <f t="shared" si="10"/>
        <v>0</v>
      </c>
      <c r="R112" s="102">
        <f t="shared" si="11"/>
        <v>0</v>
      </c>
      <c r="S112" s="102">
        <f t="shared" si="12"/>
        <v>0</v>
      </c>
      <c r="T112" s="102">
        <f t="shared" si="13"/>
        <v>0</v>
      </c>
      <c r="U112" s="107"/>
      <c r="V112" s="108"/>
      <c r="W112" s="105"/>
      <c r="X112" s="109"/>
      <c r="Y112" s="110"/>
      <c r="Z112" s="106"/>
      <c r="AA112" s="106"/>
      <c r="AB112" s="111"/>
      <c r="AE112" s="187"/>
      <c r="AF112" s="185"/>
      <c r="AG112" s="185" t="str">
        <f t="shared" si="19"/>
        <v/>
      </c>
      <c r="AH112" s="186" t="str">
        <f t="shared" si="20"/>
        <v/>
      </c>
      <c r="AI112" s="185"/>
      <c r="AJ112" s="188"/>
    </row>
    <row r="113" spans="2:16382" ht="30" customHeight="1" x14ac:dyDescent="0.3">
      <c r="B113" s="562"/>
      <c r="C113" s="563"/>
      <c r="D113" s="425"/>
      <c r="E113" s="250" t="str">
        <f t="shared" si="21"/>
        <v/>
      </c>
      <c r="F113" s="556"/>
      <c r="G113" s="252" t="str">
        <f>IFERROR(VLOOKUP(F113,'Data (hidden)'!N:O,2,FALSE),"")</f>
        <v/>
      </c>
      <c r="H113" s="557"/>
      <c r="I113" s="558"/>
      <c r="J113" s="123">
        <f t="shared" si="17"/>
        <v>0</v>
      </c>
      <c r="K113" s="123" t="e">
        <f t="shared" si="18"/>
        <v>#VALUE!</v>
      </c>
      <c r="L113" s="123">
        <f t="shared" si="14"/>
        <v>0</v>
      </c>
      <c r="M113" s="124" t="str">
        <f t="shared" si="15"/>
        <v/>
      </c>
      <c r="N113" s="100" t="s">
        <v>473</v>
      </c>
      <c r="O113" s="100">
        <f t="shared" si="8"/>
        <v>0</v>
      </c>
      <c r="P113" s="101">
        <f t="shared" si="9"/>
        <v>0</v>
      </c>
      <c r="Q113" s="101">
        <f t="shared" si="10"/>
        <v>0</v>
      </c>
      <c r="R113" s="102">
        <f t="shared" si="11"/>
        <v>0</v>
      </c>
      <c r="S113" s="102">
        <f t="shared" si="12"/>
        <v>0</v>
      </c>
      <c r="T113" s="102">
        <f t="shared" si="13"/>
        <v>0</v>
      </c>
      <c r="U113" s="107"/>
      <c r="V113" s="108"/>
      <c r="W113" s="105"/>
      <c r="X113" s="109"/>
      <c r="Y113" s="110"/>
      <c r="Z113" s="106"/>
      <c r="AA113" s="106"/>
      <c r="AB113" s="111"/>
      <c r="AE113" s="187"/>
      <c r="AF113" s="185"/>
      <c r="AG113" s="185" t="str">
        <f t="shared" si="19"/>
        <v/>
      </c>
      <c r="AH113" s="186" t="str">
        <f t="shared" si="20"/>
        <v/>
      </c>
      <c r="AI113" s="185"/>
      <c r="AJ113" s="188"/>
    </row>
    <row r="114" spans="2:16382" ht="30" customHeight="1" x14ac:dyDescent="0.3">
      <c r="B114" s="562"/>
      <c r="C114" s="563"/>
      <c r="D114" s="425"/>
      <c r="E114" s="250" t="str">
        <f t="shared" si="21"/>
        <v/>
      </c>
      <c r="F114" s="556"/>
      <c r="G114" s="252" t="str">
        <f>IFERROR(VLOOKUP(F114,'Data (hidden)'!N:O,2,FALSE),"")</f>
        <v/>
      </c>
      <c r="H114" s="557"/>
      <c r="I114" s="558"/>
      <c r="J114" s="123">
        <f t="shared" si="17"/>
        <v>0</v>
      </c>
      <c r="K114" s="123" t="e">
        <f t="shared" si="18"/>
        <v>#VALUE!</v>
      </c>
      <c r="L114" s="123">
        <f t="shared" si="14"/>
        <v>0</v>
      </c>
      <c r="M114" s="124" t="str">
        <f t="shared" si="15"/>
        <v/>
      </c>
      <c r="N114" s="100" t="s">
        <v>474</v>
      </c>
      <c r="O114" s="100">
        <f t="shared" si="8"/>
        <v>0</v>
      </c>
      <c r="P114" s="101">
        <f t="shared" si="9"/>
        <v>0</v>
      </c>
      <c r="Q114" s="101">
        <f t="shared" si="10"/>
        <v>0</v>
      </c>
      <c r="R114" s="102">
        <f t="shared" si="11"/>
        <v>0</v>
      </c>
      <c r="S114" s="102">
        <f t="shared" si="12"/>
        <v>0</v>
      </c>
      <c r="T114" s="102">
        <f t="shared" si="13"/>
        <v>0</v>
      </c>
      <c r="U114" s="107"/>
      <c r="V114" s="108"/>
      <c r="W114" s="105"/>
      <c r="X114" s="109"/>
      <c r="Y114" s="110"/>
      <c r="Z114" s="106"/>
      <c r="AA114" s="106"/>
      <c r="AB114" s="111"/>
      <c r="AE114" s="187"/>
      <c r="AF114" s="185"/>
      <c r="AG114" s="185" t="str">
        <f t="shared" si="19"/>
        <v/>
      </c>
      <c r="AH114" s="186" t="str">
        <f t="shared" si="20"/>
        <v/>
      </c>
      <c r="AI114" s="185"/>
      <c r="AJ114" s="188"/>
    </row>
    <row r="115" spans="2:16382" ht="30" customHeight="1" x14ac:dyDescent="0.3">
      <c r="B115" s="562"/>
      <c r="C115" s="563"/>
      <c r="D115" s="425"/>
      <c r="E115" s="250" t="str">
        <f t="shared" si="21"/>
        <v/>
      </c>
      <c r="F115" s="556"/>
      <c r="G115" s="252" t="str">
        <f>IFERROR(VLOOKUP(F115,'Data (hidden)'!N:O,2,FALSE),"")</f>
        <v/>
      </c>
      <c r="H115" s="557"/>
      <c r="I115" s="558"/>
      <c r="J115" s="123">
        <f t="shared" si="17"/>
        <v>0</v>
      </c>
      <c r="K115" s="123" t="e">
        <f t="shared" si="18"/>
        <v>#VALUE!</v>
      </c>
      <c r="L115" s="123">
        <f t="shared" si="14"/>
        <v>0</v>
      </c>
      <c r="M115" s="124" t="str">
        <f t="shared" si="15"/>
        <v/>
      </c>
      <c r="N115" s="100" t="s">
        <v>475</v>
      </c>
      <c r="O115" s="100">
        <f t="shared" si="8"/>
        <v>0</v>
      </c>
      <c r="P115" s="101">
        <f t="shared" si="9"/>
        <v>0</v>
      </c>
      <c r="Q115" s="101">
        <f t="shared" si="10"/>
        <v>0</v>
      </c>
      <c r="R115" s="102">
        <f t="shared" si="11"/>
        <v>0</v>
      </c>
      <c r="S115" s="102">
        <f t="shared" si="12"/>
        <v>0</v>
      </c>
      <c r="T115" s="102">
        <f t="shared" si="13"/>
        <v>0</v>
      </c>
      <c r="U115" s="107"/>
      <c r="V115" s="108"/>
      <c r="W115" s="105"/>
      <c r="X115" s="109"/>
      <c r="Y115" s="110"/>
      <c r="Z115" s="106"/>
      <c r="AA115" s="106"/>
      <c r="AB115" s="111"/>
      <c r="AE115" s="187"/>
      <c r="AF115" s="185"/>
      <c r="AG115" s="185" t="str">
        <f t="shared" si="19"/>
        <v/>
      </c>
      <c r="AH115" s="186" t="str">
        <f t="shared" si="20"/>
        <v/>
      </c>
      <c r="AI115" s="185"/>
      <c r="AJ115" s="188"/>
    </row>
    <row r="116" spans="2:16382" ht="30" customHeight="1" x14ac:dyDescent="0.3">
      <c r="B116" s="562"/>
      <c r="C116" s="563"/>
      <c r="D116" s="425"/>
      <c r="E116" s="250" t="str">
        <f t="shared" ref="E116:E179" si="22">IF(SUM(C116-(C116*L116))=0,"",SUM(C116-(C116*L116)))</f>
        <v/>
      </c>
      <c r="F116" s="556"/>
      <c r="G116" s="252" t="str">
        <f>IFERROR(VLOOKUP(F116,'Data (hidden)'!N:O,2,FALSE),"")</f>
        <v/>
      </c>
      <c r="H116" s="557"/>
      <c r="I116" s="558"/>
      <c r="J116" s="123">
        <f t="shared" si="17"/>
        <v>0</v>
      </c>
      <c r="K116" s="123" t="e">
        <f t="shared" si="18"/>
        <v>#VALUE!</v>
      </c>
      <c r="L116" s="123">
        <f t="shared" si="14"/>
        <v>0</v>
      </c>
      <c r="M116" s="124" t="str">
        <f t="shared" si="15"/>
        <v/>
      </c>
      <c r="N116" s="100" t="s">
        <v>476</v>
      </c>
      <c r="O116" s="100">
        <f t="shared" si="8"/>
        <v>0</v>
      </c>
      <c r="P116" s="101">
        <f t="shared" si="9"/>
        <v>0</v>
      </c>
      <c r="Q116" s="101">
        <f t="shared" si="10"/>
        <v>0</v>
      </c>
      <c r="R116" s="102">
        <f t="shared" si="11"/>
        <v>0</v>
      </c>
      <c r="S116" s="102">
        <f t="shared" si="12"/>
        <v>0</v>
      </c>
      <c r="T116" s="102">
        <f t="shared" si="13"/>
        <v>0</v>
      </c>
      <c r="U116" s="107"/>
      <c r="V116" s="108"/>
      <c r="W116" s="105"/>
      <c r="X116" s="109"/>
      <c r="Y116" s="110"/>
      <c r="Z116" s="106"/>
      <c r="AA116" s="106"/>
      <c r="AB116" s="111"/>
      <c r="AE116" s="187"/>
      <c r="AF116" s="185"/>
      <c r="AG116" s="185" t="str">
        <f t="shared" si="19"/>
        <v/>
      </c>
      <c r="AH116" s="186" t="str">
        <f t="shared" si="20"/>
        <v/>
      </c>
      <c r="AI116" s="185"/>
      <c r="AJ116" s="188"/>
    </row>
    <row r="117" spans="2:16382" ht="30" customHeight="1" x14ac:dyDescent="0.3">
      <c r="B117" s="562"/>
      <c r="C117" s="563"/>
      <c r="D117" s="425"/>
      <c r="E117" s="250" t="str">
        <f t="shared" si="22"/>
        <v/>
      </c>
      <c r="F117" s="556"/>
      <c r="G117" s="252" t="str">
        <f>IFERROR(VLOOKUP(F117,'Data (hidden)'!N:O,2,FALSE),"")</f>
        <v/>
      </c>
      <c r="H117" s="557"/>
      <c r="I117" s="558"/>
      <c r="J117" s="123">
        <f t="shared" si="17"/>
        <v>0</v>
      </c>
      <c r="K117" s="123" t="e">
        <f t="shared" si="18"/>
        <v>#VALUE!</v>
      </c>
      <c r="L117" s="123">
        <f t="shared" si="14"/>
        <v>0</v>
      </c>
      <c r="M117" s="124" t="str">
        <f t="shared" si="15"/>
        <v/>
      </c>
      <c r="N117" s="100" t="s">
        <v>477</v>
      </c>
      <c r="O117" s="100">
        <f t="shared" si="8"/>
        <v>0</v>
      </c>
      <c r="P117" s="101">
        <f t="shared" si="9"/>
        <v>0</v>
      </c>
      <c r="Q117" s="101">
        <f t="shared" si="10"/>
        <v>0</v>
      </c>
      <c r="R117" s="102">
        <f t="shared" si="11"/>
        <v>0</v>
      </c>
      <c r="S117" s="102">
        <f t="shared" si="12"/>
        <v>0</v>
      </c>
      <c r="T117" s="102">
        <f t="shared" si="13"/>
        <v>0</v>
      </c>
      <c r="U117" s="107"/>
      <c r="V117" s="108"/>
      <c r="W117" s="105"/>
      <c r="X117" s="109"/>
      <c r="Y117" s="110"/>
      <c r="Z117" s="106"/>
      <c r="AA117" s="106"/>
      <c r="AB117" s="111"/>
      <c r="AE117" s="187"/>
      <c r="AF117" s="185"/>
      <c r="AG117" s="185" t="str">
        <f t="shared" si="19"/>
        <v/>
      </c>
      <c r="AH117" s="186" t="str">
        <f t="shared" si="20"/>
        <v/>
      </c>
      <c r="AI117" s="185"/>
      <c r="AJ117" s="188"/>
    </row>
    <row r="118" spans="2:16382" ht="30" customHeight="1" x14ac:dyDescent="0.3">
      <c r="B118" s="562"/>
      <c r="C118" s="563"/>
      <c r="D118" s="425"/>
      <c r="E118" s="250" t="str">
        <f t="shared" si="22"/>
        <v/>
      </c>
      <c r="F118" s="556"/>
      <c r="G118" s="252" t="str">
        <f>IFERROR(VLOOKUP(F118,'Data (hidden)'!N:O,2,FALSE),"")</f>
        <v/>
      </c>
      <c r="H118" s="557"/>
      <c r="I118" s="558"/>
      <c r="J118" s="123">
        <f t="shared" si="17"/>
        <v>0</v>
      </c>
      <c r="K118" s="123" t="e">
        <f t="shared" si="18"/>
        <v>#VALUE!</v>
      </c>
      <c r="L118" s="123">
        <f t="shared" si="14"/>
        <v>0</v>
      </c>
      <c r="M118" s="124" t="str">
        <f t="shared" si="15"/>
        <v/>
      </c>
      <c r="N118" s="100" t="s">
        <v>478</v>
      </c>
      <c r="O118" s="100">
        <f t="shared" si="8"/>
        <v>0</v>
      </c>
      <c r="P118" s="101">
        <f t="shared" si="9"/>
        <v>0</v>
      </c>
      <c r="Q118" s="101">
        <f t="shared" si="10"/>
        <v>0</v>
      </c>
      <c r="R118" s="102">
        <f t="shared" si="11"/>
        <v>0</v>
      </c>
      <c r="S118" s="102">
        <f t="shared" si="12"/>
        <v>0</v>
      </c>
      <c r="T118" s="102">
        <f t="shared" si="13"/>
        <v>0</v>
      </c>
      <c r="U118" s="107"/>
      <c r="V118" s="108"/>
      <c r="W118" s="105"/>
      <c r="X118" s="109"/>
      <c r="Y118" s="110"/>
      <c r="Z118" s="106"/>
      <c r="AA118" s="106"/>
      <c r="AB118" s="111"/>
      <c r="AE118" s="187"/>
      <c r="AF118" s="185"/>
      <c r="AG118" s="185" t="str">
        <f t="shared" si="19"/>
        <v/>
      </c>
      <c r="AH118" s="186" t="str">
        <f t="shared" si="20"/>
        <v/>
      </c>
      <c r="AI118" s="185"/>
      <c r="AJ118" s="188"/>
    </row>
    <row r="119" spans="2:16382" ht="30" customHeight="1" x14ac:dyDescent="0.3">
      <c r="B119" s="562"/>
      <c r="C119" s="563"/>
      <c r="D119" s="425"/>
      <c r="E119" s="250" t="str">
        <f t="shared" si="22"/>
        <v/>
      </c>
      <c r="F119" s="556"/>
      <c r="G119" s="252" t="str">
        <f>IFERROR(VLOOKUP(F119,'Data (hidden)'!N:O,2,FALSE),"")</f>
        <v/>
      </c>
      <c r="H119" s="557"/>
      <c r="I119" s="558"/>
      <c r="J119" s="123">
        <f t="shared" si="17"/>
        <v>0</v>
      </c>
      <c r="K119" s="123" t="e">
        <f t="shared" si="18"/>
        <v>#VALUE!</v>
      </c>
      <c r="L119" s="123">
        <f t="shared" si="14"/>
        <v>0</v>
      </c>
      <c r="M119" s="124" t="str">
        <f t="shared" si="15"/>
        <v/>
      </c>
      <c r="N119" s="100" t="s">
        <v>479</v>
      </c>
      <c r="O119" s="100">
        <f t="shared" si="8"/>
        <v>0</v>
      </c>
      <c r="P119" s="101">
        <f t="shared" si="9"/>
        <v>0</v>
      </c>
      <c r="Q119" s="101">
        <f t="shared" si="10"/>
        <v>0</v>
      </c>
      <c r="R119" s="102">
        <f t="shared" si="11"/>
        <v>0</v>
      </c>
      <c r="S119" s="102">
        <f t="shared" si="12"/>
        <v>0</v>
      </c>
      <c r="T119" s="102">
        <f t="shared" si="13"/>
        <v>0</v>
      </c>
      <c r="U119" s="107"/>
      <c r="V119" s="108"/>
      <c r="W119" s="105"/>
      <c r="X119" s="109"/>
      <c r="Y119" s="110"/>
      <c r="Z119" s="106"/>
      <c r="AA119" s="106"/>
      <c r="AB119" s="111"/>
      <c r="AE119" s="187"/>
      <c r="AF119" s="185"/>
      <c r="AG119" s="185" t="str">
        <f t="shared" si="19"/>
        <v/>
      </c>
      <c r="AH119" s="186" t="str">
        <f t="shared" si="20"/>
        <v/>
      </c>
      <c r="AI119" s="185"/>
      <c r="AJ119" s="188"/>
    </row>
    <row r="120" spans="2:16382" ht="30" customHeight="1" x14ac:dyDescent="0.3">
      <c r="B120" s="562"/>
      <c r="C120" s="563"/>
      <c r="D120" s="425"/>
      <c r="E120" s="250" t="str">
        <f t="shared" si="22"/>
        <v/>
      </c>
      <c r="F120" s="556"/>
      <c r="G120" s="252" t="str">
        <f>IFERROR(VLOOKUP(F120,'Data (hidden)'!N:O,2,FALSE),"")</f>
        <v/>
      </c>
      <c r="H120" s="557"/>
      <c r="I120" s="558"/>
      <c r="J120" s="123">
        <f t="shared" si="17"/>
        <v>0</v>
      </c>
      <c r="K120" s="123" t="e">
        <f t="shared" si="18"/>
        <v>#VALUE!</v>
      </c>
      <c r="L120" s="123">
        <f t="shared" si="14"/>
        <v>0</v>
      </c>
      <c r="M120" s="124" t="str">
        <f t="shared" si="15"/>
        <v/>
      </c>
      <c r="N120" s="100" t="s">
        <v>480</v>
      </c>
      <c r="O120" s="100">
        <f t="shared" si="8"/>
        <v>0</v>
      </c>
      <c r="P120" s="101">
        <f t="shared" si="9"/>
        <v>0</v>
      </c>
      <c r="Q120" s="101">
        <f t="shared" si="10"/>
        <v>0</v>
      </c>
      <c r="R120" s="102">
        <f t="shared" si="11"/>
        <v>0</v>
      </c>
      <c r="S120" s="102">
        <f t="shared" si="12"/>
        <v>0</v>
      </c>
      <c r="T120" s="102">
        <f t="shared" si="13"/>
        <v>0</v>
      </c>
      <c r="U120" s="107"/>
      <c r="V120" s="108"/>
      <c r="W120" s="105"/>
      <c r="X120" s="109"/>
      <c r="Y120" s="110"/>
      <c r="Z120" s="106"/>
      <c r="AA120" s="106"/>
      <c r="AB120" s="111"/>
      <c r="AE120" s="187"/>
      <c r="AF120" s="185"/>
      <c r="AG120" s="185" t="str">
        <f t="shared" si="19"/>
        <v/>
      </c>
      <c r="AH120" s="186" t="str">
        <f t="shared" si="20"/>
        <v/>
      </c>
      <c r="AI120" s="185"/>
      <c r="AJ120" s="188"/>
    </row>
    <row r="121" spans="2:16382" ht="30" customHeight="1" x14ac:dyDescent="0.3">
      <c r="B121" s="562"/>
      <c r="C121" s="563"/>
      <c r="D121" s="425"/>
      <c r="E121" s="250" t="str">
        <f t="shared" si="22"/>
        <v/>
      </c>
      <c r="F121" s="556"/>
      <c r="G121" s="252" t="str">
        <f>IFERROR(VLOOKUP(F121,'Data (hidden)'!N:O,2,FALSE),"")</f>
        <v/>
      </c>
      <c r="H121" s="557"/>
      <c r="I121" s="558"/>
      <c r="J121" s="123">
        <f t="shared" si="17"/>
        <v>0</v>
      </c>
      <c r="K121" s="123" t="e">
        <f t="shared" si="18"/>
        <v>#VALUE!</v>
      </c>
      <c r="L121" s="123">
        <f t="shared" si="14"/>
        <v>0</v>
      </c>
      <c r="M121" s="124" t="str">
        <f t="shared" si="15"/>
        <v/>
      </c>
      <c r="N121" s="100" t="s">
        <v>481</v>
      </c>
      <c r="O121" s="100">
        <f t="shared" si="8"/>
        <v>0</v>
      </c>
      <c r="P121" s="101">
        <f t="shared" si="9"/>
        <v>0</v>
      </c>
      <c r="Q121" s="101">
        <f t="shared" si="10"/>
        <v>0</v>
      </c>
      <c r="R121" s="102">
        <f t="shared" si="11"/>
        <v>0</v>
      </c>
      <c r="S121" s="102">
        <f t="shared" si="12"/>
        <v>0</v>
      </c>
      <c r="T121" s="102">
        <f t="shared" si="13"/>
        <v>0</v>
      </c>
      <c r="U121" s="107"/>
      <c r="V121" s="108"/>
      <c r="W121" s="105"/>
      <c r="X121" s="109"/>
      <c r="Y121" s="110"/>
      <c r="Z121" s="106"/>
      <c r="AA121" s="106"/>
      <c r="AB121" s="111"/>
      <c r="AE121" s="187"/>
      <c r="AF121" s="185"/>
      <c r="AG121" s="185" t="str">
        <f t="shared" si="19"/>
        <v/>
      </c>
      <c r="AH121" s="186" t="str">
        <f t="shared" si="20"/>
        <v/>
      </c>
      <c r="AI121" s="185"/>
      <c r="AJ121" s="188"/>
    </row>
    <row r="122" spans="2:16382" ht="30" customHeight="1" x14ac:dyDescent="0.3">
      <c r="B122" s="562"/>
      <c r="C122" s="563"/>
      <c r="D122" s="425"/>
      <c r="E122" s="250" t="str">
        <f t="shared" si="22"/>
        <v/>
      </c>
      <c r="F122" s="556"/>
      <c r="G122" s="252" t="str">
        <f>IFERROR(VLOOKUP(F122,'Data (hidden)'!N:O,2,FALSE),"")</f>
        <v/>
      </c>
      <c r="H122" s="557"/>
      <c r="I122" s="558"/>
      <c r="J122" s="123">
        <f t="shared" si="17"/>
        <v>0</v>
      </c>
      <c r="K122" s="123" t="e">
        <f t="shared" si="18"/>
        <v>#VALUE!</v>
      </c>
      <c r="L122" s="123">
        <f t="shared" si="14"/>
        <v>0</v>
      </c>
      <c r="M122" s="124" t="str">
        <f t="shared" si="15"/>
        <v/>
      </c>
      <c r="N122" s="100" t="s">
        <v>482</v>
      </c>
      <c r="O122" s="100">
        <f t="shared" ref="O122:O127" si="23">SUMIFS($J$19:$J$650,$G$19:$G$650,"native broadleaf",$B$19:$B$650,"40")</f>
        <v>0</v>
      </c>
      <c r="P122" s="101">
        <f t="shared" ref="P122:P127" si="24">SUMIFS($J$19:$J$650,$G$19:$G$650,"Non-Native Broadleaf",$B$19:$B$650,"40")</f>
        <v>0</v>
      </c>
      <c r="Q122" s="101">
        <f t="shared" ref="Q122:Q127" si="25">SUMIFS($J$19:$J$650,$G$19:$G$650,"Naturalised Broadleaf",$B$19:$B$650,"40")</f>
        <v>0</v>
      </c>
      <c r="R122" s="102">
        <f t="shared" ref="R122:R127" si="26">SUMIFS($J$19:$J$650,$G$19:$G$650,"Native Conifer",$B$19:$B$650,"40")</f>
        <v>0</v>
      </c>
      <c r="S122" s="102">
        <f t="shared" ref="S122:S127" si="27">SUMIFS($J$19:$J$650,$G$19:$G$650,"Non-Native Conifer",$B$19:$B$650,"40")</f>
        <v>0</v>
      </c>
      <c r="T122" s="102">
        <f t="shared" ref="T122:T127" si="28">SUMIFS($J$19:$J$650,$G$19:$G$650,"Naturalised Conifer",$B$19:$B$650,"40")</f>
        <v>0</v>
      </c>
      <c r="U122" s="107"/>
      <c r="V122" s="108"/>
      <c r="W122" s="105"/>
      <c r="X122" s="109"/>
      <c r="Y122" s="110"/>
      <c r="Z122" s="106"/>
      <c r="AA122" s="106"/>
      <c r="AB122" s="111"/>
      <c r="AE122" s="187"/>
      <c r="AF122" s="185"/>
      <c r="AG122" s="185" t="str">
        <f t="shared" si="19"/>
        <v/>
      </c>
      <c r="AH122" s="186" t="str">
        <f t="shared" si="20"/>
        <v/>
      </c>
      <c r="AI122" s="185"/>
      <c r="AJ122" s="188"/>
    </row>
    <row r="123" spans="2:16382" ht="30" customHeight="1" x14ac:dyDescent="0.3">
      <c r="B123" s="562"/>
      <c r="C123" s="563"/>
      <c r="D123" s="425"/>
      <c r="E123" s="250" t="str">
        <f t="shared" si="22"/>
        <v/>
      </c>
      <c r="F123" s="556"/>
      <c r="G123" s="252" t="str">
        <f>IFERROR(VLOOKUP(F123,'Data (hidden)'!N:O,2,FALSE),"")</f>
        <v/>
      </c>
      <c r="H123" s="557"/>
      <c r="I123" s="558"/>
      <c r="J123" s="123">
        <f t="shared" si="17"/>
        <v>0</v>
      </c>
      <c r="K123" s="123" t="e">
        <f t="shared" si="18"/>
        <v>#VALUE!</v>
      </c>
      <c r="L123" s="123">
        <f t="shared" si="14"/>
        <v>0</v>
      </c>
      <c r="M123" s="124" t="str">
        <f t="shared" si="15"/>
        <v/>
      </c>
      <c r="N123" s="100" t="s">
        <v>483</v>
      </c>
      <c r="O123" s="100">
        <f t="shared" si="23"/>
        <v>0</v>
      </c>
      <c r="P123" s="101">
        <f t="shared" si="24"/>
        <v>0</v>
      </c>
      <c r="Q123" s="101">
        <f t="shared" si="25"/>
        <v>0</v>
      </c>
      <c r="R123" s="102">
        <f t="shared" si="26"/>
        <v>0</v>
      </c>
      <c r="S123" s="102">
        <f t="shared" si="27"/>
        <v>0</v>
      </c>
      <c r="T123" s="102">
        <f t="shared" si="28"/>
        <v>0</v>
      </c>
      <c r="U123" s="107"/>
      <c r="V123" s="108"/>
      <c r="W123" s="105"/>
      <c r="X123" s="109"/>
      <c r="Y123" s="110"/>
      <c r="Z123" s="106"/>
      <c r="AA123" s="106"/>
      <c r="AB123" s="111"/>
      <c r="AE123" s="187"/>
      <c r="AF123" s="185"/>
      <c r="AG123" s="185" t="str">
        <f t="shared" si="19"/>
        <v/>
      </c>
      <c r="AH123" s="186" t="str">
        <f t="shared" si="20"/>
        <v/>
      </c>
      <c r="AI123" s="185"/>
      <c r="AJ123" s="188"/>
    </row>
    <row r="124" spans="2:16382" ht="30" customHeight="1" x14ac:dyDescent="0.3">
      <c r="B124" s="562"/>
      <c r="C124" s="563"/>
      <c r="D124" s="425"/>
      <c r="E124" s="250" t="str">
        <f t="shared" si="22"/>
        <v/>
      </c>
      <c r="F124" s="556"/>
      <c r="G124" s="252" t="str">
        <f>IFERROR(VLOOKUP(F124,'Data (hidden)'!N:O,2,FALSE),"")</f>
        <v/>
      </c>
      <c r="H124" s="557"/>
      <c r="I124" s="558"/>
      <c r="J124" s="123">
        <f t="shared" si="17"/>
        <v>0</v>
      </c>
      <c r="K124" s="123" t="e">
        <f t="shared" si="18"/>
        <v>#VALUE!</v>
      </c>
      <c r="L124" s="123">
        <f t="shared" si="14"/>
        <v>0</v>
      </c>
      <c r="M124" s="124" t="str">
        <f t="shared" si="15"/>
        <v/>
      </c>
      <c r="N124" s="100" t="s">
        <v>484</v>
      </c>
      <c r="O124" s="100">
        <f t="shared" si="23"/>
        <v>0</v>
      </c>
      <c r="P124" s="101">
        <f t="shared" si="24"/>
        <v>0</v>
      </c>
      <c r="Q124" s="101">
        <f t="shared" si="25"/>
        <v>0</v>
      </c>
      <c r="R124" s="102">
        <f t="shared" si="26"/>
        <v>0</v>
      </c>
      <c r="S124" s="102">
        <f t="shared" si="27"/>
        <v>0</v>
      </c>
      <c r="T124" s="102">
        <f t="shared" si="28"/>
        <v>0</v>
      </c>
      <c r="U124" s="107"/>
      <c r="V124" s="108"/>
      <c r="W124" s="105"/>
      <c r="X124" s="109"/>
      <c r="Y124" s="110"/>
      <c r="Z124" s="106"/>
      <c r="AA124" s="106"/>
      <c r="AB124" s="111"/>
      <c r="AE124" s="187"/>
      <c r="AF124" s="185"/>
      <c r="AG124" s="185" t="str">
        <f t="shared" si="19"/>
        <v/>
      </c>
      <c r="AH124" s="186" t="str">
        <f t="shared" si="20"/>
        <v/>
      </c>
      <c r="AI124" s="185"/>
      <c r="AJ124" s="188"/>
    </row>
    <row r="125" spans="2:16382" ht="30" customHeight="1" x14ac:dyDescent="0.3">
      <c r="B125" s="562"/>
      <c r="C125" s="563"/>
      <c r="D125" s="425"/>
      <c r="E125" s="250" t="str">
        <f t="shared" si="22"/>
        <v/>
      </c>
      <c r="F125" s="556"/>
      <c r="G125" s="252" t="str">
        <f>IFERROR(VLOOKUP(F125,'Data (hidden)'!N:O,2,FALSE),"")</f>
        <v/>
      </c>
      <c r="H125" s="557"/>
      <c r="I125" s="558"/>
      <c r="J125" s="123">
        <f t="shared" si="17"/>
        <v>0</v>
      </c>
      <c r="K125" s="123" t="e">
        <f t="shared" si="18"/>
        <v>#VALUE!</v>
      </c>
      <c r="L125" s="123">
        <f t="shared" si="14"/>
        <v>0</v>
      </c>
      <c r="M125" s="124" t="str">
        <f t="shared" si="15"/>
        <v/>
      </c>
      <c r="N125" s="100" t="s">
        <v>485</v>
      </c>
      <c r="O125" s="100">
        <f t="shared" si="23"/>
        <v>0</v>
      </c>
      <c r="P125" s="101">
        <f t="shared" si="24"/>
        <v>0</v>
      </c>
      <c r="Q125" s="101">
        <f t="shared" si="25"/>
        <v>0</v>
      </c>
      <c r="R125" s="102">
        <f t="shared" si="26"/>
        <v>0</v>
      </c>
      <c r="S125" s="102">
        <f t="shared" si="27"/>
        <v>0</v>
      </c>
      <c r="T125" s="102">
        <f t="shared" si="28"/>
        <v>0</v>
      </c>
      <c r="U125" s="107"/>
      <c r="V125" s="108"/>
      <c r="W125" s="105"/>
      <c r="X125" s="109"/>
      <c r="Y125" s="110"/>
      <c r="Z125" s="106"/>
      <c r="AA125" s="106"/>
      <c r="AB125" s="111"/>
      <c r="AE125" s="187"/>
      <c r="AF125" s="185"/>
      <c r="AG125" s="185" t="str">
        <f t="shared" si="19"/>
        <v/>
      </c>
      <c r="AH125" s="186" t="str">
        <f t="shared" si="20"/>
        <v/>
      </c>
      <c r="AI125" s="185"/>
      <c r="AJ125" s="188"/>
    </row>
    <row r="126" spans="2:16382" ht="30" customHeight="1" x14ac:dyDescent="0.3">
      <c r="B126" s="562"/>
      <c r="C126" s="563"/>
      <c r="D126" s="425"/>
      <c r="E126" s="250" t="str">
        <f t="shared" si="22"/>
        <v/>
      </c>
      <c r="F126" s="556"/>
      <c r="G126" s="252" t="str">
        <f>IFERROR(VLOOKUP(F126,'Data (hidden)'!N:O,2,FALSE),"")</f>
        <v/>
      </c>
      <c r="H126" s="557"/>
      <c r="I126" s="558"/>
      <c r="J126" s="123">
        <f t="shared" si="17"/>
        <v>0</v>
      </c>
      <c r="K126" s="123" t="e">
        <f t="shared" si="18"/>
        <v>#VALUE!</v>
      </c>
      <c r="L126" s="123">
        <f t="shared" si="14"/>
        <v>0</v>
      </c>
      <c r="M126" s="124" t="str">
        <f t="shared" si="15"/>
        <v/>
      </c>
      <c r="N126" s="100" t="s">
        <v>486</v>
      </c>
      <c r="O126" s="100">
        <f t="shared" si="23"/>
        <v>0</v>
      </c>
      <c r="P126" s="101">
        <f t="shared" si="24"/>
        <v>0</v>
      </c>
      <c r="Q126" s="101">
        <f t="shared" si="25"/>
        <v>0</v>
      </c>
      <c r="R126" s="102">
        <f t="shared" si="26"/>
        <v>0</v>
      </c>
      <c r="S126" s="102">
        <f t="shared" si="27"/>
        <v>0</v>
      </c>
      <c r="T126" s="102">
        <f t="shared" si="28"/>
        <v>0</v>
      </c>
      <c r="U126" s="107"/>
      <c r="V126" s="108"/>
      <c r="W126" s="105"/>
      <c r="X126" s="109"/>
      <c r="Y126" s="110"/>
      <c r="Z126" s="106"/>
      <c r="AA126" s="106"/>
      <c r="AB126" s="111"/>
      <c r="AE126" s="187"/>
      <c r="AF126" s="185"/>
      <c r="AG126" s="185" t="str">
        <f t="shared" si="19"/>
        <v/>
      </c>
      <c r="AH126" s="186" t="str">
        <f t="shared" si="20"/>
        <v/>
      </c>
      <c r="AI126" s="185"/>
      <c r="AJ126" s="188"/>
    </row>
    <row r="127" spans="2:16382" ht="30" customHeight="1" x14ac:dyDescent="0.35">
      <c r="B127" s="562"/>
      <c r="C127" s="563"/>
      <c r="D127" s="425"/>
      <c r="E127" s="250" t="str">
        <f t="shared" si="22"/>
        <v/>
      </c>
      <c r="F127" s="556"/>
      <c r="G127" s="252" t="str">
        <f>IFERROR(VLOOKUP(F127,'Data (hidden)'!N:O,2,FALSE),"")</f>
        <v/>
      </c>
      <c r="H127" s="557"/>
      <c r="I127" s="558"/>
      <c r="J127" s="123">
        <f t="shared" si="17"/>
        <v>0</v>
      </c>
      <c r="K127" s="123" t="e">
        <f t="shared" si="18"/>
        <v>#VALUE!</v>
      </c>
      <c r="L127" s="123">
        <f t="shared" si="14"/>
        <v>0</v>
      </c>
      <c r="M127" s="124" t="str">
        <f t="shared" si="15"/>
        <v/>
      </c>
      <c r="N127" s="100" t="s">
        <v>487</v>
      </c>
      <c r="O127" s="100">
        <f t="shared" si="23"/>
        <v>0</v>
      </c>
      <c r="P127" s="101">
        <f t="shared" si="24"/>
        <v>0</v>
      </c>
      <c r="Q127" s="101">
        <f t="shared" si="25"/>
        <v>0</v>
      </c>
      <c r="R127" s="102">
        <f t="shared" si="26"/>
        <v>0</v>
      </c>
      <c r="S127" s="102">
        <f t="shared" si="27"/>
        <v>0</v>
      </c>
      <c r="T127" s="102">
        <f t="shared" si="28"/>
        <v>0</v>
      </c>
      <c r="U127" s="104">
        <f t="shared" si="15"/>
        <v>0</v>
      </c>
      <c r="V127" s="104">
        <f t="shared" si="15"/>
        <v>0</v>
      </c>
      <c r="W127" s="104">
        <f t="shared" si="15"/>
        <v>0</v>
      </c>
      <c r="X127" s="104">
        <f t="shared" si="15"/>
        <v>0</v>
      </c>
      <c r="Y127" s="104">
        <f t="shared" si="15"/>
        <v>0</v>
      </c>
      <c r="Z127" s="104">
        <f t="shared" si="15"/>
        <v>0</v>
      </c>
      <c r="AA127" s="104">
        <f t="shared" si="15"/>
        <v>0</v>
      </c>
      <c r="AB127" s="104">
        <f t="shared" si="15"/>
        <v>0</v>
      </c>
      <c r="AC127"/>
      <c r="AD127"/>
      <c r="AE127" s="559"/>
      <c r="AF127" s="536"/>
      <c r="AG127" s="185" t="str">
        <f t="shared" si="19"/>
        <v/>
      </c>
      <c r="AH127" s="536"/>
      <c r="AI127" s="536"/>
      <c r="AJ127" s="564"/>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c r="IC127"/>
      <c r="ID127"/>
      <c r="IE127"/>
      <c r="IF127"/>
      <c r="IG127"/>
      <c r="IH127"/>
      <c r="II127"/>
      <c r="IJ127"/>
      <c r="IK127"/>
      <c r="IL127"/>
      <c r="IM127"/>
      <c r="IN127"/>
      <c r="IO127"/>
      <c r="IP127"/>
      <c r="IQ127"/>
      <c r="IR127"/>
      <c r="IS127"/>
      <c r="IT127"/>
      <c r="IU127"/>
      <c r="IV127"/>
      <c r="IW127"/>
      <c r="IX127"/>
      <c r="IY127"/>
      <c r="IZ127"/>
      <c r="JA127"/>
      <c r="JB127"/>
      <c r="JC127"/>
      <c r="JD127"/>
      <c r="JE127"/>
      <c r="JF127"/>
      <c r="JG127"/>
      <c r="JH127"/>
      <c r="JI127"/>
      <c r="JJ127"/>
      <c r="JK127"/>
      <c r="JL127"/>
      <c r="JM127"/>
      <c r="JN127"/>
      <c r="JO127"/>
      <c r="JP127"/>
      <c r="JQ127"/>
      <c r="JR127"/>
      <c r="JS127"/>
      <c r="JT127"/>
      <c r="JU127"/>
      <c r="JV127"/>
      <c r="JW127"/>
      <c r="JX127"/>
      <c r="JY127"/>
      <c r="JZ127"/>
      <c r="KA127"/>
      <c r="KB127"/>
      <c r="KC127"/>
      <c r="KD127"/>
      <c r="KE127"/>
      <c r="KF127"/>
      <c r="KG127"/>
      <c r="KH127"/>
      <c r="KI127"/>
      <c r="KJ127"/>
      <c r="KK127"/>
      <c r="KL127"/>
      <c r="KM127"/>
      <c r="KN127"/>
      <c r="KO127"/>
      <c r="KP127"/>
      <c r="KQ127"/>
      <c r="KR127"/>
      <c r="KS127"/>
      <c r="KT127"/>
      <c r="KU127"/>
      <c r="KV127"/>
      <c r="KW127"/>
      <c r="KX127"/>
      <c r="KY127"/>
      <c r="KZ127"/>
      <c r="LA127"/>
      <c r="LB127"/>
      <c r="LC127"/>
      <c r="LD127"/>
      <c r="LE127"/>
      <c r="LF127"/>
      <c r="LG127"/>
      <c r="LH127"/>
      <c r="LI127"/>
      <c r="LJ127"/>
      <c r="LK127"/>
      <c r="LL127"/>
      <c r="LM127"/>
      <c r="LN127"/>
      <c r="LO127"/>
      <c r="LP127"/>
      <c r="LQ127"/>
      <c r="LR127"/>
      <c r="LS127"/>
      <c r="LT127"/>
      <c r="LU127"/>
      <c r="LV127"/>
      <c r="LW127"/>
      <c r="LX127"/>
      <c r="LY127"/>
      <c r="LZ127"/>
      <c r="MA127"/>
      <c r="MB127"/>
      <c r="MC127"/>
      <c r="MD127"/>
      <c r="ME127"/>
      <c r="MF127"/>
      <c r="MG127"/>
      <c r="MH127"/>
      <c r="MI127"/>
      <c r="MJ127"/>
      <c r="MK127"/>
      <c r="ML127"/>
      <c r="MM127"/>
      <c r="MN127"/>
      <c r="MO127"/>
      <c r="MP127"/>
      <c r="MQ127"/>
      <c r="MR127"/>
      <c r="MS127"/>
      <c r="MT127"/>
      <c r="MU127"/>
      <c r="MV127"/>
      <c r="MW127"/>
      <c r="MX127"/>
      <c r="MY127"/>
      <c r="MZ127"/>
      <c r="NA127"/>
      <c r="NB127"/>
      <c r="NC127"/>
      <c r="ND127"/>
      <c r="NE127"/>
      <c r="NF127"/>
      <c r="NG127"/>
      <c r="NH127"/>
      <c r="NI127"/>
      <c r="NJ127"/>
      <c r="NK127"/>
      <c r="NL127"/>
      <c r="NM127"/>
      <c r="NN127"/>
      <c r="NO127"/>
      <c r="NP127"/>
      <c r="NQ127"/>
      <c r="NR127"/>
      <c r="NS127"/>
      <c r="NT127"/>
      <c r="NU127"/>
      <c r="NV127"/>
      <c r="NW127"/>
      <c r="NX127"/>
      <c r="NY127"/>
      <c r="NZ127"/>
      <c r="OA127"/>
      <c r="OB127"/>
      <c r="OC127"/>
      <c r="OD127"/>
      <c r="OE127"/>
      <c r="OF127"/>
      <c r="OG127"/>
      <c r="OH127"/>
      <c r="OI127"/>
      <c r="OJ127"/>
      <c r="OK127"/>
      <c r="OL127"/>
      <c r="OM127"/>
      <c r="ON127"/>
      <c r="OO127"/>
      <c r="OP127"/>
      <c r="OQ127"/>
      <c r="OR127"/>
      <c r="OS127"/>
      <c r="OT127"/>
      <c r="OU127"/>
      <c r="OV127"/>
      <c r="OW127"/>
      <c r="OX127"/>
      <c r="OY127"/>
      <c r="OZ127"/>
      <c r="PA127"/>
      <c r="PB127"/>
      <c r="PC127"/>
      <c r="PD127"/>
      <c r="PE127"/>
      <c r="PF127"/>
      <c r="PG127"/>
      <c r="PH127"/>
      <c r="PI127"/>
      <c r="PJ127"/>
      <c r="PK127"/>
      <c r="PL127"/>
      <c r="PM127"/>
      <c r="PN127"/>
      <c r="PO127"/>
      <c r="PP127"/>
      <c r="PQ127"/>
      <c r="PR127"/>
      <c r="PS127"/>
      <c r="PT127"/>
      <c r="PU127"/>
      <c r="PV127"/>
      <c r="PW127"/>
      <c r="PX127"/>
      <c r="PY127"/>
      <c r="PZ127"/>
      <c r="QA127"/>
      <c r="QB127"/>
      <c r="QC127"/>
      <c r="QD127"/>
      <c r="QE127"/>
      <c r="QF127"/>
      <c r="QG127"/>
      <c r="QH127"/>
      <c r="QI127"/>
      <c r="QJ127"/>
      <c r="QK127"/>
      <c r="QL127"/>
      <c r="QM127"/>
      <c r="QN127"/>
      <c r="QO127"/>
      <c r="QP127"/>
      <c r="QQ127"/>
      <c r="QR127"/>
      <c r="QS127"/>
      <c r="QT127"/>
      <c r="QU127"/>
      <c r="QV127"/>
      <c r="QW127"/>
      <c r="QX127"/>
      <c r="QY127"/>
      <c r="QZ127"/>
      <c r="RA127"/>
      <c r="RB127"/>
      <c r="RC127"/>
      <c r="RD127"/>
      <c r="RE127"/>
      <c r="RF127"/>
      <c r="RG127"/>
      <c r="RH127"/>
      <c r="RI127"/>
      <c r="RJ127"/>
      <c r="RK127"/>
      <c r="RL127"/>
      <c r="RM127"/>
      <c r="RN127"/>
      <c r="RO127"/>
      <c r="RP127"/>
      <c r="RQ127"/>
      <c r="RR127"/>
      <c r="RS127"/>
      <c r="RT127"/>
      <c r="RU127"/>
      <c r="RV127"/>
      <c r="RW127"/>
      <c r="RX127"/>
      <c r="RY127"/>
      <c r="RZ127"/>
      <c r="SA127"/>
      <c r="SB127"/>
      <c r="SC127"/>
      <c r="SD127"/>
      <c r="SE127"/>
      <c r="SF127"/>
      <c r="SG127"/>
      <c r="SH127"/>
      <c r="SI127"/>
      <c r="SJ127"/>
      <c r="SK127"/>
      <c r="SL127"/>
      <c r="SM127"/>
      <c r="SN127"/>
      <c r="SO127"/>
      <c r="SP127"/>
      <c r="SQ127"/>
      <c r="SR127"/>
      <c r="SS127"/>
      <c r="ST127"/>
      <c r="SU127"/>
      <c r="SV127"/>
      <c r="SW127"/>
      <c r="SX127"/>
      <c r="SY127"/>
      <c r="SZ127"/>
      <c r="TA127"/>
      <c r="TB127"/>
      <c r="TC127"/>
      <c r="TD127"/>
      <c r="TE127"/>
      <c r="TF127"/>
      <c r="TG127"/>
      <c r="TH127"/>
      <c r="TI127"/>
      <c r="TJ127"/>
      <c r="TK127"/>
      <c r="TL127"/>
      <c r="TM127"/>
      <c r="TN127"/>
      <c r="TO127"/>
      <c r="TP127"/>
      <c r="TQ127"/>
      <c r="TR127"/>
      <c r="TS127"/>
      <c r="TT127"/>
      <c r="TU127"/>
      <c r="TV127"/>
      <c r="TW127"/>
      <c r="TX127"/>
      <c r="TY127"/>
      <c r="TZ127"/>
      <c r="UA127"/>
      <c r="UB127"/>
      <c r="UC127"/>
      <c r="UD127"/>
      <c r="UE127"/>
      <c r="UF127"/>
      <c r="UG127"/>
      <c r="UH127"/>
      <c r="UI127"/>
      <c r="UJ127"/>
      <c r="UK127"/>
      <c r="UL127"/>
      <c r="UM127"/>
      <c r="UN127"/>
      <c r="UO127"/>
      <c r="UP127"/>
      <c r="UQ127"/>
      <c r="UR127"/>
      <c r="US127"/>
      <c r="UT127"/>
      <c r="UU127"/>
      <c r="UV127"/>
      <c r="UW127"/>
      <c r="UX127"/>
      <c r="UY127"/>
      <c r="UZ127"/>
      <c r="VA127"/>
      <c r="VB127"/>
      <c r="VC127"/>
      <c r="VD127"/>
      <c r="VE127"/>
      <c r="VF127"/>
      <c r="VG127"/>
      <c r="VH127"/>
      <c r="VI127"/>
      <c r="VJ127"/>
      <c r="VK127"/>
      <c r="VL127"/>
      <c r="VM127"/>
      <c r="VN127"/>
      <c r="VO127"/>
      <c r="VP127"/>
      <c r="VQ127"/>
      <c r="VR127"/>
      <c r="VS127"/>
      <c r="VT127"/>
      <c r="VU127"/>
      <c r="VV127"/>
      <c r="VW127"/>
      <c r="VX127"/>
      <c r="VY127"/>
      <c r="VZ127"/>
      <c r="WA127"/>
      <c r="WB127"/>
      <c r="WC127"/>
      <c r="WD127"/>
      <c r="WE127"/>
      <c r="WF127"/>
      <c r="WG127"/>
      <c r="WH127"/>
      <c r="WI127"/>
      <c r="WJ127"/>
      <c r="WK127"/>
      <c r="WL127"/>
      <c r="WM127"/>
      <c r="WN127"/>
      <c r="WO127"/>
      <c r="WP127"/>
      <c r="WQ127"/>
      <c r="WR127"/>
      <c r="WS127"/>
      <c r="WT127"/>
      <c r="WU127"/>
      <c r="WV127"/>
      <c r="WW127"/>
      <c r="WX127"/>
      <c r="WY127"/>
      <c r="WZ127"/>
      <c r="XA127"/>
      <c r="XB127"/>
      <c r="XC127"/>
      <c r="XD127"/>
      <c r="XE127"/>
      <c r="XF127"/>
      <c r="XG127"/>
      <c r="XH127"/>
      <c r="XI127"/>
      <c r="XJ127"/>
      <c r="XK127"/>
      <c r="XL127"/>
      <c r="XM127"/>
      <c r="XN127"/>
      <c r="XO127"/>
      <c r="XP127"/>
      <c r="XQ127"/>
      <c r="XR127"/>
      <c r="XS127"/>
      <c r="XT127"/>
      <c r="XU127"/>
      <c r="XV127"/>
      <c r="XW127"/>
      <c r="XX127"/>
      <c r="XY127"/>
      <c r="XZ127"/>
      <c r="YA127"/>
      <c r="YB127"/>
      <c r="YC127"/>
      <c r="YD127"/>
      <c r="YE127"/>
      <c r="YF127"/>
      <c r="YG127"/>
      <c r="YH127"/>
      <c r="YI127"/>
      <c r="YJ127"/>
      <c r="YK127"/>
      <c r="YL127"/>
      <c r="YM127"/>
      <c r="YN127"/>
      <c r="YO127"/>
      <c r="YP127"/>
      <c r="YQ127"/>
      <c r="YR127"/>
      <c r="YS127"/>
      <c r="YT127"/>
      <c r="YU127"/>
      <c r="YV127"/>
      <c r="YW127"/>
      <c r="YX127"/>
      <c r="YY127"/>
      <c r="YZ127"/>
      <c r="ZA127"/>
      <c r="ZB127"/>
      <c r="ZC127"/>
      <c r="ZD127"/>
      <c r="ZE127"/>
      <c r="ZF127"/>
      <c r="ZG127"/>
      <c r="ZH127"/>
      <c r="ZI127"/>
      <c r="ZJ127"/>
      <c r="ZK127"/>
      <c r="ZL127"/>
      <c r="ZM127"/>
      <c r="ZN127"/>
      <c r="ZO127"/>
      <c r="ZP127"/>
      <c r="ZQ127"/>
      <c r="ZR127"/>
      <c r="ZS127"/>
      <c r="ZT127"/>
      <c r="ZU127"/>
      <c r="ZV127"/>
      <c r="ZW127"/>
      <c r="ZX127"/>
      <c r="ZY127"/>
      <c r="ZZ127"/>
      <c r="AAA127"/>
      <c r="AAB127"/>
      <c r="AAC127"/>
      <c r="AAD127"/>
      <c r="AAE127"/>
      <c r="AAF127"/>
      <c r="AAG127"/>
      <c r="AAH127"/>
      <c r="AAI127"/>
      <c r="AAJ127"/>
      <c r="AAK127"/>
      <c r="AAL127"/>
      <c r="AAM127"/>
      <c r="AAN127"/>
      <c r="AAO127"/>
      <c r="AAP127"/>
      <c r="AAQ127"/>
      <c r="AAR127"/>
      <c r="AAS127"/>
      <c r="AAT127"/>
      <c r="AAU127"/>
      <c r="AAV127"/>
      <c r="AAW127"/>
      <c r="AAX127"/>
      <c r="AAY127"/>
      <c r="AAZ127"/>
      <c r="ABA127"/>
      <c r="ABB127"/>
      <c r="ABC127"/>
      <c r="ABD127"/>
      <c r="ABE127"/>
      <c r="ABF127"/>
      <c r="ABG127"/>
      <c r="ABH127"/>
      <c r="ABI127"/>
      <c r="ABJ127"/>
      <c r="ABK127"/>
      <c r="ABL127"/>
      <c r="ABM127"/>
      <c r="ABN127"/>
      <c r="ABO127"/>
      <c r="ABP127"/>
      <c r="ABQ127"/>
      <c r="ABR127"/>
      <c r="ABS127"/>
      <c r="ABT127"/>
      <c r="ABU127"/>
      <c r="ABV127"/>
      <c r="ABW127"/>
      <c r="ABX127"/>
      <c r="ABY127"/>
      <c r="ABZ127"/>
      <c r="ACA127"/>
      <c r="ACB127"/>
      <c r="ACC127"/>
      <c r="ACD127"/>
      <c r="ACE127"/>
      <c r="ACF127"/>
      <c r="ACG127"/>
      <c r="ACH127"/>
      <c r="ACI127"/>
      <c r="ACJ127"/>
      <c r="ACK127"/>
      <c r="ACL127"/>
      <c r="ACM127"/>
      <c r="ACN127"/>
      <c r="ACO127"/>
      <c r="ACP127"/>
      <c r="ACQ127"/>
      <c r="ACR127"/>
      <c r="ACS127"/>
      <c r="ACT127"/>
      <c r="ACU127"/>
      <c r="ACV127"/>
      <c r="ACW127"/>
      <c r="ACX127"/>
      <c r="ACY127"/>
      <c r="ACZ127"/>
      <c r="ADA127"/>
      <c r="ADB127"/>
      <c r="ADC127"/>
      <c r="ADD127"/>
      <c r="ADE127"/>
      <c r="ADF127"/>
      <c r="ADG127"/>
      <c r="ADH127"/>
      <c r="ADI127"/>
      <c r="ADJ127"/>
      <c r="ADK127"/>
      <c r="ADL127"/>
      <c r="ADM127"/>
      <c r="ADN127"/>
      <c r="ADO127"/>
      <c r="ADP127"/>
      <c r="ADQ127"/>
      <c r="ADR127"/>
      <c r="ADS127"/>
      <c r="ADT127"/>
      <c r="ADU127"/>
      <c r="ADV127"/>
      <c r="ADW127"/>
      <c r="ADX127"/>
      <c r="ADY127"/>
      <c r="ADZ127"/>
      <c r="AEA127"/>
      <c r="AEB127"/>
      <c r="AEC127"/>
      <c r="AED127"/>
      <c r="AEE127"/>
      <c r="AEF127"/>
      <c r="AEG127"/>
      <c r="AEH127"/>
      <c r="AEI127"/>
      <c r="AEJ127"/>
      <c r="AEK127"/>
      <c r="AEL127"/>
      <c r="AEM127"/>
      <c r="AEN127"/>
      <c r="AEO127"/>
      <c r="AEP127"/>
      <c r="AEQ127"/>
      <c r="AER127"/>
      <c r="AES127"/>
      <c r="AET127"/>
      <c r="AEU127"/>
      <c r="AEV127"/>
      <c r="AEW127"/>
      <c r="AEX127"/>
      <c r="AEY127"/>
      <c r="AEZ127"/>
      <c r="AFA127"/>
      <c r="AFB127"/>
      <c r="AFC127"/>
      <c r="AFD127"/>
      <c r="AFE127"/>
      <c r="AFF127"/>
      <c r="AFG127"/>
      <c r="AFH127"/>
      <c r="AFI127"/>
      <c r="AFJ127"/>
      <c r="AFK127"/>
      <c r="AFL127"/>
      <c r="AFM127"/>
      <c r="AFN127"/>
      <c r="AFO127"/>
      <c r="AFP127"/>
      <c r="AFQ127"/>
      <c r="AFR127"/>
      <c r="AFS127"/>
      <c r="AFT127"/>
      <c r="AFU127"/>
      <c r="AFV127"/>
      <c r="AFW127"/>
      <c r="AFX127"/>
      <c r="AFY127"/>
      <c r="AFZ127"/>
      <c r="AGA127"/>
      <c r="AGB127"/>
      <c r="AGC127"/>
      <c r="AGD127"/>
      <c r="AGE127"/>
      <c r="AGF127"/>
      <c r="AGG127"/>
      <c r="AGH127"/>
      <c r="AGI127"/>
      <c r="AGJ127"/>
      <c r="AGK127"/>
      <c r="AGL127"/>
      <c r="AGM127"/>
      <c r="AGN127"/>
      <c r="AGO127"/>
      <c r="AGP127"/>
      <c r="AGQ127"/>
      <c r="AGR127"/>
      <c r="AGS127"/>
      <c r="AGT127"/>
      <c r="AGU127"/>
      <c r="AGV127"/>
      <c r="AGW127"/>
      <c r="AGX127"/>
      <c r="AGY127"/>
      <c r="AGZ127"/>
      <c r="AHA127"/>
      <c r="AHB127"/>
      <c r="AHC127"/>
      <c r="AHD127"/>
      <c r="AHE127"/>
      <c r="AHF127"/>
      <c r="AHG127"/>
      <c r="AHH127"/>
      <c r="AHI127"/>
      <c r="AHJ127"/>
      <c r="AHK127"/>
      <c r="AHL127"/>
      <c r="AHM127"/>
      <c r="AHN127"/>
      <c r="AHO127"/>
      <c r="AHP127"/>
      <c r="AHQ127"/>
      <c r="AHR127"/>
      <c r="AHS127"/>
      <c r="AHT127"/>
      <c r="AHU127"/>
      <c r="AHV127"/>
      <c r="AHW127"/>
      <c r="AHX127"/>
      <c r="AHY127"/>
      <c r="AHZ127"/>
      <c r="AIA127"/>
      <c r="AIB127"/>
      <c r="AIC127"/>
      <c r="AID127"/>
      <c r="AIE127"/>
      <c r="AIF127"/>
      <c r="AIG127"/>
      <c r="AIH127"/>
      <c r="AII127"/>
      <c r="AIJ127"/>
      <c r="AIK127"/>
      <c r="AIL127"/>
      <c r="AIM127"/>
      <c r="AIN127"/>
      <c r="AIO127"/>
      <c r="AIP127"/>
      <c r="AIQ127"/>
      <c r="AIR127"/>
      <c r="AIS127"/>
      <c r="AIT127"/>
      <c r="AIU127"/>
      <c r="AIV127"/>
      <c r="AIW127"/>
      <c r="AIX127"/>
      <c r="AIY127"/>
      <c r="AIZ127"/>
      <c r="AJA127"/>
      <c r="AJB127"/>
      <c r="AJC127"/>
      <c r="AJD127"/>
      <c r="AJE127"/>
      <c r="AJF127"/>
      <c r="AJG127"/>
      <c r="AJH127"/>
      <c r="AJI127"/>
      <c r="AJJ127"/>
      <c r="AJK127"/>
      <c r="AJL127"/>
      <c r="AJM127"/>
      <c r="AJN127"/>
      <c r="AJO127"/>
      <c r="AJP127"/>
      <c r="AJQ127"/>
      <c r="AJR127"/>
      <c r="AJS127"/>
      <c r="AJT127"/>
      <c r="AJU127"/>
      <c r="AJV127"/>
      <c r="AJW127"/>
      <c r="AJX127"/>
      <c r="AJY127"/>
      <c r="AJZ127"/>
      <c r="AKA127"/>
      <c r="AKB127"/>
      <c r="AKC127"/>
      <c r="AKD127"/>
      <c r="AKE127"/>
      <c r="AKF127"/>
      <c r="AKG127"/>
      <c r="AKH127"/>
      <c r="AKI127"/>
      <c r="AKJ127"/>
      <c r="AKK127"/>
      <c r="AKL127"/>
      <c r="AKM127"/>
      <c r="AKN127"/>
      <c r="AKO127"/>
      <c r="AKP127"/>
      <c r="AKQ127"/>
      <c r="AKR127"/>
      <c r="AKS127"/>
      <c r="AKT127"/>
      <c r="AKU127"/>
      <c r="AKV127"/>
      <c r="AKW127"/>
      <c r="AKX127"/>
      <c r="AKY127"/>
      <c r="AKZ127"/>
      <c r="ALA127"/>
      <c r="ALB127"/>
      <c r="ALC127"/>
      <c r="ALD127"/>
      <c r="ALE127"/>
      <c r="ALF127"/>
      <c r="ALG127"/>
      <c r="ALH127"/>
      <c r="ALI127"/>
      <c r="ALJ127"/>
      <c r="ALK127"/>
      <c r="ALL127"/>
      <c r="ALM127"/>
      <c r="ALN127"/>
      <c r="ALO127"/>
      <c r="ALP127"/>
      <c r="ALQ127"/>
      <c r="ALR127"/>
      <c r="ALS127"/>
      <c r="ALT127"/>
      <c r="ALU127"/>
      <c r="ALV127"/>
      <c r="ALW127"/>
      <c r="ALX127"/>
      <c r="ALY127"/>
      <c r="ALZ127"/>
      <c r="AMA127"/>
      <c r="AMB127"/>
      <c r="AMC127"/>
      <c r="AMD127"/>
      <c r="AME127"/>
      <c r="AMF127"/>
      <c r="AMG127"/>
      <c r="AMH127"/>
      <c r="AMI127"/>
      <c r="AMJ127"/>
      <c r="AMK127"/>
      <c r="AML127"/>
      <c r="AMM127"/>
      <c r="AMN127"/>
      <c r="AMO127"/>
      <c r="AMP127"/>
      <c r="AMQ127"/>
      <c r="AMR127"/>
      <c r="AMS127"/>
      <c r="AMT127"/>
      <c r="AMU127"/>
      <c r="AMV127"/>
      <c r="AMW127"/>
      <c r="AMX127"/>
      <c r="AMY127"/>
      <c r="AMZ127"/>
      <c r="ANA127"/>
      <c r="ANB127"/>
      <c r="ANC127"/>
      <c r="AND127"/>
      <c r="ANE127"/>
      <c r="ANF127"/>
      <c r="ANG127"/>
      <c r="ANH127"/>
      <c r="ANI127"/>
      <c r="ANJ127"/>
      <c r="ANK127"/>
      <c r="ANL127"/>
      <c r="ANM127"/>
      <c r="ANN127"/>
      <c r="ANO127"/>
      <c r="ANP127"/>
      <c r="ANQ127"/>
      <c r="ANR127"/>
      <c r="ANS127"/>
      <c r="ANT127"/>
      <c r="ANU127"/>
      <c r="ANV127"/>
      <c r="ANW127"/>
      <c r="ANX127"/>
      <c r="ANY127"/>
      <c r="ANZ127"/>
      <c r="AOA127"/>
      <c r="AOB127"/>
      <c r="AOC127"/>
      <c r="AOD127"/>
      <c r="AOE127"/>
      <c r="AOF127"/>
      <c r="AOG127"/>
      <c r="AOH127"/>
      <c r="AOI127"/>
      <c r="AOJ127"/>
      <c r="AOK127"/>
      <c r="AOL127"/>
      <c r="AOM127"/>
      <c r="AON127"/>
      <c r="AOO127"/>
      <c r="AOP127"/>
      <c r="AOQ127"/>
      <c r="AOR127"/>
      <c r="AOS127"/>
      <c r="AOT127"/>
      <c r="AOU127"/>
      <c r="AOV127"/>
      <c r="AOW127"/>
      <c r="AOX127"/>
      <c r="AOY127"/>
      <c r="AOZ127"/>
      <c r="APA127"/>
      <c r="APB127"/>
      <c r="APC127"/>
      <c r="APD127"/>
      <c r="APE127"/>
      <c r="APF127"/>
      <c r="APG127"/>
      <c r="APH127"/>
      <c r="API127"/>
      <c r="APJ127"/>
      <c r="APK127"/>
      <c r="APL127"/>
      <c r="APM127"/>
      <c r="APN127"/>
      <c r="APO127"/>
      <c r="APP127"/>
      <c r="APQ127"/>
      <c r="APR127"/>
      <c r="APS127"/>
      <c r="APT127"/>
      <c r="APU127"/>
      <c r="APV127"/>
      <c r="APW127"/>
      <c r="APX127"/>
      <c r="APY127"/>
      <c r="APZ127"/>
      <c r="AQA127"/>
      <c r="AQB127"/>
      <c r="AQC127"/>
      <c r="AQD127"/>
      <c r="AQE127"/>
      <c r="AQF127"/>
      <c r="AQG127"/>
      <c r="AQH127"/>
      <c r="AQI127"/>
      <c r="AQJ127"/>
      <c r="AQK127"/>
      <c r="AQL127"/>
      <c r="AQM127"/>
      <c r="AQN127"/>
      <c r="AQO127"/>
      <c r="AQP127"/>
      <c r="AQQ127"/>
      <c r="AQR127"/>
      <c r="AQS127"/>
      <c r="AQT127"/>
      <c r="AQU127"/>
      <c r="AQV127"/>
      <c r="AQW127"/>
      <c r="AQX127"/>
      <c r="AQY127"/>
      <c r="AQZ127"/>
      <c r="ARA127"/>
      <c r="ARB127"/>
      <c r="ARC127"/>
      <c r="ARD127"/>
      <c r="ARE127"/>
      <c r="ARF127"/>
      <c r="ARG127"/>
      <c r="ARH127"/>
      <c r="ARI127"/>
      <c r="ARJ127"/>
      <c r="ARK127"/>
      <c r="ARL127"/>
      <c r="ARM127"/>
      <c r="ARN127"/>
      <c r="ARO127"/>
      <c r="ARP127"/>
      <c r="ARQ127"/>
      <c r="ARR127"/>
      <c r="ARS127"/>
      <c r="ART127"/>
      <c r="ARU127"/>
      <c r="ARV127"/>
      <c r="ARW127"/>
      <c r="ARX127"/>
      <c r="ARY127"/>
      <c r="ARZ127"/>
      <c r="ASA127"/>
      <c r="ASB127"/>
      <c r="ASC127"/>
      <c r="ASD127"/>
      <c r="ASE127"/>
      <c r="ASF127"/>
      <c r="ASG127"/>
      <c r="ASH127"/>
      <c r="ASI127"/>
      <c r="ASJ127"/>
      <c r="ASK127"/>
      <c r="ASL127"/>
      <c r="ASM127"/>
      <c r="ASN127"/>
      <c r="ASO127"/>
      <c r="ASP127"/>
      <c r="ASQ127"/>
      <c r="ASR127"/>
      <c r="ASS127"/>
      <c r="AST127"/>
      <c r="ASU127"/>
      <c r="ASV127"/>
      <c r="ASW127"/>
      <c r="ASX127"/>
      <c r="ASY127"/>
      <c r="ASZ127"/>
      <c r="ATA127"/>
      <c r="ATB127"/>
      <c r="ATC127"/>
      <c r="ATD127"/>
      <c r="ATE127"/>
      <c r="ATF127"/>
      <c r="ATG127"/>
      <c r="ATH127"/>
      <c r="ATI127"/>
      <c r="ATJ127"/>
      <c r="ATK127"/>
      <c r="ATL127"/>
      <c r="ATM127"/>
      <c r="ATN127"/>
      <c r="ATO127"/>
      <c r="ATP127"/>
      <c r="ATQ127"/>
      <c r="ATR127"/>
      <c r="ATS127"/>
      <c r="ATT127"/>
      <c r="ATU127"/>
      <c r="ATV127"/>
      <c r="ATW127"/>
      <c r="ATX127"/>
      <c r="ATY127"/>
      <c r="ATZ127"/>
      <c r="AUA127"/>
      <c r="AUB127"/>
      <c r="AUC127"/>
      <c r="AUD127"/>
      <c r="AUE127"/>
      <c r="AUF127"/>
      <c r="AUG127"/>
      <c r="AUH127"/>
      <c r="AUI127"/>
      <c r="AUJ127"/>
      <c r="AUK127"/>
      <c r="AUL127"/>
      <c r="AUM127"/>
      <c r="AUN127"/>
      <c r="AUO127"/>
      <c r="AUP127"/>
      <c r="AUQ127"/>
      <c r="AUR127"/>
      <c r="AUS127"/>
      <c r="AUT127"/>
      <c r="AUU127"/>
      <c r="AUV127"/>
      <c r="AUW127"/>
      <c r="AUX127"/>
      <c r="AUY127"/>
      <c r="AUZ127"/>
      <c r="AVA127"/>
      <c r="AVB127"/>
      <c r="AVC127"/>
      <c r="AVD127"/>
      <c r="AVE127"/>
      <c r="AVF127"/>
      <c r="AVG127"/>
      <c r="AVH127"/>
      <c r="AVI127"/>
      <c r="AVJ127"/>
      <c r="AVK127"/>
      <c r="AVL127"/>
      <c r="AVM127"/>
      <c r="AVN127"/>
      <c r="AVO127"/>
      <c r="AVP127"/>
      <c r="AVQ127"/>
      <c r="AVR127"/>
      <c r="AVS127"/>
      <c r="AVT127"/>
      <c r="AVU127"/>
      <c r="AVV127"/>
      <c r="AVW127"/>
      <c r="AVX127"/>
      <c r="AVY127"/>
      <c r="AVZ127"/>
      <c r="AWA127"/>
      <c r="AWB127"/>
      <c r="AWC127"/>
      <c r="AWD127"/>
      <c r="AWE127"/>
      <c r="AWF127"/>
      <c r="AWG127"/>
      <c r="AWH127"/>
      <c r="AWI127"/>
      <c r="AWJ127"/>
      <c r="AWK127"/>
      <c r="AWL127"/>
      <c r="AWM127"/>
      <c r="AWN127"/>
      <c r="AWO127"/>
      <c r="AWP127"/>
      <c r="AWQ127"/>
      <c r="AWR127"/>
      <c r="AWS127"/>
      <c r="AWT127"/>
      <c r="AWU127"/>
      <c r="AWV127"/>
      <c r="AWW127"/>
      <c r="AWX127"/>
      <c r="AWY127"/>
      <c r="AWZ127"/>
      <c r="AXA127"/>
      <c r="AXB127"/>
      <c r="AXC127"/>
      <c r="AXD127"/>
      <c r="AXE127"/>
      <c r="AXF127"/>
      <c r="AXG127"/>
      <c r="AXH127"/>
      <c r="AXI127"/>
      <c r="AXJ127"/>
      <c r="AXK127"/>
      <c r="AXL127"/>
      <c r="AXM127"/>
      <c r="AXN127"/>
      <c r="AXO127"/>
      <c r="AXP127"/>
      <c r="AXQ127"/>
      <c r="AXR127"/>
      <c r="AXS127"/>
      <c r="AXT127"/>
      <c r="AXU127"/>
      <c r="AXV127"/>
      <c r="AXW127"/>
      <c r="AXX127"/>
      <c r="AXY127"/>
      <c r="AXZ127"/>
      <c r="AYA127"/>
      <c r="AYB127"/>
      <c r="AYC127"/>
      <c r="AYD127"/>
      <c r="AYE127"/>
      <c r="AYF127"/>
      <c r="AYG127"/>
      <c r="AYH127"/>
      <c r="AYI127"/>
      <c r="AYJ127"/>
      <c r="AYK127"/>
      <c r="AYL127"/>
      <c r="AYM127"/>
      <c r="AYN127"/>
      <c r="AYO127"/>
      <c r="AYP127"/>
      <c r="AYQ127"/>
      <c r="AYR127"/>
      <c r="AYS127"/>
      <c r="AYT127"/>
      <c r="AYU127"/>
      <c r="AYV127"/>
      <c r="AYW127"/>
      <c r="AYX127"/>
      <c r="AYY127"/>
      <c r="AYZ127"/>
      <c r="AZA127"/>
      <c r="AZB127"/>
      <c r="AZC127"/>
      <c r="AZD127"/>
      <c r="AZE127"/>
      <c r="AZF127"/>
      <c r="AZG127"/>
      <c r="AZH127"/>
      <c r="AZI127"/>
      <c r="AZJ127"/>
      <c r="AZK127"/>
      <c r="AZL127"/>
      <c r="AZM127"/>
      <c r="AZN127"/>
      <c r="AZO127"/>
      <c r="AZP127"/>
      <c r="AZQ127"/>
      <c r="AZR127"/>
      <c r="AZS127"/>
      <c r="AZT127"/>
      <c r="AZU127"/>
      <c r="AZV127"/>
      <c r="AZW127"/>
      <c r="AZX127"/>
      <c r="AZY127"/>
      <c r="AZZ127"/>
      <c r="BAA127"/>
      <c r="BAB127"/>
      <c r="BAC127"/>
      <c r="BAD127"/>
      <c r="BAE127"/>
      <c r="BAF127"/>
      <c r="BAG127"/>
      <c r="BAH127"/>
      <c r="BAI127"/>
      <c r="BAJ127"/>
      <c r="BAK127"/>
      <c r="BAL127"/>
      <c r="BAM127"/>
      <c r="BAN127"/>
      <c r="BAO127"/>
      <c r="BAP127"/>
      <c r="BAQ127"/>
      <c r="BAR127"/>
      <c r="BAS127"/>
      <c r="BAT127"/>
      <c r="BAU127"/>
      <c r="BAV127"/>
      <c r="BAW127"/>
      <c r="BAX127"/>
      <c r="BAY127"/>
      <c r="BAZ127"/>
      <c r="BBA127"/>
      <c r="BBB127"/>
      <c r="BBC127"/>
      <c r="BBD127"/>
      <c r="BBE127"/>
      <c r="BBF127"/>
      <c r="BBG127"/>
      <c r="BBH127"/>
      <c r="BBI127"/>
      <c r="BBJ127"/>
      <c r="BBK127"/>
      <c r="BBL127"/>
      <c r="BBM127"/>
      <c r="BBN127"/>
      <c r="BBO127"/>
      <c r="BBP127"/>
      <c r="BBQ127"/>
      <c r="BBR127"/>
      <c r="BBS127"/>
      <c r="BBT127"/>
      <c r="BBU127"/>
      <c r="BBV127"/>
      <c r="BBW127"/>
      <c r="BBX127"/>
      <c r="BBY127"/>
      <c r="BBZ127"/>
      <c r="BCA127"/>
      <c r="BCB127"/>
      <c r="BCC127"/>
      <c r="BCD127"/>
      <c r="BCE127"/>
      <c r="BCF127"/>
      <c r="BCG127"/>
      <c r="BCH127"/>
      <c r="BCI127"/>
      <c r="BCJ127"/>
      <c r="BCK127"/>
      <c r="BCL127"/>
      <c r="BCM127"/>
      <c r="BCN127"/>
      <c r="BCO127"/>
      <c r="BCP127"/>
      <c r="BCQ127"/>
      <c r="BCR127"/>
      <c r="BCS127"/>
      <c r="BCT127"/>
      <c r="BCU127"/>
      <c r="BCV127"/>
      <c r="BCW127"/>
      <c r="BCX127"/>
      <c r="BCY127"/>
      <c r="BCZ127"/>
      <c r="BDA127"/>
      <c r="BDB127"/>
      <c r="BDC127"/>
      <c r="BDD127"/>
      <c r="BDE127"/>
      <c r="BDF127"/>
      <c r="BDG127"/>
      <c r="BDH127"/>
      <c r="BDI127"/>
      <c r="BDJ127"/>
      <c r="BDK127"/>
      <c r="BDL127"/>
      <c r="BDM127"/>
      <c r="BDN127"/>
      <c r="BDO127"/>
      <c r="BDP127"/>
      <c r="BDQ127"/>
      <c r="BDR127"/>
      <c r="BDS127"/>
      <c r="BDT127"/>
      <c r="BDU127"/>
      <c r="BDV127"/>
      <c r="BDW127"/>
      <c r="BDX127"/>
      <c r="BDY127"/>
      <c r="BDZ127"/>
      <c r="BEA127"/>
      <c r="BEB127"/>
      <c r="BEC127"/>
      <c r="BED127"/>
      <c r="BEE127"/>
      <c r="BEF127"/>
      <c r="BEG127"/>
      <c r="BEH127"/>
      <c r="BEI127"/>
      <c r="BEJ127"/>
      <c r="BEK127"/>
      <c r="BEL127"/>
      <c r="BEM127"/>
      <c r="BEN127"/>
      <c r="BEO127"/>
      <c r="BEP127"/>
      <c r="BEQ127"/>
      <c r="BER127"/>
      <c r="BES127"/>
      <c r="BET127"/>
      <c r="BEU127"/>
      <c r="BEV127"/>
      <c r="BEW127"/>
      <c r="BEX127"/>
      <c r="BEY127"/>
      <c r="BEZ127"/>
      <c r="BFA127"/>
      <c r="BFB127"/>
      <c r="BFC127"/>
      <c r="BFD127"/>
      <c r="BFE127"/>
      <c r="BFF127"/>
      <c r="BFG127"/>
      <c r="BFH127"/>
      <c r="BFI127"/>
      <c r="BFJ127"/>
      <c r="BFK127"/>
      <c r="BFL127"/>
      <c r="BFM127"/>
      <c r="BFN127"/>
      <c r="BFO127"/>
      <c r="BFP127"/>
      <c r="BFQ127"/>
      <c r="BFR127"/>
      <c r="BFS127"/>
      <c r="BFT127"/>
      <c r="BFU127"/>
      <c r="BFV127"/>
      <c r="BFW127"/>
      <c r="BFX127"/>
      <c r="BFY127"/>
      <c r="BFZ127"/>
      <c r="BGA127"/>
      <c r="BGB127"/>
      <c r="BGC127"/>
      <c r="BGD127"/>
      <c r="BGE127"/>
      <c r="BGF127"/>
      <c r="BGG127"/>
      <c r="BGH127"/>
      <c r="BGI127"/>
      <c r="BGJ127"/>
      <c r="BGK127"/>
      <c r="BGL127"/>
      <c r="BGM127"/>
      <c r="BGN127"/>
      <c r="BGO127"/>
      <c r="BGP127"/>
      <c r="BGQ127"/>
      <c r="BGR127"/>
      <c r="BGS127"/>
      <c r="BGT127"/>
      <c r="BGU127"/>
      <c r="BGV127"/>
      <c r="BGW127"/>
      <c r="BGX127"/>
      <c r="BGY127"/>
      <c r="BGZ127"/>
      <c r="BHA127"/>
      <c r="BHB127"/>
      <c r="BHC127"/>
      <c r="BHD127"/>
      <c r="BHE127"/>
      <c r="BHF127"/>
      <c r="BHG127"/>
      <c r="BHH127"/>
      <c r="BHI127"/>
      <c r="BHJ127"/>
      <c r="BHK127"/>
      <c r="BHL127"/>
      <c r="BHM127"/>
      <c r="BHN127"/>
      <c r="BHO127"/>
      <c r="BHP127"/>
      <c r="BHQ127"/>
      <c r="BHR127"/>
      <c r="BHS127"/>
      <c r="BHT127"/>
      <c r="BHU127"/>
      <c r="BHV127"/>
      <c r="BHW127"/>
      <c r="BHX127"/>
      <c r="BHY127"/>
      <c r="BHZ127"/>
      <c r="BIA127"/>
      <c r="BIB127"/>
      <c r="BIC127"/>
      <c r="BID127"/>
      <c r="BIE127"/>
      <c r="BIF127"/>
      <c r="BIG127"/>
      <c r="BIH127"/>
      <c r="BII127"/>
      <c r="BIJ127"/>
      <c r="BIK127"/>
      <c r="BIL127"/>
      <c r="BIM127"/>
      <c r="BIN127"/>
      <c r="BIO127"/>
      <c r="BIP127"/>
      <c r="BIQ127"/>
      <c r="BIR127"/>
      <c r="BIS127"/>
      <c r="BIT127"/>
      <c r="BIU127"/>
      <c r="BIV127"/>
      <c r="BIW127"/>
      <c r="BIX127"/>
      <c r="BIY127"/>
      <c r="BIZ127"/>
      <c r="BJA127"/>
      <c r="BJB127"/>
      <c r="BJC127"/>
      <c r="BJD127"/>
      <c r="BJE127"/>
      <c r="BJF127"/>
      <c r="BJG127"/>
      <c r="BJH127"/>
      <c r="BJI127"/>
      <c r="BJJ127"/>
      <c r="BJK127"/>
      <c r="BJL127"/>
      <c r="BJM127"/>
      <c r="BJN127"/>
      <c r="BJO127"/>
      <c r="BJP127"/>
      <c r="BJQ127"/>
      <c r="BJR127"/>
      <c r="BJS127"/>
      <c r="BJT127"/>
      <c r="BJU127"/>
      <c r="BJV127"/>
      <c r="BJW127"/>
      <c r="BJX127"/>
      <c r="BJY127"/>
      <c r="BJZ127"/>
      <c r="BKA127"/>
      <c r="BKB127"/>
      <c r="BKC127"/>
      <c r="BKD127"/>
      <c r="BKE127"/>
      <c r="BKF127"/>
      <c r="BKG127"/>
      <c r="BKH127"/>
      <c r="BKI127"/>
      <c r="BKJ127"/>
      <c r="BKK127"/>
      <c r="BKL127"/>
      <c r="BKM127"/>
      <c r="BKN127"/>
      <c r="BKO127"/>
      <c r="BKP127"/>
      <c r="BKQ127"/>
      <c r="BKR127"/>
      <c r="BKS127"/>
      <c r="BKT127"/>
      <c r="BKU127"/>
      <c r="BKV127"/>
      <c r="BKW127"/>
      <c r="BKX127"/>
      <c r="BKY127"/>
      <c r="BKZ127"/>
      <c r="BLA127"/>
      <c r="BLB127"/>
      <c r="BLC127"/>
      <c r="BLD127"/>
      <c r="BLE127"/>
      <c r="BLF127"/>
      <c r="BLG127"/>
      <c r="BLH127"/>
      <c r="BLI127"/>
      <c r="BLJ127"/>
      <c r="BLK127"/>
      <c r="BLL127"/>
      <c r="BLM127"/>
      <c r="BLN127"/>
      <c r="BLO127"/>
      <c r="BLP127"/>
      <c r="BLQ127"/>
      <c r="BLR127"/>
      <c r="BLS127"/>
      <c r="BLT127"/>
      <c r="BLU127"/>
      <c r="BLV127"/>
      <c r="BLW127"/>
      <c r="BLX127"/>
      <c r="BLY127"/>
      <c r="BLZ127"/>
      <c r="BMA127"/>
      <c r="BMB127"/>
      <c r="BMC127"/>
      <c r="BMD127"/>
      <c r="BME127"/>
      <c r="BMF127"/>
      <c r="BMG127"/>
      <c r="BMH127"/>
      <c r="BMI127"/>
      <c r="BMJ127"/>
      <c r="BMK127"/>
      <c r="BML127"/>
      <c r="BMM127"/>
      <c r="BMN127"/>
      <c r="BMO127"/>
      <c r="BMP127"/>
      <c r="BMQ127"/>
      <c r="BMR127"/>
      <c r="BMS127"/>
      <c r="BMT127"/>
      <c r="BMU127"/>
      <c r="BMV127"/>
      <c r="BMW127"/>
      <c r="BMX127"/>
      <c r="BMY127"/>
      <c r="BMZ127"/>
      <c r="BNA127"/>
      <c r="BNB127"/>
      <c r="BNC127"/>
      <c r="BND127"/>
      <c r="BNE127"/>
      <c r="BNF127"/>
      <c r="BNG127"/>
      <c r="BNH127"/>
      <c r="BNI127"/>
      <c r="BNJ127"/>
      <c r="BNK127"/>
      <c r="BNL127"/>
      <c r="BNM127"/>
      <c r="BNN127"/>
      <c r="BNO127"/>
      <c r="BNP127"/>
      <c r="BNQ127"/>
      <c r="BNR127"/>
      <c r="BNS127"/>
      <c r="BNT127"/>
      <c r="BNU127"/>
      <c r="BNV127"/>
      <c r="BNW127"/>
      <c r="BNX127"/>
      <c r="BNY127"/>
      <c r="BNZ127"/>
      <c r="BOA127"/>
      <c r="BOB127"/>
      <c r="BOC127"/>
      <c r="BOD127"/>
      <c r="BOE127"/>
      <c r="BOF127"/>
      <c r="BOG127"/>
      <c r="BOH127"/>
      <c r="BOI127"/>
      <c r="BOJ127"/>
      <c r="BOK127"/>
      <c r="BOL127"/>
      <c r="BOM127"/>
      <c r="BON127"/>
      <c r="BOO127"/>
      <c r="BOP127"/>
      <c r="BOQ127"/>
      <c r="BOR127"/>
      <c r="BOS127"/>
      <c r="BOT127"/>
      <c r="BOU127"/>
      <c r="BOV127"/>
      <c r="BOW127"/>
      <c r="BOX127"/>
      <c r="BOY127"/>
      <c r="BOZ127"/>
      <c r="BPA127"/>
      <c r="BPB127"/>
      <c r="BPC127"/>
      <c r="BPD127"/>
      <c r="BPE127"/>
      <c r="BPF127"/>
      <c r="BPG127"/>
      <c r="BPH127"/>
      <c r="BPI127"/>
      <c r="BPJ127"/>
      <c r="BPK127"/>
      <c r="BPL127"/>
      <c r="BPM127"/>
      <c r="BPN127"/>
      <c r="BPO127"/>
      <c r="BPP127"/>
      <c r="BPQ127"/>
      <c r="BPR127"/>
      <c r="BPS127"/>
      <c r="BPT127"/>
      <c r="BPU127"/>
      <c r="BPV127"/>
      <c r="BPW127"/>
      <c r="BPX127"/>
      <c r="BPY127"/>
      <c r="BPZ127"/>
      <c r="BQA127"/>
      <c r="BQB127"/>
      <c r="BQC127"/>
      <c r="BQD127"/>
      <c r="BQE127"/>
      <c r="BQF127"/>
      <c r="BQG127"/>
      <c r="BQH127"/>
      <c r="BQI127"/>
      <c r="BQJ127"/>
      <c r="BQK127"/>
      <c r="BQL127"/>
      <c r="BQM127"/>
      <c r="BQN127"/>
      <c r="BQO127"/>
      <c r="BQP127"/>
      <c r="BQQ127"/>
      <c r="BQR127"/>
      <c r="BQS127"/>
      <c r="BQT127"/>
      <c r="BQU127"/>
      <c r="BQV127"/>
      <c r="BQW127"/>
      <c r="BQX127"/>
      <c r="BQY127"/>
      <c r="BQZ127"/>
      <c r="BRA127"/>
      <c r="BRB127"/>
      <c r="BRC127"/>
      <c r="BRD127"/>
      <c r="BRE127"/>
      <c r="BRF127"/>
      <c r="BRG127"/>
      <c r="BRH127"/>
      <c r="BRI127"/>
      <c r="BRJ127"/>
      <c r="BRK127"/>
      <c r="BRL127"/>
      <c r="BRM127"/>
      <c r="BRN127"/>
      <c r="BRO127"/>
      <c r="BRP127"/>
      <c r="BRQ127"/>
      <c r="BRR127"/>
      <c r="BRS127"/>
      <c r="BRT127"/>
      <c r="BRU127"/>
      <c r="BRV127"/>
      <c r="BRW127"/>
      <c r="BRX127"/>
      <c r="BRY127"/>
      <c r="BRZ127"/>
      <c r="BSA127"/>
      <c r="BSB127"/>
      <c r="BSC127"/>
      <c r="BSD127"/>
      <c r="BSE127"/>
      <c r="BSF127"/>
      <c r="BSG127"/>
      <c r="BSH127"/>
      <c r="BSI127"/>
      <c r="BSJ127"/>
      <c r="BSK127"/>
      <c r="BSL127"/>
      <c r="BSM127"/>
      <c r="BSN127"/>
      <c r="BSO127"/>
      <c r="BSP127"/>
      <c r="BSQ127"/>
      <c r="BSR127"/>
      <c r="BSS127"/>
      <c r="BST127"/>
      <c r="BSU127"/>
      <c r="BSV127"/>
      <c r="BSW127"/>
      <c r="BSX127"/>
      <c r="BSY127"/>
      <c r="BSZ127"/>
      <c r="BTA127"/>
      <c r="BTB127"/>
      <c r="BTC127"/>
      <c r="BTD127"/>
      <c r="BTE127"/>
      <c r="BTF127"/>
      <c r="BTG127"/>
      <c r="BTH127"/>
      <c r="BTI127"/>
      <c r="BTJ127"/>
      <c r="BTK127"/>
      <c r="BTL127"/>
      <c r="BTM127"/>
      <c r="BTN127"/>
      <c r="BTO127"/>
      <c r="BTP127"/>
      <c r="BTQ127"/>
      <c r="BTR127"/>
      <c r="BTS127"/>
      <c r="BTT127"/>
      <c r="BTU127"/>
      <c r="BTV127"/>
      <c r="BTW127"/>
      <c r="BTX127"/>
      <c r="BTY127"/>
      <c r="BTZ127"/>
      <c r="BUA127"/>
      <c r="BUB127"/>
      <c r="BUC127"/>
      <c r="BUD127"/>
      <c r="BUE127"/>
      <c r="BUF127"/>
      <c r="BUG127"/>
      <c r="BUH127"/>
      <c r="BUI127"/>
      <c r="BUJ127"/>
      <c r="BUK127"/>
      <c r="BUL127"/>
      <c r="BUM127"/>
      <c r="BUN127"/>
      <c r="BUO127"/>
      <c r="BUP127"/>
      <c r="BUQ127"/>
      <c r="BUR127"/>
      <c r="BUS127"/>
      <c r="BUT127"/>
      <c r="BUU127"/>
      <c r="BUV127"/>
      <c r="BUW127"/>
      <c r="BUX127"/>
      <c r="BUY127"/>
      <c r="BUZ127"/>
      <c r="BVA127"/>
      <c r="BVB127"/>
      <c r="BVC127"/>
      <c r="BVD127"/>
      <c r="BVE127"/>
      <c r="BVF127"/>
      <c r="BVG127"/>
      <c r="BVH127"/>
      <c r="BVI127"/>
      <c r="BVJ127"/>
      <c r="BVK127"/>
      <c r="BVL127"/>
      <c r="BVM127"/>
      <c r="BVN127"/>
      <c r="BVO127"/>
      <c r="BVP127"/>
      <c r="BVQ127"/>
      <c r="BVR127"/>
      <c r="BVS127"/>
      <c r="BVT127"/>
      <c r="BVU127"/>
      <c r="BVV127"/>
      <c r="BVW127"/>
      <c r="BVX127"/>
      <c r="BVY127"/>
      <c r="BVZ127"/>
      <c r="BWA127"/>
      <c r="BWB127"/>
      <c r="BWC127"/>
      <c r="BWD127"/>
      <c r="BWE127"/>
      <c r="BWF127"/>
      <c r="BWG127"/>
      <c r="BWH127"/>
      <c r="BWI127"/>
      <c r="BWJ127"/>
      <c r="BWK127"/>
      <c r="BWL127"/>
      <c r="BWM127"/>
      <c r="BWN127"/>
      <c r="BWO127"/>
      <c r="BWP127"/>
      <c r="BWQ127"/>
      <c r="BWR127"/>
      <c r="BWS127"/>
      <c r="BWT127"/>
      <c r="BWU127"/>
      <c r="BWV127"/>
      <c r="BWW127"/>
      <c r="BWX127"/>
      <c r="BWY127"/>
      <c r="BWZ127"/>
      <c r="BXA127"/>
      <c r="BXB127"/>
      <c r="BXC127"/>
      <c r="BXD127"/>
      <c r="BXE127"/>
      <c r="BXF127"/>
      <c r="BXG127"/>
      <c r="BXH127"/>
      <c r="BXI127"/>
      <c r="BXJ127"/>
      <c r="BXK127"/>
      <c r="BXL127"/>
      <c r="BXM127"/>
      <c r="BXN127"/>
      <c r="BXO127"/>
      <c r="BXP127"/>
      <c r="BXQ127"/>
      <c r="BXR127"/>
      <c r="BXS127"/>
      <c r="BXT127"/>
      <c r="BXU127"/>
      <c r="BXV127"/>
      <c r="BXW127"/>
      <c r="BXX127"/>
      <c r="BXY127"/>
      <c r="BXZ127"/>
      <c r="BYA127"/>
      <c r="BYB127"/>
      <c r="BYC127"/>
      <c r="BYD127"/>
      <c r="BYE127"/>
      <c r="BYF127"/>
      <c r="BYG127"/>
      <c r="BYH127"/>
      <c r="BYI127"/>
      <c r="BYJ127"/>
      <c r="BYK127"/>
      <c r="BYL127"/>
      <c r="BYM127"/>
      <c r="BYN127"/>
      <c r="BYO127"/>
      <c r="BYP127"/>
      <c r="BYQ127"/>
      <c r="BYR127"/>
      <c r="BYS127"/>
      <c r="BYT127"/>
      <c r="BYU127"/>
      <c r="BYV127"/>
      <c r="BYW127"/>
      <c r="BYX127"/>
      <c r="BYY127"/>
      <c r="BYZ127"/>
      <c r="BZA127"/>
      <c r="BZB127"/>
      <c r="BZC127"/>
      <c r="BZD127"/>
      <c r="BZE127"/>
      <c r="BZF127"/>
      <c r="BZG127"/>
      <c r="BZH127"/>
      <c r="BZI127"/>
      <c r="BZJ127"/>
      <c r="BZK127"/>
      <c r="BZL127"/>
      <c r="BZM127"/>
      <c r="BZN127"/>
      <c r="BZO127"/>
      <c r="BZP127"/>
      <c r="BZQ127"/>
      <c r="BZR127"/>
      <c r="BZS127"/>
      <c r="BZT127"/>
      <c r="BZU127"/>
      <c r="BZV127"/>
      <c r="BZW127"/>
      <c r="BZX127"/>
      <c r="BZY127"/>
      <c r="BZZ127"/>
      <c r="CAA127"/>
      <c r="CAB127"/>
      <c r="CAC127"/>
      <c r="CAD127"/>
      <c r="CAE127"/>
      <c r="CAF127"/>
      <c r="CAG127"/>
      <c r="CAH127"/>
      <c r="CAI127"/>
      <c r="CAJ127"/>
      <c r="CAK127"/>
      <c r="CAL127"/>
      <c r="CAM127"/>
      <c r="CAN127"/>
      <c r="CAO127"/>
      <c r="CAP127"/>
      <c r="CAQ127"/>
      <c r="CAR127"/>
      <c r="CAS127"/>
      <c r="CAT127"/>
      <c r="CAU127"/>
      <c r="CAV127"/>
      <c r="CAW127"/>
      <c r="CAX127"/>
      <c r="CAY127"/>
      <c r="CAZ127"/>
      <c r="CBA127"/>
      <c r="CBB127"/>
      <c r="CBC127"/>
      <c r="CBD127"/>
      <c r="CBE127"/>
      <c r="CBF127"/>
      <c r="CBG127"/>
      <c r="CBH127"/>
      <c r="CBI127"/>
      <c r="CBJ127"/>
      <c r="CBK127"/>
      <c r="CBL127"/>
      <c r="CBM127"/>
      <c r="CBN127"/>
      <c r="CBO127"/>
      <c r="CBP127"/>
      <c r="CBQ127"/>
      <c r="CBR127"/>
      <c r="CBS127"/>
      <c r="CBT127"/>
      <c r="CBU127"/>
      <c r="CBV127"/>
      <c r="CBW127"/>
      <c r="CBX127"/>
      <c r="CBY127"/>
      <c r="CBZ127"/>
      <c r="CCA127"/>
      <c r="CCB127"/>
      <c r="CCC127"/>
      <c r="CCD127"/>
      <c r="CCE127"/>
      <c r="CCF127"/>
      <c r="CCG127"/>
      <c r="CCH127"/>
      <c r="CCI127"/>
      <c r="CCJ127"/>
      <c r="CCK127"/>
      <c r="CCL127"/>
      <c r="CCM127"/>
      <c r="CCN127"/>
      <c r="CCO127"/>
      <c r="CCP127"/>
      <c r="CCQ127"/>
      <c r="CCR127"/>
      <c r="CCS127"/>
      <c r="CCT127"/>
      <c r="CCU127"/>
      <c r="CCV127"/>
      <c r="CCW127"/>
      <c r="CCX127"/>
      <c r="CCY127"/>
      <c r="CCZ127"/>
      <c r="CDA127"/>
      <c r="CDB127"/>
      <c r="CDC127"/>
      <c r="CDD127"/>
      <c r="CDE127"/>
      <c r="CDF127"/>
      <c r="CDG127"/>
      <c r="CDH127"/>
      <c r="CDI127"/>
      <c r="CDJ127"/>
      <c r="CDK127"/>
      <c r="CDL127"/>
      <c r="CDM127"/>
      <c r="CDN127"/>
      <c r="CDO127"/>
      <c r="CDP127"/>
      <c r="CDQ127"/>
      <c r="CDR127"/>
      <c r="CDS127"/>
      <c r="CDT127"/>
      <c r="CDU127"/>
      <c r="CDV127"/>
      <c r="CDW127"/>
      <c r="CDX127"/>
      <c r="CDY127"/>
      <c r="CDZ127"/>
      <c r="CEA127"/>
      <c r="CEB127"/>
      <c r="CEC127"/>
      <c r="CED127"/>
      <c r="CEE127"/>
      <c r="CEF127"/>
      <c r="CEG127"/>
      <c r="CEH127"/>
      <c r="CEI127"/>
      <c r="CEJ127"/>
      <c r="CEK127"/>
      <c r="CEL127"/>
      <c r="CEM127"/>
      <c r="CEN127"/>
      <c r="CEO127"/>
      <c r="CEP127"/>
      <c r="CEQ127"/>
      <c r="CER127"/>
      <c r="CES127"/>
      <c r="CET127"/>
      <c r="CEU127"/>
      <c r="CEV127"/>
      <c r="CEW127"/>
      <c r="CEX127"/>
      <c r="CEY127"/>
      <c r="CEZ127"/>
      <c r="CFA127"/>
      <c r="CFB127"/>
      <c r="CFC127"/>
      <c r="CFD127"/>
      <c r="CFE127"/>
      <c r="CFF127"/>
      <c r="CFG127"/>
      <c r="CFH127"/>
      <c r="CFI127"/>
      <c r="CFJ127"/>
      <c r="CFK127"/>
      <c r="CFL127"/>
      <c r="CFM127"/>
      <c r="CFN127"/>
      <c r="CFO127"/>
      <c r="CFP127"/>
      <c r="CFQ127"/>
      <c r="CFR127"/>
      <c r="CFS127"/>
      <c r="CFT127"/>
      <c r="CFU127"/>
      <c r="CFV127"/>
      <c r="CFW127"/>
      <c r="CFX127"/>
      <c r="CFY127"/>
      <c r="CFZ127"/>
      <c r="CGA127"/>
      <c r="CGB127"/>
      <c r="CGC127"/>
      <c r="CGD127"/>
      <c r="CGE127"/>
      <c r="CGF127"/>
      <c r="CGG127"/>
      <c r="CGH127"/>
      <c r="CGI127"/>
      <c r="CGJ127"/>
      <c r="CGK127"/>
      <c r="CGL127"/>
      <c r="CGM127"/>
      <c r="CGN127"/>
      <c r="CGO127"/>
      <c r="CGP127"/>
      <c r="CGQ127"/>
      <c r="CGR127"/>
      <c r="CGS127"/>
      <c r="CGT127"/>
      <c r="CGU127"/>
      <c r="CGV127"/>
      <c r="CGW127"/>
      <c r="CGX127"/>
      <c r="CGY127"/>
      <c r="CGZ127"/>
      <c r="CHA127"/>
      <c r="CHB127"/>
      <c r="CHC127"/>
      <c r="CHD127"/>
      <c r="CHE127"/>
      <c r="CHF127"/>
      <c r="CHG127"/>
      <c r="CHH127"/>
      <c r="CHI127"/>
      <c r="CHJ127"/>
      <c r="CHK127"/>
      <c r="CHL127"/>
      <c r="CHM127"/>
      <c r="CHN127"/>
      <c r="CHO127"/>
      <c r="CHP127"/>
      <c r="CHQ127"/>
      <c r="CHR127"/>
      <c r="CHS127"/>
      <c r="CHT127"/>
      <c r="CHU127"/>
      <c r="CHV127"/>
      <c r="CHW127"/>
      <c r="CHX127"/>
      <c r="CHY127"/>
      <c r="CHZ127"/>
      <c r="CIA127"/>
      <c r="CIB127"/>
      <c r="CIC127"/>
      <c r="CID127"/>
      <c r="CIE127"/>
      <c r="CIF127"/>
      <c r="CIG127"/>
      <c r="CIH127"/>
      <c r="CII127"/>
      <c r="CIJ127"/>
      <c r="CIK127"/>
      <c r="CIL127"/>
      <c r="CIM127"/>
      <c r="CIN127"/>
      <c r="CIO127"/>
      <c r="CIP127"/>
      <c r="CIQ127"/>
      <c r="CIR127"/>
      <c r="CIS127"/>
      <c r="CIT127"/>
      <c r="CIU127"/>
      <c r="CIV127"/>
      <c r="CIW127"/>
      <c r="CIX127"/>
      <c r="CIY127"/>
      <c r="CIZ127"/>
      <c r="CJA127"/>
      <c r="CJB127"/>
      <c r="CJC127"/>
      <c r="CJD127"/>
      <c r="CJE127"/>
      <c r="CJF127"/>
      <c r="CJG127"/>
      <c r="CJH127"/>
      <c r="CJI127"/>
      <c r="CJJ127"/>
      <c r="CJK127"/>
      <c r="CJL127"/>
      <c r="CJM127"/>
      <c r="CJN127"/>
      <c r="CJO127"/>
      <c r="CJP127"/>
      <c r="CJQ127"/>
      <c r="CJR127"/>
      <c r="CJS127"/>
      <c r="CJT127"/>
      <c r="CJU127"/>
      <c r="CJV127"/>
      <c r="CJW127"/>
      <c r="CJX127"/>
      <c r="CJY127"/>
      <c r="CJZ127"/>
      <c r="CKA127"/>
      <c r="CKB127"/>
      <c r="CKC127"/>
      <c r="CKD127"/>
      <c r="CKE127"/>
      <c r="CKF127"/>
      <c r="CKG127"/>
      <c r="CKH127"/>
      <c r="CKI127"/>
      <c r="CKJ127"/>
      <c r="CKK127"/>
      <c r="CKL127"/>
      <c r="CKM127"/>
      <c r="CKN127"/>
      <c r="CKO127"/>
      <c r="CKP127"/>
      <c r="CKQ127"/>
      <c r="CKR127"/>
      <c r="CKS127"/>
      <c r="CKT127"/>
      <c r="CKU127"/>
      <c r="CKV127"/>
      <c r="CKW127"/>
      <c r="CKX127"/>
      <c r="CKY127"/>
      <c r="CKZ127"/>
      <c r="CLA127"/>
      <c r="CLB127"/>
      <c r="CLC127"/>
      <c r="CLD127"/>
      <c r="CLE127"/>
      <c r="CLF127"/>
      <c r="CLG127"/>
      <c r="CLH127"/>
      <c r="CLI127"/>
      <c r="CLJ127"/>
      <c r="CLK127"/>
      <c r="CLL127"/>
      <c r="CLM127"/>
      <c r="CLN127"/>
      <c r="CLO127"/>
      <c r="CLP127"/>
      <c r="CLQ127"/>
      <c r="CLR127"/>
      <c r="CLS127"/>
      <c r="CLT127"/>
      <c r="CLU127"/>
      <c r="CLV127"/>
      <c r="CLW127"/>
      <c r="CLX127"/>
      <c r="CLY127"/>
      <c r="CLZ127"/>
      <c r="CMA127"/>
      <c r="CMB127"/>
      <c r="CMC127"/>
      <c r="CMD127"/>
      <c r="CME127"/>
      <c r="CMF127"/>
      <c r="CMG127"/>
      <c r="CMH127"/>
      <c r="CMI127"/>
      <c r="CMJ127"/>
      <c r="CMK127"/>
      <c r="CML127"/>
      <c r="CMM127"/>
      <c r="CMN127"/>
      <c r="CMO127"/>
      <c r="CMP127"/>
      <c r="CMQ127"/>
      <c r="CMR127"/>
      <c r="CMS127"/>
      <c r="CMT127"/>
      <c r="CMU127"/>
      <c r="CMV127"/>
      <c r="CMW127"/>
      <c r="CMX127"/>
      <c r="CMY127"/>
      <c r="CMZ127"/>
      <c r="CNA127"/>
      <c r="CNB127"/>
      <c r="CNC127"/>
      <c r="CND127"/>
      <c r="CNE127"/>
      <c r="CNF127"/>
      <c r="CNG127"/>
      <c r="CNH127"/>
      <c r="CNI127"/>
      <c r="CNJ127"/>
      <c r="CNK127"/>
      <c r="CNL127"/>
      <c r="CNM127"/>
      <c r="CNN127"/>
      <c r="CNO127"/>
      <c r="CNP127"/>
      <c r="CNQ127"/>
      <c r="CNR127"/>
      <c r="CNS127"/>
      <c r="CNT127"/>
      <c r="CNU127"/>
      <c r="CNV127"/>
      <c r="CNW127"/>
      <c r="CNX127"/>
      <c r="CNY127"/>
      <c r="CNZ127"/>
      <c r="COA127"/>
      <c r="COB127"/>
      <c r="COC127"/>
      <c r="COD127"/>
      <c r="COE127"/>
      <c r="COF127"/>
      <c r="COG127"/>
      <c r="COH127"/>
      <c r="COI127"/>
      <c r="COJ127"/>
      <c r="COK127"/>
      <c r="COL127"/>
      <c r="COM127"/>
      <c r="CON127"/>
      <c r="COO127"/>
      <c r="COP127"/>
      <c r="COQ127"/>
      <c r="COR127"/>
      <c r="COS127"/>
      <c r="COT127"/>
      <c r="COU127"/>
      <c r="COV127"/>
      <c r="COW127"/>
      <c r="COX127"/>
      <c r="COY127"/>
      <c r="COZ127"/>
      <c r="CPA127"/>
      <c r="CPB127"/>
      <c r="CPC127"/>
      <c r="CPD127"/>
      <c r="CPE127"/>
      <c r="CPF127"/>
      <c r="CPG127"/>
      <c r="CPH127"/>
      <c r="CPI127"/>
      <c r="CPJ127"/>
      <c r="CPK127"/>
      <c r="CPL127"/>
      <c r="CPM127"/>
      <c r="CPN127"/>
      <c r="CPO127"/>
      <c r="CPP127"/>
      <c r="CPQ127"/>
      <c r="CPR127"/>
      <c r="CPS127"/>
      <c r="CPT127"/>
      <c r="CPU127"/>
      <c r="CPV127"/>
      <c r="CPW127"/>
      <c r="CPX127"/>
      <c r="CPY127"/>
      <c r="CPZ127"/>
      <c r="CQA127"/>
      <c r="CQB127"/>
      <c r="CQC127"/>
      <c r="CQD127"/>
      <c r="CQE127"/>
      <c r="CQF127"/>
      <c r="CQG127"/>
      <c r="CQH127"/>
      <c r="CQI127"/>
      <c r="CQJ127"/>
      <c r="CQK127"/>
      <c r="CQL127"/>
      <c r="CQM127"/>
      <c r="CQN127"/>
      <c r="CQO127"/>
      <c r="CQP127"/>
      <c r="CQQ127"/>
      <c r="CQR127"/>
      <c r="CQS127"/>
      <c r="CQT127"/>
      <c r="CQU127"/>
      <c r="CQV127"/>
      <c r="CQW127"/>
      <c r="CQX127"/>
      <c r="CQY127"/>
      <c r="CQZ127"/>
      <c r="CRA127"/>
      <c r="CRB127"/>
      <c r="CRC127"/>
      <c r="CRD127"/>
      <c r="CRE127"/>
      <c r="CRF127"/>
      <c r="CRG127"/>
      <c r="CRH127"/>
      <c r="CRI127"/>
      <c r="CRJ127"/>
      <c r="CRK127"/>
      <c r="CRL127"/>
      <c r="CRM127"/>
      <c r="CRN127"/>
      <c r="CRO127"/>
      <c r="CRP127"/>
      <c r="CRQ127"/>
      <c r="CRR127"/>
      <c r="CRS127"/>
      <c r="CRT127"/>
      <c r="CRU127"/>
      <c r="CRV127"/>
      <c r="CRW127"/>
      <c r="CRX127"/>
      <c r="CRY127"/>
      <c r="CRZ127"/>
      <c r="CSA127"/>
      <c r="CSB127"/>
      <c r="CSC127"/>
      <c r="CSD127"/>
      <c r="CSE127"/>
      <c r="CSF127"/>
      <c r="CSG127"/>
      <c r="CSH127"/>
      <c r="CSI127"/>
      <c r="CSJ127"/>
      <c r="CSK127"/>
      <c r="CSL127"/>
      <c r="CSM127"/>
      <c r="CSN127"/>
      <c r="CSO127"/>
      <c r="CSP127"/>
      <c r="CSQ127"/>
      <c r="CSR127"/>
      <c r="CSS127"/>
      <c r="CST127"/>
      <c r="CSU127"/>
      <c r="CSV127"/>
      <c r="CSW127"/>
      <c r="CSX127"/>
      <c r="CSY127"/>
      <c r="CSZ127"/>
      <c r="CTA127"/>
      <c r="CTB127"/>
      <c r="CTC127"/>
      <c r="CTD127"/>
      <c r="CTE127"/>
      <c r="CTF127"/>
      <c r="CTG127"/>
      <c r="CTH127"/>
      <c r="CTI127"/>
      <c r="CTJ127"/>
      <c r="CTK127"/>
      <c r="CTL127"/>
      <c r="CTM127"/>
      <c r="CTN127"/>
      <c r="CTO127"/>
      <c r="CTP127"/>
      <c r="CTQ127"/>
      <c r="CTR127"/>
      <c r="CTS127"/>
      <c r="CTT127"/>
      <c r="CTU127"/>
      <c r="CTV127"/>
      <c r="CTW127"/>
      <c r="CTX127"/>
      <c r="CTY127"/>
      <c r="CTZ127"/>
      <c r="CUA127"/>
      <c r="CUB127"/>
      <c r="CUC127"/>
      <c r="CUD127"/>
      <c r="CUE127"/>
      <c r="CUF127"/>
      <c r="CUG127"/>
      <c r="CUH127"/>
      <c r="CUI127"/>
      <c r="CUJ127"/>
      <c r="CUK127"/>
      <c r="CUL127"/>
      <c r="CUM127"/>
      <c r="CUN127"/>
      <c r="CUO127"/>
      <c r="CUP127"/>
      <c r="CUQ127"/>
      <c r="CUR127"/>
      <c r="CUS127"/>
      <c r="CUT127"/>
      <c r="CUU127"/>
      <c r="CUV127"/>
      <c r="CUW127"/>
      <c r="CUX127"/>
      <c r="CUY127"/>
      <c r="CUZ127"/>
      <c r="CVA127"/>
      <c r="CVB127"/>
      <c r="CVC127"/>
      <c r="CVD127"/>
      <c r="CVE127"/>
      <c r="CVF127"/>
      <c r="CVG127"/>
      <c r="CVH127"/>
      <c r="CVI127"/>
      <c r="CVJ127"/>
      <c r="CVK127"/>
      <c r="CVL127"/>
      <c r="CVM127"/>
      <c r="CVN127"/>
      <c r="CVO127"/>
      <c r="CVP127"/>
      <c r="CVQ127"/>
      <c r="CVR127"/>
      <c r="CVS127"/>
      <c r="CVT127"/>
      <c r="CVU127"/>
      <c r="CVV127"/>
      <c r="CVW127"/>
      <c r="CVX127"/>
      <c r="CVY127"/>
      <c r="CVZ127"/>
      <c r="CWA127"/>
      <c r="CWB127"/>
      <c r="CWC127"/>
      <c r="CWD127"/>
      <c r="CWE127"/>
      <c r="CWF127"/>
      <c r="CWG127"/>
      <c r="CWH127"/>
      <c r="CWI127"/>
      <c r="CWJ127"/>
      <c r="CWK127"/>
      <c r="CWL127"/>
      <c r="CWM127"/>
      <c r="CWN127"/>
      <c r="CWO127"/>
      <c r="CWP127"/>
      <c r="CWQ127"/>
      <c r="CWR127"/>
      <c r="CWS127"/>
      <c r="CWT127"/>
      <c r="CWU127"/>
      <c r="CWV127"/>
      <c r="CWW127"/>
      <c r="CWX127"/>
      <c r="CWY127"/>
      <c r="CWZ127"/>
      <c r="CXA127"/>
      <c r="CXB127"/>
      <c r="CXC127"/>
      <c r="CXD127"/>
      <c r="CXE127"/>
      <c r="CXF127"/>
      <c r="CXG127"/>
      <c r="CXH127"/>
      <c r="CXI127"/>
      <c r="CXJ127"/>
      <c r="CXK127"/>
      <c r="CXL127"/>
      <c r="CXM127"/>
      <c r="CXN127"/>
      <c r="CXO127"/>
      <c r="CXP127"/>
      <c r="CXQ127"/>
      <c r="CXR127"/>
      <c r="CXS127"/>
      <c r="CXT127"/>
      <c r="CXU127"/>
      <c r="CXV127"/>
      <c r="CXW127"/>
      <c r="CXX127"/>
      <c r="CXY127"/>
      <c r="CXZ127"/>
      <c r="CYA127"/>
      <c r="CYB127"/>
      <c r="CYC127"/>
      <c r="CYD127"/>
      <c r="CYE127"/>
      <c r="CYF127"/>
      <c r="CYG127"/>
      <c r="CYH127"/>
      <c r="CYI127"/>
      <c r="CYJ127"/>
      <c r="CYK127"/>
      <c r="CYL127"/>
      <c r="CYM127"/>
      <c r="CYN127"/>
      <c r="CYO127"/>
      <c r="CYP127"/>
      <c r="CYQ127"/>
      <c r="CYR127"/>
      <c r="CYS127"/>
      <c r="CYT127"/>
      <c r="CYU127"/>
      <c r="CYV127"/>
      <c r="CYW127"/>
      <c r="CYX127"/>
      <c r="CYY127"/>
      <c r="CYZ127"/>
      <c r="CZA127"/>
      <c r="CZB127"/>
      <c r="CZC127"/>
      <c r="CZD127"/>
      <c r="CZE127"/>
      <c r="CZF127"/>
      <c r="CZG127"/>
      <c r="CZH127"/>
      <c r="CZI127"/>
      <c r="CZJ127"/>
      <c r="CZK127"/>
      <c r="CZL127"/>
      <c r="CZM127"/>
      <c r="CZN127"/>
      <c r="CZO127"/>
      <c r="CZP127"/>
      <c r="CZQ127"/>
      <c r="CZR127"/>
      <c r="CZS127"/>
      <c r="CZT127"/>
      <c r="CZU127"/>
      <c r="CZV127"/>
      <c r="CZW127"/>
      <c r="CZX127"/>
      <c r="CZY127"/>
      <c r="CZZ127"/>
      <c r="DAA127"/>
      <c r="DAB127"/>
      <c r="DAC127"/>
      <c r="DAD127"/>
      <c r="DAE127"/>
      <c r="DAF127"/>
      <c r="DAG127"/>
      <c r="DAH127"/>
      <c r="DAI127"/>
      <c r="DAJ127"/>
      <c r="DAK127"/>
      <c r="DAL127"/>
      <c r="DAM127"/>
      <c r="DAN127"/>
      <c r="DAO127"/>
      <c r="DAP127"/>
      <c r="DAQ127"/>
      <c r="DAR127"/>
      <c r="DAS127"/>
      <c r="DAT127"/>
      <c r="DAU127"/>
      <c r="DAV127"/>
      <c r="DAW127"/>
      <c r="DAX127"/>
      <c r="DAY127"/>
      <c r="DAZ127"/>
      <c r="DBA127"/>
      <c r="DBB127"/>
      <c r="DBC127"/>
      <c r="DBD127"/>
      <c r="DBE127"/>
      <c r="DBF127"/>
      <c r="DBG127"/>
      <c r="DBH127"/>
      <c r="DBI127"/>
      <c r="DBJ127"/>
      <c r="DBK127"/>
      <c r="DBL127"/>
      <c r="DBM127"/>
      <c r="DBN127"/>
      <c r="DBO127"/>
      <c r="DBP127"/>
      <c r="DBQ127"/>
      <c r="DBR127"/>
      <c r="DBS127"/>
      <c r="DBT127"/>
      <c r="DBU127"/>
      <c r="DBV127"/>
      <c r="DBW127"/>
      <c r="DBX127"/>
      <c r="DBY127"/>
      <c r="DBZ127"/>
      <c r="DCA127"/>
      <c r="DCB127"/>
      <c r="DCC127"/>
      <c r="DCD127"/>
      <c r="DCE127"/>
      <c r="DCF127"/>
      <c r="DCG127"/>
      <c r="DCH127"/>
      <c r="DCI127"/>
      <c r="DCJ127"/>
      <c r="DCK127"/>
      <c r="DCL127"/>
      <c r="DCM127"/>
      <c r="DCN127"/>
      <c r="DCO127"/>
      <c r="DCP127"/>
      <c r="DCQ127"/>
      <c r="DCR127"/>
      <c r="DCS127"/>
      <c r="DCT127"/>
      <c r="DCU127"/>
      <c r="DCV127"/>
      <c r="DCW127"/>
      <c r="DCX127"/>
      <c r="DCY127"/>
      <c r="DCZ127"/>
      <c r="DDA127"/>
      <c r="DDB127"/>
      <c r="DDC127"/>
      <c r="DDD127"/>
      <c r="DDE127"/>
      <c r="DDF127"/>
      <c r="DDG127"/>
      <c r="DDH127"/>
      <c r="DDI127"/>
      <c r="DDJ127"/>
      <c r="DDK127"/>
      <c r="DDL127"/>
      <c r="DDM127"/>
      <c r="DDN127"/>
      <c r="DDO127"/>
      <c r="DDP127"/>
      <c r="DDQ127"/>
      <c r="DDR127"/>
      <c r="DDS127"/>
      <c r="DDT127"/>
      <c r="DDU127"/>
      <c r="DDV127"/>
      <c r="DDW127"/>
      <c r="DDX127"/>
      <c r="DDY127"/>
      <c r="DDZ127"/>
      <c r="DEA127"/>
      <c r="DEB127"/>
      <c r="DEC127"/>
      <c r="DED127"/>
      <c r="DEE127"/>
      <c r="DEF127"/>
      <c r="DEG127"/>
      <c r="DEH127"/>
      <c r="DEI127"/>
      <c r="DEJ127"/>
      <c r="DEK127"/>
      <c r="DEL127"/>
      <c r="DEM127"/>
      <c r="DEN127"/>
      <c r="DEO127"/>
      <c r="DEP127"/>
      <c r="DEQ127"/>
      <c r="DER127"/>
      <c r="DES127"/>
      <c r="DET127"/>
      <c r="DEU127"/>
      <c r="DEV127"/>
      <c r="DEW127"/>
      <c r="DEX127"/>
      <c r="DEY127"/>
      <c r="DEZ127"/>
      <c r="DFA127"/>
      <c r="DFB127"/>
      <c r="DFC127"/>
      <c r="DFD127"/>
      <c r="DFE127"/>
      <c r="DFF127"/>
      <c r="DFG127"/>
      <c r="DFH127"/>
      <c r="DFI127"/>
      <c r="DFJ127"/>
      <c r="DFK127"/>
      <c r="DFL127"/>
      <c r="DFM127"/>
      <c r="DFN127"/>
      <c r="DFO127"/>
      <c r="DFP127"/>
      <c r="DFQ127"/>
      <c r="DFR127"/>
      <c r="DFS127"/>
      <c r="DFT127"/>
      <c r="DFU127"/>
      <c r="DFV127"/>
      <c r="DFW127"/>
      <c r="DFX127"/>
      <c r="DFY127"/>
      <c r="DFZ127"/>
      <c r="DGA127"/>
      <c r="DGB127"/>
      <c r="DGC127"/>
      <c r="DGD127"/>
      <c r="DGE127"/>
      <c r="DGF127"/>
      <c r="DGG127"/>
      <c r="DGH127"/>
      <c r="DGI127"/>
      <c r="DGJ127"/>
      <c r="DGK127"/>
      <c r="DGL127"/>
      <c r="DGM127"/>
      <c r="DGN127"/>
      <c r="DGO127"/>
      <c r="DGP127"/>
      <c r="DGQ127"/>
      <c r="DGR127"/>
      <c r="DGS127"/>
      <c r="DGT127"/>
      <c r="DGU127"/>
      <c r="DGV127"/>
      <c r="DGW127"/>
      <c r="DGX127"/>
      <c r="DGY127"/>
      <c r="DGZ127"/>
      <c r="DHA127"/>
      <c r="DHB127"/>
      <c r="DHC127"/>
      <c r="DHD127"/>
      <c r="DHE127"/>
      <c r="DHF127"/>
      <c r="DHG127"/>
      <c r="DHH127"/>
      <c r="DHI127"/>
      <c r="DHJ127"/>
      <c r="DHK127"/>
      <c r="DHL127"/>
      <c r="DHM127"/>
      <c r="DHN127"/>
      <c r="DHO127"/>
      <c r="DHP127"/>
      <c r="DHQ127"/>
      <c r="DHR127"/>
      <c r="DHS127"/>
      <c r="DHT127"/>
      <c r="DHU127"/>
      <c r="DHV127"/>
      <c r="DHW127"/>
      <c r="DHX127"/>
      <c r="DHY127"/>
      <c r="DHZ127"/>
      <c r="DIA127"/>
      <c r="DIB127"/>
      <c r="DIC127"/>
      <c r="DID127"/>
      <c r="DIE127"/>
      <c r="DIF127"/>
      <c r="DIG127"/>
      <c r="DIH127"/>
      <c r="DII127"/>
      <c r="DIJ127"/>
      <c r="DIK127"/>
      <c r="DIL127"/>
      <c r="DIM127"/>
      <c r="DIN127"/>
      <c r="DIO127"/>
      <c r="DIP127"/>
      <c r="DIQ127"/>
      <c r="DIR127"/>
      <c r="DIS127"/>
      <c r="DIT127"/>
      <c r="DIU127"/>
      <c r="DIV127"/>
      <c r="DIW127"/>
      <c r="DIX127"/>
      <c r="DIY127"/>
      <c r="DIZ127"/>
      <c r="DJA127"/>
      <c r="DJB127"/>
      <c r="DJC127"/>
      <c r="DJD127"/>
      <c r="DJE127"/>
      <c r="DJF127"/>
      <c r="DJG127"/>
      <c r="DJH127"/>
      <c r="DJI127"/>
      <c r="DJJ127"/>
      <c r="DJK127"/>
      <c r="DJL127"/>
      <c r="DJM127"/>
      <c r="DJN127"/>
      <c r="DJO127"/>
      <c r="DJP127"/>
      <c r="DJQ127"/>
      <c r="DJR127"/>
      <c r="DJS127"/>
      <c r="DJT127"/>
      <c r="DJU127"/>
      <c r="DJV127"/>
      <c r="DJW127"/>
      <c r="DJX127"/>
      <c r="DJY127"/>
      <c r="DJZ127"/>
      <c r="DKA127"/>
      <c r="DKB127"/>
      <c r="DKC127"/>
      <c r="DKD127"/>
      <c r="DKE127"/>
      <c r="DKF127"/>
      <c r="DKG127"/>
      <c r="DKH127"/>
      <c r="DKI127"/>
      <c r="DKJ127"/>
      <c r="DKK127"/>
      <c r="DKL127"/>
      <c r="DKM127"/>
      <c r="DKN127"/>
      <c r="DKO127"/>
      <c r="DKP127"/>
      <c r="DKQ127"/>
      <c r="DKR127"/>
      <c r="DKS127"/>
      <c r="DKT127"/>
      <c r="DKU127"/>
      <c r="DKV127"/>
      <c r="DKW127"/>
      <c r="DKX127"/>
      <c r="DKY127"/>
      <c r="DKZ127"/>
      <c r="DLA127"/>
      <c r="DLB127"/>
      <c r="DLC127"/>
      <c r="DLD127"/>
      <c r="DLE127"/>
      <c r="DLF127"/>
      <c r="DLG127"/>
      <c r="DLH127"/>
      <c r="DLI127"/>
      <c r="DLJ127"/>
      <c r="DLK127"/>
      <c r="DLL127"/>
      <c r="DLM127"/>
      <c r="DLN127"/>
      <c r="DLO127"/>
      <c r="DLP127"/>
      <c r="DLQ127"/>
      <c r="DLR127"/>
      <c r="DLS127"/>
      <c r="DLT127"/>
      <c r="DLU127"/>
      <c r="DLV127"/>
      <c r="DLW127"/>
      <c r="DLX127"/>
      <c r="DLY127"/>
      <c r="DLZ127"/>
      <c r="DMA127"/>
      <c r="DMB127"/>
      <c r="DMC127"/>
      <c r="DMD127"/>
      <c r="DME127"/>
      <c r="DMF127"/>
      <c r="DMG127"/>
      <c r="DMH127"/>
      <c r="DMI127"/>
      <c r="DMJ127"/>
      <c r="DMK127"/>
      <c r="DML127"/>
      <c r="DMM127"/>
      <c r="DMN127"/>
      <c r="DMO127"/>
      <c r="DMP127"/>
      <c r="DMQ127"/>
      <c r="DMR127"/>
      <c r="DMS127"/>
      <c r="DMT127"/>
      <c r="DMU127"/>
      <c r="DMV127"/>
      <c r="DMW127"/>
      <c r="DMX127"/>
      <c r="DMY127"/>
      <c r="DMZ127"/>
      <c r="DNA127"/>
      <c r="DNB127"/>
      <c r="DNC127"/>
      <c r="DND127"/>
      <c r="DNE127"/>
      <c r="DNF127"/>
      <c r="DNG127"/>
      <c r="DNH127"/>
      <c r="DNI127"/>
      <c r="DNJ127"/>
      <c r="DNK127"/>
      <c r="DNL127"/>
      <c r="DNM127"/>
      <c r="DNN127"/>
      <c r="DNO127"/>
      <c r="DNP127"/>
      <c r="DNQ127"/>
      <c r="DNR127"/>
      <c r="DNS127"/>
      <c r="DNT127"/>
      <c r="DNU127"/>
      <c r="DNV127"/>
      <c r="DNW127"/>
      <c r="DNX127"/>
      <c r="DNY127"/>
      <c r="DNZ127"/>
      <c r="DOA127"/>
      <c r="DOB127"/>
      <c r="DOC127"/>
      <c r="DOD127"/>
      <c r="DOE127"/>
      <c r="DOF127"/>
      <c r="DOG127"/>
      <c r="DOH127"/>
      <c r="DOI127"/>
      <c r="DOJ127"/>
      <c r="DOK127"/>
      <c r="DOL127"/>
      <c r="DOM127"/>
      <c r="DON127"/>
      <c r="DOO127"/>
      <c r="DOP127"/>
      <c r="DOQ127"/>
      <c r="DOR127"/>
      <c r="DOS127"/>
      <c r="DOT127"/>
      <c r="DOU127"/>
      <c r="DOV127"/>
      <c r="DOW127"/>
      <c r="DOX127"/>
      <c r="DOY127"/>
      <c r="DOZ127"/>
      <c r="DPA127"/>
      <c r="DPB127"/>
      <c r="DPC127"/>
      <c r="DPD127"/>
      <c r="DPE127"/>
      <c r="DPF127"/>
      <c r="DPG127"/>
      <c r="DPH127"/>
      <c r="DPI127"/>
      <c r="DPJ127"/>
      <c r="DPK127"/>
      <c r="DPL127"/>
      <c r="DPM127"/>
      <c r="DPN127"/>
      <c r="DPO127"/>
      <c r="DPP127"/>
      <c r="DPQ127"/>
      <c r="DPR127"/>
      <c r="DPS127"/>
      <c r="DPT127"/>
      <c r="DPU127"/>
      <c r="DPV127"/>
      <c r="DPW127"/>
      <c r="DPX127"/>
      <c r="DPY127"/>
      <c r="DPZ127"/>
      <c r="DQA127"/>
      <c r="DQB127"/>
      <c r="DQC127"/>
      <c r="DQD127"/>
      <c r="DQE127"/>
      <c r="DQF127"/>
      <c r="DQG127"/>
      <c r="DQH127"/>
      <c r="DQI127"/>
      <c r="DQJ127"/>
      <c r="DQK127"/>
      <c r="DQL127"/>
      <c r="DQM127"/>
      <c r="DQN127"/>
      <c r="DQO127"/>
      <c r="DQP127"/>
      <c r="DQQ127"/>
      <c r="DQR127"/>
      <c r="DQS127"/>
      <c r="DQT127"/>
      <c r="DQU127"/>
      <c r="DQV127"/>
      <c r="DQW127"/>
      <c r="DQX127"/>
      <c r="DQY127"/>
      <c r="DQZ127"/>
      <c r="DRA127"/>
      <c r="DRB127"/>
      <c r="DRC127"/>
      <c r="DRD127"/>
      <c r="DRE127"/>
      <c r="DRF127"/>
      <c r="DRG127"/>
      <c r="DRH127"/>
      <c r="DRI127"/>
      <c r="DRJ127"/>
      <c r="DRK127"/>
      <c r="DRL127"/>
      <c r="DRM127"/>
      <c r="DRN127"/>
      <c r="DRO127"/>
      <c r="DRP127"/>
      <c r="DRQ127"/>
      <c r="DRR127"/>
      <c r="DRS127"/>
      <c r="DRT127"/>
      <c r="DRU127"/>
      <c r="DRV127"/>
      <c r="DRW127"/>
      <c r="DRX127"/>
      <c r="DRY127"/>
      <c r="DRZ127"/>
      <c r="DSA127"/>
      <c r="DSB127"/>
      <c r="DSC127"/>
      <c r="DSD127"/>
      <c r="DSE127"/>
      <c r="DSF127"/>
      <c r="DSG127"/>
      <c r="DSH127"/>
      <c r="DSI127"/>
      <c r="DSJ127"/>
      <c r="DSK127"/>
      <c r="DSL127"/>
      <c r="DSM127"/>
      <c r="DSN127"/>
      <c r="DSO127"/>
      <c r="DSP127"/>
      <c r="DSQ127"/>
      <c r="DSR127"/>
      <c r="DSS127"/>
      <c r="DST127"/>
      <c r="DSU127"/>
      <c r="DSV127"/>
      <c r="DSW127"/>
      <c r="DSX127"/>
      <c r="DSY127"/>
      <c r="DSZ127"/>
      <c r="DTA127"/>
      <c r="DTB127"/>
      <c r="DTC127"/>
      <c r="DTD127"/>
      <c r="DTE127"/>
      <c r="DTF127"/>
      <c r="DTG127"/>
      <c r="DTH127"/>
      <c r="DTI127"/>
      <c r="DTJ127"/>
      <c r="DTK127"/>
      <c r="DTL127"/>
      <c r="DTM127"/>
      <c r="DTN127"/>
      <c r="DTO127"/>
      <c r="DTP127"/>
      <c r="DTQ127"/>
      <c r="DTR127"/>
      <c r="DTS127"/>
      <c r="DTT127"/>
      <c r="DTU127"/>
      <c r="DTV127"/>
      <c r="DTW127"/>
      <c r="DTX127"/>
      <c r="DTY127"/>
      <c r="DTZ127"/>
      <c r="DUA127"/>
      <c r="DUB127"/>
      <c r="DUC127"/>
      <c r="DUD127"/>
      <c r="DUE127"/>
      <c r="DUF127"/>
      <c r="DUG127"/>
      <c r="DUH127"/>
      <c r="DUI127"/>
      <c r="DUJ127"/>
      <c r="DUK127"/>
      <c r="DUL127"/>
      <c r="DUM127"/>
      <c r="DUN127"/>
      <c r="DUO127"/>
      <c r="DUP127"/>
      <c r="DUQ127"/>
      <c r="DUR127"/>
      <c r="DUS127"/>
      <c r="DUT127"/>
      <c r="DUU127"/>
      <c r="DUV127"/>
      <c r="DUW127"/>
      <c r="DUX127"/>
      <c r="DUY127"/>
      <c r="DUZ127"/>
      <c r="DVA127"/>
      <c r="DVB127"/>
      <c r="DVC127"/>
      <c r="DVD127"/>
      <c r="DVE127"/>
      <c r="DVF127"/>
      <c r="DVG127"/>
      <c r="DVH127"/>
      <c r="DVI127"/>
      <c r="DVJ127"/>
      <c r="DVK127"/>
      <c r="DVL127"/>
      <c r="DVM127"/>
      <c r="DVN127"/>
      <c r="DVO127"/>
      <c r="DVP127"/>
      <c r="DVQ127"/>
      <c r="DVR127"/>
      <c r="DVS127"/>
      <c r="DVT127"/>
      <c r="DVU127"/>
      <c r="DVV127"/>
      <c r="DVW127"/>
      <c r="DVX127"/>
      <c r="DVY127"/>
      <c r="DVZ127"/>
      <c r="DWA127"/>
      <c r="DWB127"/>
      <c r="DWC127"/>
      <c r="DWD127"/>
      <c r="DWE127"/>
      <c r="DWF127"/>
      <c r="DWG127"/>
      <c r="DWH127"/>
      <c r="DWI127"/>
      <c r="DWJ127"/>
      <c r="DWK127"/>
      <c r="DWL127"/>
      <c r="DWM127"/>
      <c r="DWN127"/>
      <c r="DWO127"/>
      <c r="DWP127"/>
      <c r="DWQ127"/>
      <c r="DWR127"/>
      <c r="DWS127"/>
      <c r="DWT127"/>
      <c r="DWU127"/>
      <c r="DWV127"/>
      <c r="DWW127"/>
      <c r="DWX127"/>
      <c r="DWY127"/>
      <c r="DWZ127"/>
      <c r="DXA127"/>
      <c r="DXB127"/>
      <c r="DXC127"/>
      <c r="DXD127"/>
      <c r="DXE127"/>
      <c r="DXF127"/>
      <c r="DXG127"/>
      <c r="DXH127"/>
      <c r="DXI127"/>
      <c r="DXJ127"/>
      <c r="DXK127"/>
      <c r="DXL127"/>
      <c r="DXM127"/>
      <c r="DXN127"/>
      <c r="DXO127"/>
      <c r="DXP127"/>
      <c r="DXQ127"/>
      <c r="DXR127"/>
      <c r="DXS127"/>
      <c r="DXT127"/>
      <c r="DXU127"/>
      <c r="DXV127"/>
      <c r="DXW127"/>
      <c r="DXX127"/>
      <c r="DXY127"/>
      <c r="DXZ127"/>
      <c r="DYA127"/>
      <c r="DYB127"/>
      <c r="DYC127"/>
      <c r="DYD127"/>
      <c r="DYE127"/>
      <c r="DYF127"/>
      <c r="DYG127"/>
      <c r="DYH127"/>
      <c r="DYI127"/>
      <c r="DYJ127"/>
      <c r="DYK127"/>
      <c r="DYL127"/>
      <c r="DYM127"/>
      <c r="DYN127"/>
      <c r="DYO127"/>
      <c r="DYP127"/>
      <c r="DYQ127"/>
      <c r="DYR127"/>
      <c r="DYS127"/>
      <c r="DYT127"/>
      <c r="DYU127"/>
      <c r="DYV127"/>
      <c r="DYW127"/>
      <c r="DYX127"/>
      <c r="DYY127"/>
      <c r="DYZ127"/>
      <c r="DZA127"/>
      <c r="DZB127"/>
      <c r="DZC127"/>
      <c r="DZD127"/>
      <c r="DZE127"/>
      <c r="DZF127"/>
      <c r="DZG127"/>
      <c r="DZH127"/>
      <c r="DZI127"/>
      <c r="DZJ127"/>
      <c r="DZK127"/>
      <c r="DZL127"/>
      <c r="DZM127"/>
      <c r="DZN127"/>
      <c r="DZO127"/>
      <c r="DZP127"/>
      <c r="DZQ127"/>
      <c r="DZR127"/>
      <c r="DZS127"/>
      <c r="DZT127"/>
      <c r="DZU127"/>
      <c r="DZV127"/>
      <c r="DZW127"/>
      <c r="DZX127"/>
      <c r="DZY127"/>
      <c r="DZZ127"/>
      <c r="EAA127"/>
      <c r="EAB127"/>
      <c r="EAC127"/>
      <c r="EAD127"/>
      <c r="EAE127"/>
      <c r="EAF127"/>
      <c r="EAG127"/>
      <c r="EAH127"/>
      <c r="EAI127"/>
      <c r="EAJ127"/>
      <c r="EAK127"/>
      <c r="EAL127"/>
      <c r="EAM127"/>
      <c r="EAN127"/>
      <c r="EAO127"/>
      <c r="EAP127"/>
      <c r="EAQ127"/>
      <c r="EAR127"/>
      <c r="EAS127"/>
      <c r="EAT127"/>
      <c r="EAU127"/>
      <c r="EAV127"/>
      <c r="EAW127"/>
      <c r="EAX127"/>
      <c r="EAY127"/>
      <c r="EAZ127"/>
      <c r="EBA127"/>
      <c r="EBB127"/>
      <c r="EBC127"/>
      <c r="EBD127"/>
      <c r="EBE127"/>
      <c r="EBF127"/>
      <c r="EBG127"/>
      <c r="EBH127"/>
      <c r="EBI127"/>
      <c r="EBJ127"/>
      <c r="EBK127"/>
      <c r="EBL127"/>
      <c r="EBM127"/>
      <c r="EBN127"/>
      <c r="EBO127"/>
      <c r="EBP127"/>
      <c r="EBQ127"/>
      <c r="EBR127"/>
      <c r="EBS127"/>
      <c r="EBT127"/>
      <c r="EBU127"/>
      <c r="EBV127"/>
      <c r="EBW127"/>
      <c r="EBX127"/>
      <c r="EBY127"/>
      <c r="EBZ127"/>
      <c r="ECA127"/>
      <c r="ECB127"/>
      <c r="ECC127"/>
      <c r="ECD127"/>
      <c r="ECE127"/>
      <c r="ECF127"/>
      <c r="ECG127"/>
      <c r="ECH127"/>
      <c r="ECI127"/>
      <c r="ECJ127"/>
      <c r="ECK127"/>
      <c r="ECL127"/>
      <c r="ECM127"/>
      <c r="ECN127"/>
      <c r="ECO127"/>
      <c r="ECP127"/>
      <c r="ECQ127"/>
      <c r="ECR127"/>
      <c r="ECS127"/>
      <c r="ECT127"/>
      <c r="ECU127"/>
      <c r="ECV127"/>
      <c r="ECW127"/>
      <c r="ECX127"/>
      <c r="ECY127"/>
      <c r="ECZ127"/>
      <c r="EDA127"/>
      <c r="EDB127"/>
      <c r="EDC127"/>
      <c r="EDD127"/>
      <c r="EDE127"/>
      <c r="EDF127"/>
      <c r="EDG127"/>
      <c r="EDH127"/>
      <c r="EDI127"/>
      <c r="EDJ127"/>
      <c r="EDK127"/>
      <c r="EDL127"/>
      <c r="EDM127"/>
      <c r="EDN127"/>
      <c r="EDO127"/>
      <c r="EDP127"/>
      <c r="EDQ127"/>
      <c r="EDR127"/>
      <c r="EDS127"/>
      <c r="EDT127"/>
      <c r="EDU127"/>
      <c r="EDV127"/>
      <c r="EDW127"/>
      <c r="EDX127"/>
      <c r="EDY127"/>
      <c r="EDZ127"/>
      <c r="EEA127"/>
      <c r="EEB127"/>
      <c r="EEC127"/>
      <c r="EED127"/>
      <c r="EEE127"/>
      <c r="EEF127"/>
      <c r="EEG127"/>
      <c r="EEH127"/>
      <c r="EEI127"/>
      <c r="EEJ127"/>
      <c r="EEK127"/>
      <c r="EEL127"/>
      <c r="EEM127"/>
      <c r="EEN127"/>
      <c r="EEO127"/>
      <c r="EEP127"/>
      <c r="EEQ127"/>
      <c r="EER127"/>
      <c r="EES127"/>
      <c r="EET127"/>
      <c r="EEU127"/>
      <c r="EEV127"/>
      <c r="EEW127"/>
      <c r="EEX127"/>
      <c r="EEY127"/>
      <c r="EEZ127"/>
      <c r="EFA127"/>
      <c r="EFB127"/>
      <c r="EFC127"/>
      <c r="EFD127"/>
      <c r="EFE127"/>
      <c r="EFF127"/>
      <c r="EFG127"/>
      <c r="EFH127"/>
      <c r="EFI127"/>
      <c r="EFJ127"/>
      <c r="EFK127"/>
      <c r="EFL127"/>
      <c r="EFM127"/>
      <c r="EFN127"/>
      <c r="EFO127"/>
      <c r="EFP127"/>
      <c r="EFQ127"/>
      <c r="EFR127"/>
      <c r="EFS127"/>
      <c r="EFT127"/>
      <c r="EFU127"/>
      <c r="EFV127"/>
      <c r="EFW127"/>
      <c r="EFX127"/>
      <c r="EFY127"/>
      <c r="EFZ127"/>
      <c r="EGA127"/>
      <c r="EGB127"/>
      <c r="EGC127"/>
      <c r="EGD127"/>
      <c r="EGE127"/>
      <c r="EGF127"/>
      <c r="EGG127"/>
      <c r="EGH127"/>
      <c r="EGI127"/>
      <c r="EGJ127"/>
      <c r="EGK127"/>
      <c r="EGL127"/>
      <c r="EGM127"/>
      <c r="EGN127"/>
      <c r="EGO127"/>
      <c r="EGP127"/>
      <c r="EGQ127"/>
      <c r="EGR127"/>
      <c r="EGS127"/>
      <c r="EGT127"/>
      <c r="EGU127"/>
      <c r="EGV127"/>
      <c r="EGW127"/>
      <c r="EGX127"/>
      <c r="EGY127"/>
      <c r="EGZ127"/>
      <c r="EHA127"/>
      <c r="EHB127"/>
      <c r="EHC127"/>
      <c r="EHD127"/>
      <c r="EHE127"/>
      <c r="EHF127"/>
      <c r="EHG127"/>
      <c r="EHH127"/>
      <c r="EHI127"/>
      <c r="EHJ127"/>
      <c r="EHK127"/>
      <c r="EHL127"/>
      <c r="EHM127"/>
      <c r="EHN127"/>
      <c r="EHO127"/>
      <c r="EHP127"/>
      <c r="EHQ127"/>
      <c r="EHR127"/>
      <c r="EHS127"/>
      <c r="EHT127"/>
      <c r="EHU127"/>
      <c r="EHV127"/>
      <c r="EHW127"/>
      <c r="EHX127"/>
      <c r="EHY127"/>
      <c r="EHZ127"/>
      <c r="EIA127"/>
      <c r="EIB127"/>
      <c r="EIC127"/>
      <c r="EID127"/>
      <c r="EIE127"/>
      <c r="EIF127"/>
      <c r="EIG127"/>
      <c r="EIH127"/>
      <c r="EII127"/>
      <c r="EIJ127"/>
      <c r="EIK127"/>
      <c r="EIL127"/>
      <c r="EIM127"/>
      <c r="EIN127"/>
      <c r="EIO127"/>
      <c r="EIP127"/>
      <c r="EIQ127"/>
      <c r="EIR127"/>
      <c r="EIS127"/>
      <c r="EIT127"/>
      <c r="EIU127"/>
      <c r="EIV127"/>
      <c r="EIW127"/>
      <c r="EIX127"/>
      <c r="EIY127"/>
      <c r="EIZ127"/>
      <c r="EJA127"/>
      <c r="EJB127"/>
      <c r="EJC127"/>
      <c r="EJD127"/>
      <c r="EJE127"/>
      <c r="EJF127"/>
      <c r="EJG127"/>
      <c r="EJH127"/>
      <c r="EJI127"/>
      <c r="EJJ127"/>
      <c r="EJK127"/>
      <c r="EJL127"/>
      <c r="EJM127"/>
      <c r="EJN127"/>
      <c r="EJO127"/>
      <c r="EJP127"/>
      <c r="EJQ127"/>
      <c r="EJR127"/>
      <c r="EJS127"/>
      <c r="EJT127"/>
      <c r="EJU127"/>
      <c r="EJV127"/>
      <c r="EJW127"/>
      <c r="EJX127"/>
      <c r="EJY127"/>
      <c r="EJZ127"/>
      <c r="EKA127"/>
      <c r="EKB127"/>
      <c r="EKC127"/>
      <c r="EKD127"/>
      <c r="EKE127"/>
      <c r="EKF127"/>
      <c r="EKG127"/>
      <c r="EKH127"/>
      <c r="EKI127"/>
      <c r="EKJ127"/>
      <c r="EKK127"/>
      <c r="EKL127"/>
      <c r="EKM127"/>
      <c r="EKN127"/>
      <c r="EKO127"/>
      <c r="EKP127"/>
      <c r="EKQ127"/>
      <c r="EKR127"/>
      <c r="EKS127"/>
      <c r="EKT127"/>
      <c r="EKU127"/>
      <c r="EKV127"/>
      <c r="EKW127"/>
      <c r="EKX127"/>
      <c r="EKY127"/>
      <c r="EKZ127"/>
      <c r="ELA127"/>
      <c r="ELB127"/>
      <c r="ELC127"/>
      <c r="ELD127"/>
      <c r="ELE127"/>
      <c r="ELF127"/>
      <c r="ELG127"/>
      <c r="ELH127"/>
      <c r="ELI127"/>
      <c r="ELJ127"/>
      <c r="ELK127"/>
      <c r="ELL127"/>
      <c r="ELM127"/>
      <c r="ELN127"/>
      <c r="ELO127"/>
      <c r="ELP127"/>
      <c r="ELQ127"/>
      <c r="ELR127"/>
      <c r="ELS127"/>
      <c r="ELT127"/>
      <c r="ELU127"/>
      <c r="ELV127"/>
      <c r="ELW127"/>
      <c r="ELX127"/>
      <c r="ELY127"/>
      <c r="ELZ127"/>
      <c r="EMA127"/>
      <c r="EMB127"/>
      <c r="EMC127"/>
      <c r="EMD127"/>
      <c r="EME127"/>
      <c r="EMF127"/>
      <c r="EMG127"/>
      <c r="EMH127"/>
      <c r="EMI127"/>
      <c r="EMJ127"/>
      <c r="EMK127"/>
      <c r="EML127"/>
      <c r="EMM127"/>
      <c r="EMN127"/>
      <c r="EMO127"/>
      <c r="EMP127"/>
      <c r="EMQ127"/>
      <c r="EMR127"/>
      <c r="EMS127"/>
      <c r="EMT127"/>
      <c r="EMU127"/>
      <c r="EMV127"/>
      <c r="EMW127"/>
      <c r="EMX127"/>
      <c r="EMY127"/>
      <c r="EMZ127"/>
      <c r="ENA127"/>
      <c r="ENB127"/>
      <c r="ENC127"/>
      <c r="END127"/>
      <c r="ENE127"/>
      <c r="ENF127"/>
      <c r="ENG127"/>
      <c r="ENH127"/>
      <c r="ENI127"/>
      <c r="ENJ127"/>
      <c r="ENK127"/>
      <c r="ENL127"/>
      <c r="ENM127"/>
      <c r="ENN127"/>
      <c r="ENO127"/>
      <c r="ENP127"/>
      <c r="ENQ127"/>
      <c r="ENR127"/>
      <c r="ENS127"/>
      <c r="ENT127"/>
      <c r="ENU127"/>
      <c r="ENV127"/>
      <c r="ENW127"/>
      <c r="ENX127"/>
      <c r="ENY127"/>
      <c r="ENZ127"/>
      <c r="EOA127"/>
      <c r="EOB127"/>
      <c r="EOC127"/>
      <c r="EOD127"/>
      <c r="EOE127"/>
      <c r="EOF127"/>
      <c r="EOG127"/>
      <c r="EOH127"/>
      <c r="EOI127"/>
      <c r="EOJ127"/>
      <c r="EOK127"/>
      <c r="EOL127"/>
      <c r="EOM127"/>
      <c r="EON127"/>
      <c r="EOO127"/>
      <c r="EOP127"/>
      <c r="EOQ127"/>
      <c r="EOR127"/>
      <c r="EOS127"/>
      <c r="EOT127"/>
      <c r="EOU127"/>
      <c r="EOV127"/>
      <c r="EOW127"/>
      <c r="EOX127"/>
      <c r="EOY127"/>
      <c r="EOZ127"/>
      <c r="EPA127"/>
      <c r="EPB127"/>
      <c r="EPC127"/>
      <c r="EPD127"/>
      <c r="EPE127"/>
      <c r="EPF127"/>
      <c r="EPG127"/>
      <c r="EPH127"/>
      <c r="EPI127"/>
      <c r="EPJ127"/>
      <c r="EPK127"/>
      <c r="EPL127"/>
      <c r="EPM127"/>
      <c r="EPN127"/>
      <c r="EPO127"/>
      <c r="EPP127"/>
      <c r="EPQ127"/>
      <c r="EPR127"/>
      <c r="EPS127"/>
      <c r="EPT127"/>
      <c r="EPU127"/>
      <c r="EPV127"/>
      <c r="EPW127"/>
      <c r="EPX127"/>
      <c r="EPY127"/>
      <c r="EPZ127"/>
      <c r="EQA127"/>
      <c r="EQB127"/>
      <c r="EQC127"/>
      <c r="EQD127"/>
      <c r="EQE127"/>
      <c r="EQF127"/>
      <c r="EQG127"/>
      <c r="EQH127"/>
      <c r="EQI127"/>
      <c r="EQJ127"/>
      <c r="EQK127"/>
      <c r="EQL127"/>
      <c r="EQM127"/>
      <c r="EQN127"/>
      <c r="EQO127"/>
      <c r="EQP127"/>
      <c r="EQQ127"/>
      <c r="EQR127"/>
      <c r="EQS127"/>
      <c r="EQT127"/>
      <c r="EQU127"/>
      <c r="EQV127"/>
      <c r="EQW127"/>
      <c r="EQX127"/>
      <c r="EQY127"/>
      <c r="EQZ127"/>
      <c r="ERA127"/>
      <c r="ERB127"/>
      <c r="ERC127"/>
      <c r="ERD127"/>
      <c r="ERE127"/>
      <c r="ERF127"/>
      <c r="ERG127"/>
      <c r="ERH127"/>
      <c r="ERI127"/>
      <c r="ERJ127"/>
      <c r="ERK127"/>
      <c r="ERL127"/>
      <c r="ERM127"/>
      <c r="ERN127"/>
      <c r="ERO127"/>
      <c r="ERP127"/>
      <c r="ERQ127"/>
      <c r="ERR127"/>
      <c r="ERS127"/>
      <c r="ERT127"/>
      <c r="ERU127"/>
      <c r="ERV127"/>
      <c r="ERW127"/>
      <c r="ERX127"/>
      <c r="ERY127"/>
      <c r="ERZ127"/>
      <c r="ESA127"/>
      <c r="ESB127"/>
      <c r="ESC127"/>
      <c r="ESD127"/>
      <c r="ESE127"/>
      <c r="ESF127"/>
      <c r="ESG127"/>
      <c r="ESH127"/>
      <c r="ESI127"/>
      <c r="ESJ127"/>
      <c r="ESK127"/>
      <c r="ESL127"/>
      <c r="ESM127"/>
      <c r="ESN127"/>
      <c r="ESO127"/>
      <c r="ESP127"/>
      <c r="ESQ127"/>
      <c r="ESR127"/>
      <c r="ESS127"/>
      <c r="EST127"/>
      <c r="ESU127"/>
      <c r="ESV127"/>
      <c r="ESW127"/>
      <c r="ESX127"/>
      <c r="ESY127"/>
      <c r="ESZ127"/>
      <c r="ETA127"/>
      <c r="ETB127"/>
      <c r="ETC127"/>
      <c r="ETD127"/>
      <c r="ETE127"/>
      <c r="ETF127"/>
      <c r="ETG127"/>
      <c r="ETH127"/>
      <c r="ETI127"/>
      <c r="ETJ127"/>
      <c r="ETK127"/>
      <c r="ETL127"/>
      <c r="ETM127"/>
      <c r="ETN127"/>
      <c r="ETO127"/>
      <c r="ETP127"/>
      <c r="ETQ127"/>
      <c r="ETR127"/>
      <c r="ETS127"/>
      <c r="ETT127"/>
      <c r="ETU127"/>
      <c r="ETV127"/>
      <c r="ETW127"/>
      <c r="ETX127"/>
      <c r="ETY127"/>
      <c r="ETZ127"/>
      <c r="EUA127"/>
      <c r="EUB127"/>
      <c r="EUC127"/>
      <c r="EUD127"/>
      <c r="EUE127"/>
      <c r="EUF127"/>
      <c r="EUG127"/>
      <c r="EUH127"/>
      <c r="EUI127"/>
      <c r="EUJ127"/>
      <c r="EUK127"/>
      <c r="EUL127"/>
      <c r="EUM127"/>
      <c r="EUN127"/>
      <c r="EUO127"/>
      <c r="EUP127"/>
      <c r="EUQ127"/>
      <c r="EUR127"/>
      <c r="EUS127"/>
      <c r="EUT127"/>
      <c r="EUU127"/>
      <c r="EUV127"/>
      <c r="EUW127"/>
      <c r="EUX127"/>
      <c r="EUY127"/>
      <c r="EUZ127"/>
      <c r="EVA127"/>
      <c r="EVB127"/>
      <c r="EVC127"/>
      <c r="EVD127"/>
      <c r="EVE127"/>
      <c r="EVF127"/>
      <c r="EVG127"/>
      <c r="EVH127"/>
      <c r="EVI127"/>
      <c r="EVJ127"/>
      <c r="EVK127"/>
      <c r="EVL127"/>
      <c r="EVM127"/>
      <c r="EVN127"/>
      <c r="EVO127"/>
      <c r="EVP127"/>
      <c r="EVQ127"/>
      <c r="EVR127"/>
      <c r="EVS127"/>
      <c r="EVT127"/>
      <c r="EVU127"/>
      <c r="EVV127"/>
      <c r="EVW127"/>
      <c r="EVX127"/>
      <c r="EVY127"/>
      <c r="EVZ127"/>
      <c r="EWA127"/>
      <c r="EWB127"/>
      <c r="EWC127"/>
      <c r="EWD127"/>
      <c r="EWE127"/>
      <c r="EWF127"/>
      <c r="EWG127"/>
      <c r="EWH127"/>
      <c r="EWI127"/>
      <c r="EWJ127"/>
      <c r="EWK127"/>
      <c r="EWL127"/>
      <c r="EWM127"/>
      <c r="EWN127"/>
      <c r="EWO127"/>
      <c r="EWP127"/>
      <c r="EWQ127"/>
      <c r="EWR127"/>
      <c r="EWS127"/>
      <c r="EWT127"/>
      <c r="EWU127"/>
      <c r="EWV127"/>
      <c r="EWW127"/>
      <c r="EWX127"/>
      <c r="EWY127"/>
      <c r="EWZ127"/>
      <c r="EXA127"/>
      <c r="EXB127"/>
      <c r="EXC127"/>
      <c r="EXD127"/>
      <c r="EXE127"/>
      <c r="EXF127"/>
      <c r="EXG127"/>
      <c r="EXH127"/>
      <c r="EXI127"/>
      <c r="EXJ127"/>
      <c r="EXK127"/>
      <c r="EXL127"/>
      <c r="EXM127"/>
      <c r="EXN127"/>
      <c r="EXO127"/>
      <c r="EXP127"/>
      <c r="EXQ127"/>
      <c r="EXR127"/>
      <c r="EXS127"/>
      <c r="EXT127"/>
      <c r="EXU127"/>
      <c r="EXV127"/>
      <c r="EXW127"/>
      <c r="EXX127"/>
      <c r="EXY127"/>
      <c r="EXZ127"/>
      <c r="EYA127"/>
      <c r="EYB127"/>
      <c r="EYC127"/>
      <c r="EYD127"/>
      <c r="EYE127"/>
      <c r="EYF127"/>
      <c r="EYG127"/>
      <c r="EYH127"/>
      <c r="EYI127"/>
      <c r="EYJ127"/>
      <c r="EYK127"/>
      <c r="EYL127"/>
      <c r="EYM127"/>
      <c r="EYN127"/>
      <c r="EYO127"/>
      <c r="EYP127"/>
      <c r="EYQ127"/>
      <c r="EYR127"/>
      <c r="EYS127"/>
      <c r="EYT127"/>
      <c r="EYU127"/>
      <c r="EYV127"/>
      <c r="EYW127"/>
      <c r="EYX127"/>
      <c r="EYY127"/>
      <c r="EYZ127"/>
      <c r="EZA127"/>
      <c r="EZB127"/>
      <c r="EZC127"/>
      <c r="EZD127"/>
      <c r="EZE127"/>
      <c r="EZF127"/>
      <c r="EZG127"/>
      <c r="EZH127"/>
      <c r="EZI127"/>
      <c r="EZJ127"/>
      <c r="EZK127"/>
      <c r="EZL127"/>
      <c r="EZM127"/>
      <c r="EZN127"/>
      <c r="EZO127"/>
      <c r="EZP127"/>
      <c r="EZQ127"/>
      <c r="EZR127"/>
      <c r="EZS127"/>
      <c r="EZT127"/>
      <c r="EZU127"/>
      <c r="EZV127"/>
      <c r="EZW127"/>
      <c r="EZX127"/>
      <c r="EZY127"/>
      <c r="EZZ127"/>
      <c r="FAA127"/>
      <c r="FAB127"/>
      <c r="FAC127"/>
      <c r="FAD127"/>
      <c r="FAE127"/>
      <c r="FAF127"/>
      <c r="FAG127"/>
      <c r="FAH127"/>
      <c r="FAI127"/>
      <c r="FAJ127"/>
      <c r="FAK127"/>
      <c r="FAL127"/>
      <c r="FAM127"/>
      <c r="FAN127"/>
      <c r="FAO127"/>
      <c r="FAP127"/>
      <c r="FAQ127"/>
      <c r="FAR127"/>
      <c r="FAS127"/>
      <c r="FAT127"/>
      <c r="FAU127"/>
      <c r="FAV127"/>
      <c r="FAW127"/>
      <c r="FAX127"/>
      <c r="FAY127"/>
      <c r="FAZ127"/>
      <c r="FBA127"/>
      <c r="FBB127"/>
      <c r="FBC127"/>
      <c r="FBD127"/>
      <c r="FBE127"/>
      <c r="FBF127"/>
      <c r="FBG127"/>
      <c r="FBH127"/>
      <c r="FBI127"/>
      <c r="FBJ127"/>
      <c r="FBK127"/>
      <c r="FBL127"/>
      <c r="FBM127"/>
      <c r="FBN127"/>
      <c r="FBO127"/>
      <c r="FBP127"/>
      <c r="FBQ127"/>
      <c r="FBR127"/>
      <c r="FBS127"/>
      <c r="FBT127"/>
      <c r="FBU127"/>
      <c r="FBV127"/>
      <c r="FBW127"/>
      <c r="FBX127"/>
      <c r="FBY127"/>
      <c r="FBZ127"/>
      <c r="FCA127"/>
      <c r="FCB127"/>
      <c r="FCC127"/>
      <c r="FCD127"/>
      <c r="FCE127"/>
      <c r="FCF127"/>
      <c r="FCG127"/>
      <c r="FCH127"/>
      <c r="FCI127"/>
      <c r="FCJ127"/>
      <c r="FCK127"/>
      <c r="FCL127"/>
      <c r="FCM127"/>
      <c r="FCN127"/>
      <c r="FCO127"/>
      <c r="FCP127"/>
      <c r="FCQ127"/>
      <c r="FCR127"/>
      <c r="FCS127"/>
      <c r="FCT127"/>
      <c r="FCU127"/>
      <c r="FCV127"/>
      <c r="FCW127"/>
      <c r="FCX127"/>
      <c r="FCY127"/>
      <c r="FCZ127"/>
      <c r="FDA127"/>
      <c r="FDB127"/>
      <c r="FDC127"/>
      <c r="FDD127"/>
      <c r="FDE127"/>
      <c r="FDF127"/>
      <c r="FDG127"/>
      <c r="FDH127"/>
      <c r="FDI127"/>
      <c r="FDJ127"/>
      <c r="FDK127"/>
      <c r="FDL127"/>
      <c r="FDM127"/>
      <c r="FDN127"/>
      <c r="FDO127"/>
      <c r="FDP127"/>
      <c r="FDQ127"/>
      <c r="FDR127"/>
      <c r="FDS127"/>
      <c r="FDT127"/>
      <c r="FDU127"/>
      <c r="FDV127"/>
      <c r="FDW127"/>
      <c r="FDX127"/>
      <c r="FDY127"/>
      <c r="FDZ127"/>
      <c r="FEA127"/>
      <c r="FEB127"/>
      <c r="FEC127"/>
      <c r="FED127"/>
      <c r="FEE127"/>
      <c r="FEF127"/>
      <c r="FEG127"/>
      <c r="FEH127"/>
      <c r="FEI127"/>
      <c r="FEJ127"/>
      <c r="FEK127"/>
      <c r="FEL127"/>
      <c r="FEM127"/>
      <c r="FEN127"/>
      <c r="FEO127"/>
      <c r="FEP127"/>
      <c r="FEQ127"/>
      <c r="FER127"/>
      <c r="FES127"/>
      <c r="FET127"/>
      <c r="FEU127"/>
      <c r="FEV127"/>
      <c r="FEW127"/>
      <c r="FEX127"/>
      <c r="FEY127"/>
      <c r="FEZ127"/>
      <c r="FFA127"/>
      <c r="FFB127"/>
      <c r="FFC127"/>
      <c r="FFD127"/>
      <c r="FFE127"/>
      <c r="FFF127"/>
      <c r="FFG127"/>
      <c r="FFH127"/>
      <c r="FFI127"/>
      <c r="FFJ127"/>
      <c r="FFK127"/>
      <c r="FFL127"/>
      <c r="FFM127"/>
      <c r="FFN127"/>
      <c r="FFO127"/>
      <c r="FFP127"/>
      <c r="FFQ127"/>
      <c r="FFR127"/>
      <c r="FFS127"/>
      <c r="FFT127"/>
      <c r="FFU127"/>
      <c r="FFV127"/>
      <c r="FFW127"/>
      <c r="FFX127"/>
      <c r="FFY127"/>
      <c r="FFZ127"/>
      <c r="FGA127"/>
      <c r="FGB127"/>
      <c r="FGC127"/>
      <c r="FGD127"/>
      <c r="FGE127"/>
      <c r="FGF127"/>
      <c r="FGG127"/>
      <c r="FGH127"/>
      <c r="FGI127"/>
      <c r="FGJ127"/>
      <c r="FGK127"/>
      <c r="FGL127"/>
      <c r="FGM127"/>
      <c r="FGN127"/>
      <c r="FGO127"/>
      <c r="FGP127"/>
      <c r="FGQ127"/>
      <c r="FGR127"/>
      <c r="FGS127"/>
      <c r="FGT127"/>
      <c r="FGU127"/>
      <c r="FGV127"/>
      <c r="FGW127"/>
      <c r="FGX127"/>
      <c r="FGY127"/>
      <c r="FGZ127"/>
      <c r="FHA127"/>
      <c r="FHB127"/>
      <c r="FHC127"/>
      <c r="FHD127"/>
      <c r="FHE127"/>
      <c r="FHF127"/>
      <c r="FHG127"/>
      <c r="FHH127"/>
      <c r="FHI127"/>
      <c r="FHJ127"/>
      <c r="FHK127"/>
      <c r="FHL127"/>
      <c r="FHM127"/>
      <c r="FHN127"/>
      <c r="FHO127"/>
      <c r="FHP127"/>
      <c r="FHQ127"/>
      <c r="FHR127"/>
      <c r="FHS127"/>
      <c r="FHT127"/>
      <c r="FHU127"/>
      <c r="FHV127"/>
      <c r="FHW127"/>
      <c r="FHX127"/>
      <c r="FHY127"/>
      <c r="FHZ127"/>
      <c r="FIA127"/>
      <c r="FIB127"/>
      <c r="FIC127"/>
      <c r="FID127"/>
      <c r="FIE127"/>
      <c r="FIF127"/>
      <c r="FIG127"/>
      <c r="FIH127"/>
      <c r="FII127"/>
      <c r="FIJ127"/>
      <c r="FIK127"/>
      <c r="FIL127"/>
      <c r="FIM127"/>
      <c r="FIN127"/>
      <c r="FIO127"/>
      <c r="FIP127"/>
      <c r="FIQ127"/>
      <c r="FIR127"/>
      <c r="FIS127"/>
      <c r="FIT127"/>
      <c r="FIU127"/>
      <c r="FIV127"/>
      <c r="FIW127"/>
      <c r="FIX127"/>
      <c r="FIY127"/>
      <c r="FIZ127"/>
      <c r="FJA127"/>
      <c r="FJB127"/>
      <c r="FJC127"/>
      <c r="FJD127"/>
      <c r="FJE127"/>
      <c r="FJF127"/>
      <c r="FJG127"/>
      <c r="FJH127"/>
      <c r="FJI127"/>
      <c r="FJJ127"/>
      <c r="FJK127"/>
      <c r="FJL127"/>
      <c r="FJM127"/>
      <c r="FJN127"/>
      <c r="FJO127"/>
      <c r="FJP127"/>
      <c r="FJQ127"/>
      <c r="FJR127"/>
      <c r="FJS127"/>
      <c r="FJT127"/>
      <c r="FJU127"/>
      <c r="FJV127"/>
      <c r="FJW127"/>
      <c r="FJX127"/>
      <c r="FJY127"/>
      <c r="FJZ127"/>
      <c r="FKA127"/>
      <c r="FKB127"/>
      <c r="FKC127"/>
      <c r="FKD127"/>
      <c r="FKE127"/>
      <c r="FKF127"/>
      <c r="FKG127"/>
      <c r="FKH127"/>
      <c r="FKI127"/>
      <c r="FKJ127"/>
      <c r="FKK127"/>
      <c r="FKL127"/>
      <c r="FKM127"/>
      <c r="FKN127"/>
      <c r="FKO127"/>
      <c r="FKP127"/>
      <c r="FKQ127"/>
      <c r="FKR127"/>
      <c r="FKS127"/>
      <c r="FKT127"/>
      <c r="FKU127"/>
      <c r="FKV127"/>
      <c r="FKW127"/>
      <c r="FKX127"/>
      <c r="FKY127"/>
      <c r="FKZ127"/>
      <c r="FLA127"/>
      <c r="FLB127"/>
      <c r="FLC127"/>
      <c r="FLD127"/>
      <c r="FLE127"/>
      <c r="FLF127"/>
      <c r="FLG127"/>
      <c r="FLH127"/>
      <c r="FLI127"/>
      <c r="FLJ127"/>
      <c r="FLK127"/>
      <c r="FLL127"/>
      <c r="FLM127"/>
      <c r="FLN127"/>
      <c r="FLO127"/>
      <c r="FLP127"/>
      <c r="FLQ127"/>
      <c r="FLR127"/>
      <c r="FLS127"/>
      <c r="FLT127"/>
      <c r="FLU127"/>
      <c r="FLV127"/>
      <c r="FLW127"/>
      <c r="FLX127"/>
      <c r="FLY127"/>
      <c r="FLZ127"/>
      <c r="FMA127"/>
      <c r="FMB127"/>
      <c r="FMC127"/>
      <c r="FMD127"/>
      <c r="FME127"/>
      <c r="FMF127"/>
      <c r="FMG127"/>
      <c r="FMH127"/>
      <c r="FMI127"/>
      <c r="FMJ127"/>
      <c r="FMK127"/>
      <c r="FML127"/>
      <c r="FMM127"/>
      <c r="FMN127"/>
      <c r="FMO127"/>
      <c r="FMP127"/>
      <c r="FMQ127"/>
      <c r="FMR127"/>
      <c r="FMS127"/>
      <c r="FMT127"/>
      <c r="FMU127"/>
      <c r="FMV127"/>
      <c r="FMW127"/>
      <c r="FMX127"/>
      <c r="FMY127"/>
      <c r="FMZ127"/>
      <c r="FNA127"/>
      <c r="FNB127"/>
      <c r="FNC127"/>
      <c r="FND127"/>
      <c r="FNE127"/>
      <c r="FNF127"/>
      <c r="FNG127"/>
      <c r="FNH127"/>
      <c r="FNI127"/>
      <c r="FNJ127"/>
      <c r="FNK127"/>
      <c r="FNL127"/>
      <c r="FNM127"/>
      <c r="FNN127"/>
      <c r="FNO127"/>
      <c r="FNP127"/>
      <c r="FNQ127"/>
      <c r="FNR127"/>
      <c r="FNS127"/>
      <c r="FNT127"/>
      <c r="FNU127"/>
      <c r="FNV127"/>
      <c r="FNW127"/>
      <c r="FNX127"/>
      <c r="FNY127"/>
      <c r="FNZ127"/>
      <c r="FOA127"/>
      <c r="FOB127"/>
      <c r="FOC127"/>
      <c r="FOD127"/>
      <c r="FOE127"/>
      <c r="FOF127"/>
      <c r="FOG127"/>
      <c r="FOH127"/>
      <c r="FOI127"/>
      <c r="FOJ127"/>
      <c r="FOK127"/>
      <c r="FOL127"/>
      <c r="FOM127"/>
      <c r="FON127"/>
      <c r="FOO127"/>
      <c r="FOP127"/>
      <c r="FOQ127"/>
      <c r="FOR127"/>
      <c r="FOS127"/>
      <c r="FOT127"/>
      <c r="FOU127"/>
      <c r="FOV127"/>
      <c r="FOW127"/>
      <c r="FOX127"/>
      <c r="FOY127"/>
      <c r="FOZ127"/>
      <c r="FPA127"/>
      <c r="FPB127"/>
      <c r="FPC127"/>
      <c r="FPD127"/>
      <c r="FPE127"/>
      <c r="FPF127"/>
      <c r="FPG127"/>
      <c r="FPH127"/>
      <c r="FPI127"/>
      <c r="FPJ127"/>
      <c r="FPK127"/>
      <c r="FPL127"/>
      <c r="FPM127"/>
      <c r="FPN127"/>
      <c r="FPO127"/>
      <c r="FPP127"/>
      <c r="FPQ127"/>
      <c r="FPR127"/>
      <c r="FPS127"/>
      <c r="FPT127"/>
      <c r="FPU127"/>
      <c r="FPV127"/>
      <c r="FPW127"/>
      <c r="FPX127"/>
      <c r="FPY127"/>
      <c r="FPZ127"/>
      <c r="FQA127"/>
      <c r="FQB127"/>
      <c r="FQC127"/>
      <c r="FQD127"/>
      <c r="FQE127"/>
      <c r="FQF127"/>
      <c r="FQG127"/>
      <c r="FQH127"/>
      <c r="FQI127"/>
      <c r="FQJ127"/>
      <c r="FQK127"/>
      <c r="FQL127"/>
      <c r="FQM127"/>
      <c r="FQN127"/>
      <c r="FQO127"/>
      <c r="FQP127"/>
      <c r="FQQ127"/>
      <c r="FQR127"/>
      <c r="FQS127"/>
      <c r="FQT127"/>
      <c r="FQU127"/>
      <c r="FQV127"/>
      <c r="FQW127"/>
      <c r="FQX127"/>
      <c r="FQY127"/>
      <c r="FQZ127"/>
      <c r="FRA127"/>
      <c r="FRB127"/>
      <c r="FRC127"/>
      <c r="FRD127"/>
      <c r="FRE127"/>
      <c r="FRF127"/>
      <c r="FRG127"/>
      <c r="FRH127"/>
      <c r="FRI127"/>
      <c r="FRJ127"/>
      <c r="FRK127"/>
      <c r="FRL127"/>
      <c r="FRM127"/>
      <c r="FRN127"/>
      <c r="FRO127"/>
      <c r="FRP127"/>
      <c r="FRQ127"/>
      <c r="FRR127"/>
      <c r="FRS127"/>
      <c r="FRT127"/>
      <c r="FRU127"/>
      <c r="FRV127"/>
      <c r="FRW127"/>
      <c r="FRX127"/>
      <c r="FRY127"/>
      <c r="FRZ127"/>
      <c r="FSA127"/>
      <c r="FSB127"/>
      <c r="FSC127"/>
      <c r="FSD127"/>
      <c r="FSE127"/>
      <c r="FSF127"/>
      <c r="FSG127"/>
      <c r="FSH127"/>
      <c r="FSI127"/>
      <c r="FSJ127"/>
      <c r="FSK127"/>
      <c r="FSL127"/>
      <c r="FSM127"/>
      <c r="FSN127"/>
      <c r="FSO127"/>
      <c r="FSP127"/>
      <c r="FSQ127"/>
      <c r="FSR127"/>
      <c r="FSS127"/>
      <c r="FST127"/>
      <c r="FSU127"/>
      <c r="FSV127"/>
      <c r="FSW127"/>
      <c r="FSX127"/>
      <c r="FSY127"/>
      <c r="FSZ127"/>
      <c r="FTA127"/>
      <c r="FTB127"/>
      <c r="FTC127"/>
      <c r="FTD127"/>
      <c r="FTE127"/>
      <c r="FTF127"/>
      <c r="FTG127"/>
      <c r="FTH127"/>
      <c r="FTI127"/>
      <c r="FTJ127"/>
      <c r="FTK127"/>
      <c r="FTL127"/>
      <c r="FTM127"/>
      <c r="FTN127"/>
      <c r="FTO127"/>
      <c r="FTP127"/>
      <c r="FTQ127"/>
      <c r="FTR127"/>
      <c r="FTS127"/>
      <c r="FTT127"/>
      <c r="FTU127"/>
      <c r="FTV127"/>
      <c r="FTW127"/>
      <c r="FTX127"/>
      <c r="FTY127"/>
      <c r="FTZ127"/>
      <c r="FUA127"/>
      <c r="FUB127"/>
      <c r="FUC127"/>
      <c r="FUD127"/>
      <c r="FUE127"/>
      <c r="FUF127"/>
      <c r="FUG127"/>
      <c r="FUH127"/>
      <c r="FUI127"/>
      <c r="FUJ127"/>
      <c r="FUK127"/>
      <c r="FUL127"/>
      <c r="FUM127"/>
      <c r="FUN127"/>
      <c r="FUO127"/>
      <c r="FUP127"/>
      <c r="FUQ127"/>
      <c r="FUR127"/>
      <c r="FUS127"/>
      <c r="FUT127"/>
      <c r="FUU127"/>
      <c r="FUV127"/>
      <c r="FUW127"/>
      <c r="FUX127"/>
      <c r="FUY127"/>
      <c r="FUZ127"/>
      <c r="FVA127"/>
      <c r="FVB127"/>
      <c r="FVC127"/>
      <c r="FVD127"/>
      <c r="FVE127"/>
      <c r="FVF127"/>
      <c r="FVG127"/>
      <c r="FVH127"/>
      <c r="FVI127"/>
      <c r="FVJ127"/>
      <c r="FVK127"/>
      <c r="FVL127"/>
      <c r="FVM127"/>
      <c r="FVN127"/>
      <c r="FVO127"/>
      <c r="FVP127"/>
      <c r="FVQ127"/>
      <c r="FVR127"/>
      <c r="FVS127"/>
      <c r="FVT127"/>
      <c r="FVU127"/>
      <c r="FVV127"/>
      <c r="FVW127"/>
      <c r="FVX127"/>
      <c r="FVY127"/>
      <c r="FVZ127"/>
      <c r="FWA127"/>
      <c r="FWB127"/>
      <c r="FWC127"/>
      <c r="FWD127"/>
      <c r="FWE127"/>
      <c r="FWF127"/>
      <c r="FWG127"/>
      <c r="FWH127"/>
      <c r="FWI127"/>
      <c r="FWJ127"/>
      <c r="FWK127"/>
      <c r="FWL127"/>
      <c r="FWM127"/>
      <c r="FWN127"/>
      <c r="FWO127"/>
      <c r="FWP127"/>
      <c r="FWQ127"/>
      <c r="FWR127"/>
      <c r="FWS127"/>
      <c r="FWT127"/>
      <c r="FWU127"/>
      <c r="FWV127"/>
      <c r="FWW127"/>
      <c r="FWX127"/>
      <c r="FWY127"/>
      <c r="FWZ127"/>
      <c r="FXA127"/>
      <c r="FXB127"/>
      <c r="FXC127"/>
      <c r="FXD127"/>
      <c r="FXE127"/>
      <c r="FXF127"/>
      <c r="FXG127"/>
      <c r="FXH127"/>
      <c r="FXI127"/>
      <c r="FXJ127"/>
      <c r="FXK127"/>
      <c r="FXL127"/>
      <c r="FXM127"/>
      <c r="FXN127"/>
      <c r="FXO127"/>
      <c r="FXP127"/>
      <c r="FXQ127"/>
      <c r="FXR127"/>
      <c r="FXS127"/>
      <c r="FXT127"/>
      <c r="FXU127"/>
      <c r="FXV127"/>
      <c r="FXW127"/>
      <c r="FXX127"/>
      <c r="FXY127"/>
      <c r="FXZ127"/>
      <c r="FYA127"/>
      <c r="FYB127"/>
      <c r="FYC127"/>
      <c r="FYD127"/>
      <c r="FYE127"/>
      <c r="FYF127"/>
      <c r="FYG127"/>
      <c r="FYH127"/>
      <c r="FYI127"/>
      <c r="FYJ127"/>
      <c r="FYK127"/>
      <c r="FYL127"/>
      <c r="FYM127"/>
      <c r="FYN127"/>
      <c r="FYO127"/>
      <c r="FYP127"/>
      <c r="FYQ127"/>
      <c r="FYR127"/>
      <c r="FYS127"/>
      <c r="FYT127"/>
      <c r="FYU127"/>
      <c r="FYV127"/>
      <c r="FYW127"/>
      <c r="FYX127"/>
      <c r="FYY127"/>
      <c r="FYZ127"/>
      <c r="FZA127"/>
      <c r="FZB127"/>
      <c r="FZC127"/>
      <c r="FZD127"/>
      <c r="FZE127"/>
      <c r="FZF127"/>
      <c r="FZG127"/>
      <c r="FZH127"/>
      <c r="FZI127"/>
      <c r="FZJ127"/>
      <c r="FZK127"/>
      <c r="FZL127"/>
      <c r="FZM127"/>
      <c r="FZN127"/>
      <c r="FZO127"/>
      <c r="FZP127"/>
      <c r="FZQ127"/>
      <c r="FZR127"/>
      <c r="FZS127"/>
      <c r="FZT127"/>
      <c r="FZU127"/>
      <c r="FZV127"/>
      <c r="FZW127"/>
      <c r="FZX127"/>
      <c r="FZY127"/>
      <c r="FZZ127"/>
      <c r="GAA127"/>
      <c r="GAB127"/>
      <c r="GAC127"/>
      <c r="GAD127"/>
      <c r="GAE127"/>
      <c r="GAF127"/>
      <c r="GAG127"/>
      <c r="GAH127"/>
      <c r="GAI127"/>
      <c r="GAJ127"/>
      <c r="GAK127"/>
      <c r="GAL127"/>
      <c r="GAM127"/>
      <c r="GAN127"/>
      <c r="GAO127"/>
      <c r="GAP127"/>
      <c r="GAQ127"/>
      <c r="GAR127"/>
      <c r="GAS127"/>
      <c r="GAT127"/>
      <c r="GAU127"/>
      <c r="GAV127"/>
      <c r="GAW127"/>
      <c r="GAX127"/>
      <c r="GAY127"/>
      <c r="GAZ127"/>
      <c r="GBA127"/>
      <c r="GBB127"/>
      <c r="GBC127"/>
      <c r="GBD127"/>
      <c r="GBE127"/>
      <c r="GBF127"/>
      <c r="GBG127"/>
      <c r="GBH127"/>
      <c r="GBI127"/>
      <c r="GBJ127"/>
      <c r="GBK127"/>
      <c r="GBL127"/>
      <c r="GBM127"/>
      <c r="GBN127"/>
      <c r="GBO127"/>
      <c r="GBP127"/>
      <c r="GBQ127"/>
      <c r="GBR127"/>
      <c r="GBS127"/>
      <c r="GBT127"/>
      <c r="GBU127"/>
      <c r="GBV127"/>
      <c r="GBW127"/>
      <c r="GBX127"/>
      <c r="GBY127"/>
      <c r="GBZ127"/>
      <c r="GCA127"/>
      <c r="GCB127"/>
      <c r="GCC127"/>
      <c r="GCD127"/>
      <c r="GCE127"/>
      <c r="GCF127"/>
      <c r="GCG127"/>
      <c r="GCH127"/>
      <c r="GCI127"/>
      <c r="GCJ127"/>
      <c r="GCK127"/>
      <c r="GCL127"/>
      <c r="GCM127"/>
      <c r="GCN127"/>
      <c r="GCO127"/>
      <c r="GCP127"/>
      <c r="GCQ127"/>
      <c r="GCR127"/>
      <c r="GCS127"/>
      <c r="GCT127"/>
      <c r="GCU127"/>
      <c r="GCV127"/>
      <c r="GCW127"/>
      <c r="GCX127"/>
      <c r="GCY127"/>
      <c r="GCZ127"/>
      <c r="GDA127"/>
      <c r="GDB127"/>
      <c r="GDC127"/>
      <c r="GDD127"/>
      <c r="GDE127"/>
      <c r="GDF127"/>
      <c r="GDG127"/>
      <c r="GDH127"/>
      <c r="GDI127"/>
      <c r="GDJ127"/>
      <c r="GDK127"/>
      <c r="GDL127"/>
      <c r="GDM127"/>
      <c r="GDN127"/>
      <c r="GDO127"/>
      <c r="GDP127"/>
      <c r="GDQ127"/>
      <c r="GDR127"/>
      <c r="GDS127"/>
      <c r="GDT127"/>
      <c r="GDU127"/>
      <c r="GDV127"/>
      <c r="GDW127"/>
      <c r="GDX127"/>
      <c r="GDY127"/>
      <c r="GDZ127"/>
      <c r="GEA127"/>
      <c r="GEB127"/>
      <c r="GEC127"/>
      <c r="GED127"/>
      <c r="GEE127"/>
      <c r="GEF127"/>
      <c r="GEG127"/>
      <c r="GEH127"/>
      <c r="GEI127"/>
      <c r="GEJ127"/>
      <c r="GEK127"/>
      <c r="GEL127"/>
      <c r="GEM127"/>
      <c r="GEN127"/>
      <c r="GEO127"/>
      <c r="GEP127"/>
      <c r="GEQ127"/>
      <c r="GER127"/>
      <c r="GES127"/>
      <c r="GET127"/>
      <c r="GEU127"/>
      <c r="GEV127"/>
      <c r="GEW127"/>
      <c r="GEX127"/>
      <c r="GEY127"/>
      <c r="GEZ127"/>
      <c r="GFA127"/>
      <c r="GFB127"/>
      <c r="GFC127"/>
      <c r="GFD127"/>
      <c r="GFE127"/>
      <c r="GFF127"/>
      <c r="GFG127"/>
      <c r="GFH127"/>
      <c r="GFI127"/>
      <c r="GFJ127"/>
      <c r="GFK127"/>
      <c r="GFL127"/>
      <c r="GFM127"/>
      <c r="GFN127"/>
      <c r="GFO127"/>
      <c r="GFP127"/>
      <c r="GFQ127"/>
      <c r="GFR127"/>
      <c r="GFS127"/>
      <c r="GFT127"/>
      <c r="GFU127"/>
      <c r="GFV127"/>
      <c r="GFW127"/>
      <c r="GFX127"/>
      <c r="GFY127"/>
      <c r="GFZ127"/>
      <c r="GGA127"/>
      <c r="GGB127"/>
      <c r="GGC127"/>
      <c r="GGD127"/>
      <c r="GGE127"/>
      <c r="GGF127"/>
      <c r="GGG127"/>
      <c r="GGH127"/>
      <c r="GGI127"/>
      <c r="GGJ127"/>
      <c r="GGK127"/>
      <c r="GGL127"/>
      <c r="GGM127"/>
      <c r="GGN127"/>
      <c r="GGO127"/>
      <c r="GGP127"/>
      <c r="GGQ127"/>
      <c r="GGR127"/>
      <c r="GGS127"/>
      <c r="GGT127"/>
      <c r="GGU127"/>
      <c r="GGV127"/>
      <c r="GGW127"/>
      <c r="GGX127"/>
      <c r="GGY127"/>
      <c r="GGZ127"/>
      <c r="GHA127"/>
      <c r="GHB127"/>
      <c r="GHC127"/>
      <c r="GHD127"/>
      <c r="GHE127"/>
      <c r="GHF127"/>
      <c r="GHG127"/>
      <c r="GHH127"/>
      <c r="GHI127"/>
      <c r="GHJ127"/>
      <c r="GHK127"/>
      <c r="GHL127"/>
      <c r="GHM127"/>
      <c r="GHN127"/>
      <c r="GHO127"/>
      <c r="GHP127"/>
      <c r="GHQ127"/>
      <c r="GHR127"/>
      <c r="GHS127"/>
      <c r="GHT127"/>
      <c r="GHU127"/>
      <c r="GHV127"/>
      <c r="GHW127"/>
      <c r="GHX127"/>
      <c r="GHY127"/>
      <c r="GHZ127"/>
      <c r="GIA127"/>
      <c r="GIB127"/>
      <c r="GIC127"/>
      <c r="GID127"/>
      <c r="GIE127"/>
      <c r="GIF127"/>
      <c r="GIG127"/>
      <c r="GIH127"/>
      <c r="GII127"/>
      <c r="GIJ127"/>
      <c r="GIK127"/>
      <c r="GIL127"/>
      <c r="GIM127"/>
      <c r="GIN127"/>
      <c r="GIO127"/>
      <c r="GIP127"/>
      <c r="GIQ127"/>
      <c r="GIR127"/>
      <c r="GIS127"/>
      <c r="GIT127"/>
      <c r="GIU127"/>
      <c r="GIV127"/>
      <c r="GIW127"/>
      <c r="GIX127"/>
      <c r="GIY127"/>
      <c r="GIZ127"/>
      <c r="GJA127"/>
      <c r="GJB127"/>
      <c r="GJC127"/>
      <c r="GJD127"/>
      <c r="GJE127"/>
      <c r="GJF127"/>
      <c r="GJG127"/>
      <c r="GJH127"/>
      <c r="GJI127"/>
      <c r="GJJ127"/>
      <c r="GJK127"/>
      <c r="GJL127"/>
      <c r="GJM127"/>
      <c r="GJN127"/>
      <c r="GJO127"/>
      <c r="GJP127"/>
      <c r="GJQ127"/>
      <c r="GJR127"/>
      <c r="GJS127"/>
      <c r="GJT127"/>
      <c r="GJU127"/>
      <c r="GJV127"/>
      <c r="GJW127"/>
      <c r="GJX127"/>
      <c r="GJY127"/>
      <c r="GJZ127"/>
      <c r="GKA127"/>
      <c r="GKB127"/>
      <c r="GKC127"/>
      <c r="GKD127"/>
      <c r="GKE127"/>
      <c r="GKF127"/>
      <c r="GKG127"/>
      <c r="GKH127"/>
      <c r="GKI127"/>
      <c r="GKJ127"/>
      <c r="GKK127"/>
      <c r="GKL127"/>
      <c r="GKM127"/>
      <c r="GKN127"/>
      <c r="GKO127"/>
      <c r="GKP127"/>
      <c r="GKQ127"/>
      <c r="GKR127"/>
      <c r="GKS127"/>
      <c r="GKT127"/>
      <c r="GKU127"/>
      <c r="GKV127"/>
      <c r="GKW127"/>
      <c r="GKX127"/>
      <c r="GKY127"/>
      <c r="GKZ127"/>
      <c r="GLA127"/>
      <c r="GLB127"/>
      <c r="GLC127"/>
      <c r="GLD127"/>
      <c r="GLE127"/>
      <c r="GLF127"/>
      <c r="GLG127"/>
      <c r="GLH127"/>
      <c r="GLI127"/>
      <c r="GLJ127"/>
      <c r="GLK127"/>
      <c r="GLL127"/>
      <c r="GLM127"/>
      <c r="GLN127"/>
      <c r="GLO127"/>
      <c r="GLP127"/>
      <c r="GLQ127"/>
      <c r="GLR127"/>
      <c r="GLS127"/>
      <c r="GLT127"/>
      <c r="GLU127"/>
      <c r="GLV127"/>
      <c r="GLW127"/>
      <c r="GLX127"/>
      <c r="GLY127"/>
      <c r="GLZ127"/>
      <c r="GMA127"/>
      <c r="GMB127"/>
      <c r="GMC127"/>
      <c r="GMD127"/>
      <c r="GME127"/>
      <c r="GMF127"/>
      <c r="GMG127"/>
      <c r="GMH127"/>
      <c r="GMI127"/>
      <c r="GMJ127"/>
      <c r="GMK127"/>
      <c r="GML127"/>
      <c r="GMM127"/>
      <c r="GMN127"/>
      <c r="GMO127"/>
      <c r="GMP127"/>
      <c r="GMQ127"/>
      <c r="GMR127"/>
      <c r="GMS127"/>
      <c r="GMT127"/>
      <c r="GMU127"/>
      <c r="GMV127"/>
      <c r="GMW127"/>
      <c r="GMX127"/>
      <c r="GMY127"/>
      <c r="GMZ127"/>
      <c r="GNA127"/>
      <c r="GNB127"/>
      <c r="GNC127"/>
      <c r="GND127"/>
      <c r="GNE127"/>
      <c r="GNF127"/>
      <c r="GNG127"/>
      <c r="GNH127"/>
      <c r="GNI127"/>
      <c r="GNJ127"/>
      <c r="GNK127"/>
      <c r="GNL127"/>
      <c r="GNM127"/>
      <c r="GNN127"/>
      <c r="GNO127"/>
      <c r="GNP127"/>
      <c r="GNQ127"/>
      <c r="GNR127"/>
      <c r="GNS127"/>
      <c r="GNT127"/>
      <c r="GNU127"/>
      <c r="GNV127"/>
      <c r="GNW127"/>
      <c r="GNX127"/>
      <c r="GNY127"/>
      <c r="GNZ127"/>
      <c r="GOA127"/>
      <c r="GOB127"/>
      <c r="GOC127"/>
      <c r="GOD127"/>
      <c r="GOE127"/>
      <c r="GOF127"/>
      <c r="GOG127"/>
      <c r="GOH127"/>
      <c r="GOI127"/>
      <c r="GOJ127"/>
      <c r="GOK127"/>
      <c r="GOL127"/>
      <c r="GOM127"/>
      <c r="GON127"/>
      <c r="GOO127"/>
      <c r="GOP127"/>
      <c r="GOQ127"/>
      <c r="GOR127"/>
      <c r="GOS127"/>
      <c r="GOT127"/>
      <c r="GOU127"/>
      <c r="GOV127"/>
      <c r="GOW127"/>
      <c r="GOX127"/>
      <c r="GOY127"/>
      <c r="GOZ127"/>
      <c r="GPA127"/>
      <c r="GPB127"/>
      <c r="GPC127"/>
      <c r="GPD127"/>
      <c r="GPE127"/>
      <c r="GPF127"/>
      <c r="GPG127"/>
      <c r="GPH127"/>
      <c r="GPI127"/>
      <c r="GPJ127"/>
      <c r="GPK127"/>
      <c r="GPL127"/>
      <c r="GPM127"/>
      <c r="GPN127"/>
      <c r="GPO127"/>
      <c r="GPP127"/>
      <c r="GPQ127"/>
      <c r="GPR127"/>
      <c r="GPS127"/>
      <c r="GPT127"/>
      <c r="GPU127"/>
      <c r="GPV127"/>
      <c r="GPW127"/>
      <c r="GPX127"/>
      <c r="GPY127"/>
      <c r="GPZ127"/>
      <c r="GQA127"/>
      <c r="GQB127"/>
      <c r="GQC127"/>
      <c r="GQD127"/>
      <c r="GQE127"/>
      <c r="GQF127"/>
      <c r="GQG127"/>
      <c r="GQH127"/>
      <c r="GQI127"/>
      <c r="GQJ127"/>
      <c r="GQK127"/>
      <c r="GQL127"/>
      <c r="GQM127"/>
      <c r="GQN127"/>
      <c r="GQO127"/>
      <c r="GQP127"/>
      <c r="GQQ127"/>
      <c r="GQR127"/>
      <c r="GQS127"/>
      <c r="GQT127"/>
      <c r="GQU127"/>
      <c r="GQV127"/>
      <c r="GQW127"/>
      <c r="GQX127"/>
      <c r="GQY127"/>
      <c r="GQZ127"/>
      <c r="GRA127"/>
      <c r="GRB127"/>
      <c r="GRC127"/>
      <c r="GRD127"/>
      <c r="GRE127"/>
      <c r="GRF127"/>
      <c r="GRG127"/>
      <c r="GRH127"/>
      <c r="GRI127"/>
      <c r="GRJ127"/>
      <c r="GRK127"/>
      <c r="GRL127"/>
      <c r="GRM127"/>
      <c r="GRN127"/>
      <c r="GRO127"/>
      <c r="GRP127"/>
      <c r="GRQ127"/>
      <c r="GRR127"/>
      <c r="GRS127"/>
      <c r="GRT127"/>
      <c r="GRU127"/>
      <c r="GRV127"/>
      <c r="GRW127"/>
      <c r="GRX127"/>
      <c r="GRY127"/>
      <c r="GRZ127"/>
      <c r="GSA127"/>
      <c r="GSB127"/>
      <c r="GSC127"/>
      <c r="GSD127"/>
      <c r="GSE127"/>
      <c r="GSF127"/>
      <c r="GSG127"/>
      <c r="GSH127"/>
      <c r="GSI127"/>
      <c r="GSJ127"/>
      <c r="GSK127"/>
      <c r="GSL127"/>
      <c r="GSM127"/>
      <c r="GSN127"/>
      <c r="GSO127"/>
      <c r="GSP127"/>
      <c r="GSQ127"/>
      <c r="GSR127"/>
      <c r="GSS127"/>
      <c r="GST127"/>
      <c r="GSU127"/>
      <c r="GSV127"/>
      <c r="GSW127"/>
      <c r="GSX127"/>
      <c r="GSY127"/>
      <c r="GSZ127"/>
      <c r="GTA127"/>
      <c r="GTB127"/>
      <c r="GTC127"/>
      <c r="GTD127"/>
      <c r="GTE127"/>
      <c r="GTF127"/>
      <c r="GTG127"/>
      <c r="GTH127"/>
      <c r="GTI127"/>
      <c r="GTJ127"/>
      <c r="GTK127"/>
      <c r="GTL127"/>
      <c r="GTM127"/>
      <c r="GTN127"/>
      <c r="GTO127"/>
      <c r="GTP127"/>
      <c r="GTQ127"/>
      <c r="GTR127"/>
      <c r="GTS127"/>
      <c r="GTT127"/>
      <c r="GTU127"/>
      <c r="GTV127"/>
      <c r="GTW127"/>
      <c r="GTX127"/>
      <c r="GTY127"/>
      <c r="GTZ127"/>
      <c r="GUA127"/>
      <c r="GUB127"/>
      <c r="GUC127"/>
      <c r="GUD127"/>
      <c r="GUE127"/>
      <c r="GUF127"/>
      <c r="GUG127"/>
      <c r="GUH127"/>
      <c r="GUI127"/>
      <c r="GUJ127"/>
      <c r="GUK127"/>
      <c r="GUL127"/>
      <c r="GUM127"/>
      <c r="GUN127"/>
      <c r="GUO127"/>
      <c r="GUP127"/>
      <c r="GUQ127"/>
      <c r="GUR127"/>
      <c r="GUS127"/>
      <c r="GUT127"/>
      <c r="GUU127"/>
      <c r="GUV127"/>
      <c r="GUW127"/>
      <c r="GUX127"/>
      <c r="GUY127"/>
      <c r="GUZ127"/>
      <c r="GVA127"/>
      <c r="GVB127"/>
      <c r="GVC127"/>
      <c r="GVD127"/>
      <c r="GVE127"/>
      <c r="GVF127"/>
      <c r="GVG127"/>
      <c r="GVH127"/>
      <c r="GVI127"/>
      <c r="GVJ127"/>
      <c r="GVK127"/>
      <c r="GVL127"/>
      <c r="GVM127"/>
      <c r="GVN127"/>
      <c r="GVO127"/>
      <c r="GVP127"/>
      <c r="GVQ127"/>
      <c r="GVR127"/>
      <c r="GVS127"/>
      <c r="GVT127"/>
      <c r="GVU127"/>
      <c r="GVV127"/>
      <c r="GVW127"/>
      <c r="GVX127"/>
      <c r="GVY127"/>
      <c r="GVZ127"/>
      <c r="GWA127"/>
      <c r="GWB127"/>
      <c r="GWC127"/>
      <c r="GWD127"/>
      <c r="GWE127"/>
      <c r="GWF127"/>
      <c r="GWG127"/>
      <c r="GWH127"/>
      <c r="GWI127"/>
      <c r="GWJ127"/>
      <c r="GWK127"/>
      <c r="GWL127"/>
      <c r="GWM127"/>
      <c r="GWN127"/>
      <c r="GWO127"/>
      <c r="GWP127"/>
      <c r="GWQ127"/>
      <c r="GWR127"/>
      <c r="GWS127"/>
      <c r="GWT127"/>
      <c r="GWU127"/>
      <c r="GWV127"/>
      <c r="GWW127"/>
      <c r="GWX127"/>
      <c r="GWY127"/>
      <c r="GWZ127"/>
      <c r="GXA127"/>
      <c r="GXB127"/>
      <c r="GXC127"/>
      <c r="GXD127"/>
      <c r="GXE127"/>
      <c r="GXF127"/>
      <c r="GXG127"/>
      <c r="GXH127"/>
      <c r="GXI127"/>
      <c r="GXJ127"/>
      <c r="GXK127"/>
      <c r="GXL127"/>
      <c r="GXM127"/>
      <c r="GXN127"/>
      <c r="GXO127"/>
      <c r="GXP127"/>
      <c r="GXQ127"/>
      <c r="GXR127"/>
      <c r="GXS127"/>
      <c r="GXT127"/>
      <c r="GXU127"/>
      <c r="GXV127"/>
      <c r="GXW127"/>
      <c r="GXX127"/>
      <c r="GXY127"/>
      <c r="GXZ127"/>
      <c r="GYA127"/>
      <c r="GYB127"/>
      <c r="GYC127"/>
      <c r="GYD127"/>
      <c r="GYE127"/>
      <c r="GYF127"/>
      <c r="GYG127"/>
      <c r="GYH127"/>
      <c r="GYI127"/>
      <c r="GYJ127"/>
      <c r="GYK127"/>
      <c r="GYL127"/>
      <c r="GYM127"/>
      <c r="GYN127"/>
      <c r="GYO127"/>
      <c r="GYP127"/>
      <c r="GYQ127"/>
      <c r="GYR127"/>
      <c r="GYS127"/>
      <c r="GYT127"/>
      <c r="GYU127"/>
      <c r="GYV127"/>
      <c r="GYW127"/>
      <c r="GYX127"/>
      <c r="GYY127"/>
      <c r="GYZ127"/>
      <c r="GZA127"/>
      <c r="GZB127"/>
      <c r="GZC127"/>
      <c r="GZD127"/>
      <c r="GZE127"/>
      <c r="GZF127"/>
      <c r="GZG127"/>
      <c r="GZH127"/>
      <c r="GZI127"/>
      <c r="GZJ127"/>
      <c r="GZK127"/>
      <c r="GZL127"/>
      <c r="GZM127"/>
      <c r="GZN127"/>
      <c r="GZO127"/>
      <c r="GZP127"/>
      <c r="GZQ127"/>
      <c r="GZR127"/>
      <c r="GZS127"/>
      <c r="GZT127"/>
      <c r="GZU127"/>
      <c r="GZV127"/>
      <c r="GZW127"/>
      <c r="GZX127"/>
      <c r="GZY127"/>
      <c r="GZZ127"/>
      <c r="HAA127"/>
      <c r="HAB127"/>
      <c r="HAC127"/>
      <c r="HAD127"/>
      <c r="HAE127"/>
      <c r="HAF127"/>
      <c r="HAG127"/>
      <c r="HAH127"/>
      <c r="HAI127"/>
      <c r="HAJ127"/>
      <c r="HAK127"/>
      <c r="HAL127"/>
      <c r="HAM127"/>
      <c r="HAN127"/>
      <c r="HAO127"/>
      <c r="HAP127"/>
      <c r="HAQ127"/>
      <c r="HAR127"/>
      <c r="HAS127"/>
      <c r="HAT127"/>
      <c r="HAU127"/>
      <c r="HAV127"/>
      <c r="HAW127"/>
      <c r="HAX127"/>
      <c r="HAY127"/>
      <c r="HAZ127"/>
      <c r="HBA127"/>
      <c r="HBB127"/>
      <c r="HBC127"/>
      <c r="HBD127"/>
      <c r="HBE127"/>
      <c r="HBF127"/>
      <c r="HBG127"/>
      <c r="HBH127"/>
      <c r="HBI127"/>
      <c r="HBJ127"/>
      <c r="HBK127"/>
      <c r="HBL127"/>
      <c r="HBM127"/>
      <c r="HBN127"/>
      <c r="HBO127"/>
      <c r="HBP127"/>
      <c r="HBQ127"/>
      <c r="HBR127"/>
      <c r="HBS127"/>
      <c r="HBT127"/>
      <c r="HBU127"/>
      <c r="HBV127"/>
      <c r="HBW127"/>
      <c r="HBX127"/>
      <c r="HBY127"/>
      <c r="HBZ127"/>
      <c r="HCA127"/>
      <c r="HCB127"/>
      <c r="HCC127"/>
      <c r="HCD127"/>
      <c r="HCE127"/>
      <c r="HCF127"/>
      <c r="HCG127"/>
      <c r="HCH127"/>
      <c r="HCI127"/>
      <c r="HCJ127"/>
      <c r="HCK127"/>
      <c r="HCL127"/>
      <c r="HCM127"/>
      <c r="HCN127"/>
      <c r="HCO127"/>
      <c r="HCP127"/>
      <c r="HCQ127"/>
      <c r="HCR127"/>
      <c r="HCS127"/>
      <c r="HCT127"/>
      <c r="HCU127"/>
      <c r="HCV127"/>
      <c r="HCW127"/>
      <c r="HCX127"/>
      <c r="HCY127"/>
      <c r="HCZ127"/>
      <c r="HDA127"/>
      <c r="HDB127"/>
      <c r="HDC127"/>
      <c r="HDD127"/>
      <c r="HDE127"/>
      <c r="HDF127"/>
      <c r="HDG127"/>
      <c r="HDH127"/>
      <c r="HDI127"/>
      <c r="HDJ127"/>
      <c r="HDK127"/>
      <c r="HDL127"/>
      <c r="HDM127"/>
      <c r="HDN127"/>
      <c r="HDO127"/>
      <c r="HDP127"/>
      <c r="HDQ127"/>
      <c r="HDR127"/>
      <c r="HDS127"/>
      <c r="HDT127"/>
      <c r="HDU127"/>
      <c r="HDV127"/>
      <c r="HDW127"/>
      <c r="HDX127"/>
      <c r="HDY127"/>
      <c r="HDZ127"/>
      <c r="HEA127"/>
      <c r="HEB127"/>
      <c r="HEC127"/>
      <c r="HED127"/>
      <c r="HEE127"/>
      <c r="HEF127"/>
      <c r="HEG127"/>
      <c r="HEH127"/>
      <c r="HEI127"/>
      <c r="HEJ127"/>
      <c r="HEK127"/>
      <c r="HEL127"/>
      <c r="HEM127"/>
      <c r="HEN127"/>
      <c r="HEO127"/>
      <c r="HEP127"/>
      <c r="HEQ127"/>
      <c r="HER127"/>
      <c r="HES127"/>
      <c r="HET127"/>
      <c r="HEU127"/>
      <c r="HEV127"/>
      <c r="HEW127"/>
      <c r="HEX127"/>
      <c r="HEY127"/>
      <c r="HEZ127"/>
      <c r="HFA127"/>
      <c r="HFB127"/>
      <c r="HFC127"/>
      <c r="HFD127"/>
      <c r="HFE127"/>
      <c r="HFF127"/>
      <c r="HFG127"/>
      <c r="HFH127"/>
      <c r="HFI127"/>
      <c r="HFJ127"/>
      <c r="HFK127"/>
      <c r="HFL127"/>
      <c r="HFM127"/>
      <c r="HFN127"/>
      <c r="HFO127"/>
      <c r="HFP127"/>
      <c r="HFQ127"/>
      <c r="HFR127"/>
      <c r="HFS127"/>
      <c r="HFT127"/>
      <c r="HFU127"/>
      <c r="HFV127"/>
      <c r="HFW127"/>
      <c r="HFX127"/>
      <c r="HFY127"/>
      <c r="HFZ127"/>
      <c r="HGA127"/>
      <c r="HGB127"/>
      <c r="HGC127"/>
      <c r="HGD127"/>
      <c r="HGE127"/>
      <c r="HGF127"/>
      <c r="HGG127"/>
      <c r="HGH127"/>
      <c r="HGI127"/>
      <c r="HGJ127"/>
      <c r="HGK127"/>
      <c r="HGL127"/>
      <c r="HGM127"/>
      <c r="HGN127"/>
      <c r="HGO127"/>
      <c r="HGP127"/>
      <c r="HGQ127"/>
      <c r="HGR127"/>
      <c r="HGS127"/>
      <c r="HGT127"/>
      <c r="HGU127"/>
      <c r="HGV127"/>
      <c r="HGW127"/>
      <c r="HGX127"/>
      <c r="HGY127"/>
      <c r="HGZ127"/>
      <c r="HHA127"/>
      <c r="HHB127"/>
      <c r="HHC127"/>
      <c r="HHD127"/>
      <c r="HHE127"/>
      <c r="HHF127"/>
      <c r="HHG127"/>
      <c r="HHH127"/>
      <c r="HHI127"/>
      <c r="HHJ127"/>
      <c r="HHK127"/>
      <c r="HHL127"/>
      <c r="HHM127"/>
      <c r="HHN127"/>
      <c r="HHO127"/>
      <c r="HHP127"/>
      <c r="HHQ127"/>
      <c r="HHR127"/>
      <c r="HHS127"/>
      <c r="HHT127"/>
      <c r="HHU127"/>
      <c r="HHV127"/>
      <c r="HHW127"/>
      <c r="HHX127"/>
      <c r="HHY127"/>
      <c r="HHZ127"/>
      <c r="HIA127"/>
      <c r="HIB127"/>
      <c r="HIC127"/>
      <c r="HID127"/>
      <c r="HIE127"/>
      <c r="HIF127"/>
      <c r="HIG127"/>
      <c r="HIH127"/>
      <c r="HII127"/>
      <c r="HIJ127"/>
      <c r="HIK127"/>
      <c r="HIL127"/>
      <c r="HIM127"/>
      <c r="HIN127"/>
      <c r="HIO127"/>
      <c r="HIP127"/>
      <c r="HIQ127"/>
      <c r="HIR127"/>
      <c r="HIS127"/>
      <c r="HIT127"/>
      <c r="HIU127"/>
      <c r="HIV127"/>
      <c r="HIW127"/>
      <c r="HIX127"/>
      <c r="HIY127"/>
      <c r="HIZ127"/>
      <c r="HJA127"/>
      <c r="HJB127"/>
      <c r="HJC127"/>
      <c r="HJD127"/>
      <c r="HJE127"/>
      <c r="HJF127"/>
      <c r="HJG127"/>
      <c r="HJH127"/>
      <c r="HJI127"/>
      <c r="HJJ127"/>
      <c r="HJK127"/>
      <c r="HJL127"/>
      <c r="HJM127"/>
      <c r="HJN127"/>
      <c r="HJO127"/>
      <c r="HJP127"/>
      <c r="HJQ127"/>
      <c r="HJR127"/>
      <c r="HJS127"/>
      <c r="HJT127"/>
      <c r="HJU127"/>
      <c r="HJV127"/>
      <c r="HJW127"/>
      <c r="HJX127"/>
      <c r="HJY127"/>
      <c r="HJZ127"/>
      <c r="HKA127"/>
      <c r="HKB127"/>
      <c r="HKC127"/>
      <c r="HKD127"/>
      <c r="HKE127"/>
      <c r="HKF127"/>
      <c r="HKG127"/>
      <c r="HKH127"/>
      <c r="HKI127"/>
      <c r="HKJ127"/>
      <c r="HKK127"/>
      <c r="HKL127"/>
      <c r="HKM127"/>
      <c r="HKN127"/>
      <c r="HKO127"/>
      <c r="HKP127"/>
      <c r="HKQ127"/>
      <c r="HKR127"/>
      <c r="HKS127"/>
      <c r="HKT127"/>
      <c r="HKU127"/>
      <c r="HKV127"/>
      <c r="HKW127"/>
      <c r="HKX127"/>
      <c r="HKY127"/>
      <c r="HKZ127"/>
      <c r="HLA127"/>
      <c r="HLB127"/>
      <c r="HLC127"/>
      <c r="HLD127"/>
      <c r="HLE127"/>
      <c r="HLF127"/>
      <c r="HLG127"/>
      <c r="HLH127"/>
      <c r="HLI127"/>
      <c r="HLJ127"/>
      <c r="HLK127"/>
      <c r="HLL127"/>
      <c r="HLM127"/>
      <c r="HLN127"/>
      <c r="HLO127"/>
      <c r="HLP127"/>
      <c r="HLQ127"/>
      <c r="HLR127"/>
      <c r="HLS127"/>
      <c r="HLT127"/>
      <c r="HLU127"/>
      <c r="HLV127"/>
      <c r="HLW127"/>
      <c r="HLX127"/>
      <c r="HLY127"/>
      <c r="HLZ127"/>
      <c r="HMA127"/>
      <c r="HMB127"/>
      <c r="HMC127"/>
      <c r="HMD127"/>
      <c r="HME127"/>
      <c r="HMF127"/>
      <c r="HMG127"/>
      <c r="HMH127"/>
      <c r="HMI127"/>
      <c r="HMJ127"/>
      <c r="HMK127"/>
      <c r="HML127"/>
      <c r="HMM127"/>
      <c r="HMN127"/>
      <c r="HMO127"/>
      <c r="HMP127"/>
      <c r="HMQ127"/>
      <c r="HMR127"/>
      <c r="HMS127"/>
      <c r="HMT127"/>
      <c r="HMU127"/>
      <c r="HMV127"/>
      <c r="HMW127"/>
      <c r="HMX127"/>
      <c r="HMY127"/>
      <c r="HMZ127"/>
      <c r="HNA127"/>
      <c r="HNB127"/>
      <c r="HNC127"/>
      <c r="HND127"/>
      <c r="HNE127"/>
      <c r="HNF127"/>
      <c r="HNG127"/>
      <c r="HNH127"/>
      <c r="HNI127"/>
      <c r="HNJ127"/>
      <c r="HNK127"/>
      <c r="HNL127"/>
      <c r="HNM127"/>
      <c r="HNN127"/>
      <c r="HNO127"/>
      <c r="HNP127"/>
      <c r="HNQ127"/>
      <c r="HNR127"/>
      <c r="HNS127"/>
      <c r="HNT127"/>
      <c r="HNU127"/>
      <c r="HNV127"/>
      <c r="HNW127"/>
      <c r="HNX127"/>
      <c r="HNY127"/>
      <c r="HNZ127"/>
      <c r="HOA127"/>
      <c r="HOB127"/>
      <c r="HOC127"/>
      <c r="HOD127"/>
      <c r="HOE127"/>
      <c r="HOF127"/>
      <c r="HOG127"/>
      <c r="HOH127"/>
      <c r="HOI127"/>
      <c r="HOJ127"/>
      <c r="HOK127"/>
      <c r="HOL127"/>
      <c r="HOM127"/>
      <c r="HON127"/>
      <c r="HOO127"/>
      <c r="HOP127"/>
      <c r="HOQ127"/>
      <c r="HOR127"/>
      <c r="HOS127"/>
      <c r="HOT127"/>
      <c r="HOU127"/>
      <c r="HOV127"/>
      <c r="HOW127"/>
      <c r="HOX127"/>
      <c r="HOY127"/>
      <c r="HOZ127"/>
      <c r="HPA127"/>
      <c r="HPB127"/>
      <c r="HPC127"/>
      <c r="HPD127"/>
      <c r="HPE127"/>
      <c r="HPF127"/>
      <c r="HPG127"/>
      <c r="HPH127"/>
      <c r="HPI127"/>
      <c r="HPJ127"/>
      <c r="HPK127"/>
      <c r="HPL127"/>
      <c r="HPM127"/>
      <c r="HPN127"/>
      <c r="HPO127"/>
      <c r="HPP127"/>
      <c r="HPQ127"/>
      <c r="HPR127"/>
      <c r="HPS127"/>
      <c r="HPT127"/>
      <c r="HPU127"/>
      <c r="HPV127"/>
      <c r="HPW127"/>
      <c r="HPX127"/>
      <c r="HPY127"/>
      <c r="HPZ127"/>
      <c r="HQA127"/>
      <c r="HQB127"/>
      <c r="HQC127"/>
      <c r="HQD127"/>
      <c r="HQE127"/>
      <c r="HQF127"/>
      <c r="HQG127"/>
      <c r="HQH127"/>
      <c r="HQI127"/>
      <c r="HQJ127"/>
      <c r="HQK127"/>
      <c r="HQL127"/>
      <c r="HQM127"/>
      <c r="HQN127"/>
      <c r="HQO127"/>
      <c r="HQP127"/>
      <c r="HQQ127"/>
      <c r="HQR127"/>
      <c r="HQS127"/>
      <c r="HQT127"/>
      <c r="HQU127"/>
      <c r="HQV127"/>
      <c r="HQW127"/>
      <c r="HQX127"/>
      <c r="HQY127"/>
      <c r="HQZ127"/>
      <c r="HRA127"/>
      <c r="HRB127"/>
      <c r="HRC127"/>
      <c r="HRD127"/>
      <c r="HRE127"/>
      <c r="HRF127"/>
      <c r="HRG127"/>
      <c r="HRH127"/>
      <c r="HRI127"/>
      <c r="HRJ127"/>
      <c r="HRK127"/>
      <c r="HRL127"/>
      <c r="HRM127"/>
      <c r="HRN127"/>
      <c r="HRO127"/>
      <c r="HRP127"/>
      <c r="HRQ127"/>
      <c r="HRR127"/>
      <c r="HRS127"/>
      <c r="HRT127"/>
      <c r="HRU127"/>
      <c r="HRV127"/>
      <c r="HRW127"/>
      <c r="HRX127"/>
      <c r="HRY127"/>
      <c r="HRZ127"/>
      <c r="HSA127"/>
      <c r="HSB127"/>
      <c r="HSC127"/>
      <c r="HSD127"/>
      <c r="HSE127"/>
      <c r="HSF127"/>
      <c r="HSG127"/>
      <c r="HSH127"/>
      <c r="HSI127"/>
      <c r="HSJ127"/>
      <c r="HSK127"/>
      <c r="HSL127"/>
      <c r="HSM127"/>
      <c r="HSN127"/>
      <c r="HSO127"/>
      <c r="HSP127"/>
      <c r="HSQ127"/>
      <c r="HSR127"/>
      <c r="HSS127"/>
      <c r="HST127"/>
      <c r="HSU127"/>
      <c r="HSV127"/>
      <c r="HSW127"/>
      <c r="HSX127"/>
      <c r="HSY127"/>
      <c r="HSZ127"/>
      <c r="HTA127"/>
      <c r="HTB127"/>
      <c r="HTC127"/>
      <c r="HTD127"/>
      <c r="HTE127"/>
      <c r="HTF127"/>
      <c r="HTG127"/>
      <c r="HTH127"/>
      <c r="HTI127"/>
      <c r="HTJ127"/>
      <c r="HTK127"/>
      <c r="HTL127"/>
      <c r="HTM127"/>
      <c r="HTN127"/>
      <c r="HTO127"/>
      <c r="HTP127"/>
      <c r="HTQ127"/>
      <c r="HTR127"/>
      <c r="HTS127"/>
      <c r="HTT127"/>
      <c r="HTU127"/>
      <c r="HTV127"/>
      <c r="HTW127"/>
      <c r="HTX127"/>
      <c r="HTY127"/>
      <c r="HTZ127"/>
      <c r="HUA127"/>
      <c r="HUB127"/>
      <c r="HUC127"/>
      <c r="HUD127"/>
      <c r="HUE127"/>
      <c r="HUF127"/>
      <c r="HUG127"/>
      <c r="HUH127"/>
      <c r="HUI127"/>
      <c r="HUJ127"/>
      <c r="HUK127"/>
      <c r="HUL127"/>
      <c r="HUM127"/>
      <c r="HUN127"/>
      <c r="HUO127"/>
      <c r="HUP127"/>
      <c r="HUQ127"/>
      <c r="HUR127"/>
      <c r="HUS127"/>
      <c r="HUT127"/>
      <c r="HUU127"/>
      <c r="HUV127"/>
      <c r="HUW127"/>
      <c r="HUX127"/>
      <c r="HUY127"/>
      <c r="HUZ127"/>
      <c r="HVA127"/>
      <c r="HVB127"/>
      <c r="HVC127"/>
      <c r="HVD127"/>
      <c r="HVE127"/>
      <c r="HVF127"/>
      <c r="HVG127"/>
      <c r="HVH127"/>
      <c r="HVI127"/>
      <c r="HVJ127"/>
      <c r="HVK127"/>
      <c r="HVL127"/>
      <c r="HVM127"/>
      <c r="HVN127"/>
      <c r="HVO127"/>
      <c r="HVP127"/>
      <c r="HVQ127"/>
      <c r="HVR127"/>
      <c r="HVS127"/>
      <c r="HVT127"/>
      <c r="HVU127"/>
      <c r="HVV127"/>
      <c r="HVW127"/>
      <c r="HVX127"/>
      <c r="HVY127"/>
      <c r="HVZ127"/>
      <c r="HWA127"/>
      <c r="HWB127"/>
      <c r="HWC127"/>
      <c r="HWD127"/>
      <c r="HWE127"/>
      <c r="HWF127"/>
      <c r="HWG127"/>
      <c r="HWH127"/>
      <c r="HWI127"/>
      <c r="HWJ127"/>
      <c r="HWK127"/>
      <c r="HWL127"/>
      <c r="HWM127"/>
      <c r="HWN127"/>
      <c r="HWO127"/>
      <c r="HWP127"/>
      <c r="HWQ127"/>
      <c r="HWR127"/>
      <c r="HWS127"/>
      <c r="HWT127"/>
      <c r="HWU127"/>
      <c r="HWV127"/>
      <c r="HWW127"/>
      <c r="HWX127"/>
      <c r="HWY127"/>
      <c r="HWZ127"/>
      <c r="HXA127"/>
      <c r="HXB127"/>
      <c r="HXC127"/>
      <c r="HXD127"/>
      <c r="HXE127"/>
      <c r="HXF127"/>
      <c r="HXG127"/>
      <c r="HXH127"/>
      <c r="HXI127"/>
      <c r="HXJ127"/>
      <c r="HXK127"/>
      <c r="HXL127"/>
      <c r="HXM127"/>
      <c r="HXN127"/>
      <c r="HXO127"/>
      <c r="HXP127"/>
      <c r="HXQ127"/>
      <c r="HXR127"/>
      <c r="HXS127"/>
      <c r="HXT127"/>
      <c r="HXU127"/>
      <c r="HXV127"/>
      <c r="HXW127"/>
      <c r="HXX127"/>
      <c r="HXY127"/>
      <c r="HXZ127"/>
      <c r="HYA127"/>
      <c r="HYB127"/>
      <c r="HYC127"/>
      <c r="HYD127"/>
      <c r="HYE127"/>
      <c r="HYF127"/>
      <c r="HYG127"/>
      <c r="HYH127"/>
      <c r="HYI127"/>
      <c r="HYJ127"/>
      <c r="HYK127"/>
      <c r="HYL127"/>
      <c r="HYM127"/>
      <c r="HYN127"/>
      <c r="HYO127"/>
      <c r="HYP127"/>
      <c r="HYQ127"/>
      <c r="HYR127"/>
      <c r="HYS127"/>
      <c r="HYT127"/>
      <c r="HYU127"/>
      <c r="HYV127"/>
      <c r="HYW127"/>
      <c r="HYX127"/>
      <c r="HYY127"/>
      <c r="HYZ127"/>
      <c r="HZA127"/>
      <c r="HZB127"/>
      <c r="HZC127"/>
      <c r="HZD127"/>
      <c r="HZE127"/>
      <c r="HZF127"/>
      <c r="HZG127"/>
      <c r="HZH127"/>
      <c r="HZI127"/>
      <c r="HZJ127"/>
      <c r="HZK127"/>
      <c r="HZL127"/>
      <c r="HZM127"/>
      <c r="HZN127"/>
      <c r="HZO127"/>
      <c r="HZP127"/>
      <c r="HZQ127"/>
      <c r="HZR127"/>
      <c r="HZS127"/>
      <c r="HZT127"/>
      <c r="HZU127"/>
      <c r="HZV127"/>
      <c r="HZW127"/>
      <c r="HZX127"/>
      <c r="HZY127"/>
      <c r="HZZ127"/>
      <c r="IAA127"/>
      <c r="IAB127"/>
      <c r="IAC127"/>
      <c r="IAD127"/>
      <c r="IAE127"/>
      <c r="IAF127"/>
      <c r="IAG127"/>
      <c r="IAH127"/>
      <c r="IAI127"/>
      <c r="IAJ127"/>
      <c r="IAK127"/>
      <c r="IAL127"/>
      <c r="IAM127"/>
      <c r="IAN127"/>
      <c r="IAO127"/>
      <c r="IAP127"/>
      <c r="IAQ127"/>
      <c r="IAR127"/>
      <c r="IAS127"/>
      <c r="IAT127"/>
      <c r="IAU127"/>
      <c r="IAV127"/>
      <c r="IAW127"/>
      <c r="IAX127"/>
      <c r="IAY127"/>
      <c r="IAZ127"/>
      <c r="IBA127"/>
      <c r="IBB127"/>
      <c r="IBC127"/>
      <c r="IBD127"/>
      <c r="IBE127"/>
      <c r="IBF127"/>
      <c r="IBG127"/>
      <c r="IBH127"/>
      <c r="IBI127"/>
      <c r="IBJ127"/>
      <c r="IBK127"/>
      <c r="IBL127"/>
      <c r="IBM127"/>
      <c r="IBN127"/>
      <c r="IBO127"/>
      <c r="IBP127"/>
      <c r="IBQ127"/>
      <c r="IBR127"/>
      <c r="IBS127"/>
      <c r="IBT127"/>
      <c r="IBU127"/>
      <c r="IBV127"/>
      <c r="IBW127"/>
      <c r="IBX127"/>
      <c r="IBY127"/>
      <c r="IBZ127"/>
      <c r="ICA127"/>
      <c r="ICB127"/>
      <c r="ICC127"/>
      <c r="ICD127"/>
      <c r="ICE127"/>
      <c r="ICF127"/>
      <c r="ICG127"/>
      <c r="ICH127"/>
      <c r="ICI127"/>
      <c r="ICJ127"/>
      <c r="ICK127"/>
      <c r="ICL127"/>
      <c r="ICM127"/>
      <c r="ICN127"/>
      <c r="ICO127"/>
      <c r="ICP127"/>
      <c r="ICQ127"/>
      <c r="ICR127"/>
      <c r="ICS127"/>
      <c r="ICT127"/>
      <c r="ICU127"/>
      <c r="ICV127"/>
      <c r="ICW127"/>
      <c r="ICX127"/>
      <c r="ICY127"/>
      <c r="ICZ127"/>
      <c r="IDA127"/>
      <c r="IDB127"/>
      <c r="IDC127"/>
      <c r="IDD127"/>
      <c r="IDE127"/>
      <c r="IDF127"/>
      <c r="IDG127"/>
      <c r="IDH127"/>
      <c r="IDI127"/>
      <c r="IDJ127"/>
      <c r="IDK127"/>
      <c r="IDL127"/>
      <c r="IDM127"/>
      <c r="IDN127"/>
      <c r="IDO127"/>
      <c r="IDP127"/>
      <c r="IDQ127"/>
      <c r="IDR127"/>
      <c r="IDS127"/>
      <c r="IDT127"/>
      <c r="IDU127"/>
      <c r="IDV127"/>
      <c r="IDW127"/>
      <c r="IDX127"/>
      <c r="IDY127"/>
      <c r="IDZ127"/>
      <c r="IEA127"/>
      <c r="IEB127"/>
      <c r="IEC127"/>
      <c r="IED127"/>
      <c r="IEE127"/>
      <c r="IEF127"/>
      <c r="IEG127"/>
      <c r="IEH127"/>
      <c r="IEI127"/>
      <c r="IEJ127"/>
      <c r="IEK127"/>
      <c r="IEL127"/>
      <c r="IEM127"/>
      <c r="IEN127"/>
      <c r="IEO127"/>
      <c r="IEP127"/>
      <c r="IEQ127"/>
      <c r="IER127"/>
      <c r="IES127"/>
      <c r="IET127"/>
      <c r="IEU127"/>
      <c r="IEV127"/>
      <c r="IEW127"/>
      <c r="IEX127"/>
      <c r="IEY127"/>
      <c r="IEZ127"/>
      <c r="IFA127"/>
      <c r="IFB127"/>
      <c r="IFC127"/>
      <c r="IFD127"/>
      <c r="IFE127"/>
      <c r="IFF127"/>
      <c r="IFG127"/>
      <c r="IFH127"/>
      <c r="IFI127"/>
      <c r="IFJ127"/>
      <c r="IFK127"/>
      <c r="IFL127"/>
      <c r="IFM127"/>
      <c r="IFN127"/>
      <c r="IFO127"/>
      <c r="IFP127"/>
      <c r="IFQ127"/>
      <c r="IFR127"/>
      <c r="IFS127"/>
      <c r="IFT127"/>
      <c r="IFU127"/>
      <c r="IFV127"/>
      <c r="IFW127"/>
      <c r="IFX127"/>
      <c r="IFY127"/>
      <c r="IFZ127"/>
      <c r="IGA127"/>
      <c r="IGB127"/>
      <c r="IGC127"/>
      <c r="IGD127"/>
      <c r="IGE127"/>
      <c r="IGF127"/>
      <c r="IGG127"/>
      <c r="IGH127"/>
      <c r="IGI127"/>
      <c r="IGJ127"/>
      <c r="IGK127"/>
      <c r="IGL127"/>
      <c r="IGM127"/>
      <c r="IGN127"/>
      <c r="IGO127"/>
      <c r="IGP127"/>
      <c r="IGQ127"/>
      <c r="IGR127"/>
      <c r="IGS127"/>
      <c r="IGT127"/>
      <c r="IGU127"/>
      <c r="IGV127"/>
      <c r="IGW127"/>
      <c r="IGX127"/>
      <c r="IGY127"/>
      <c r="IGZ127"/>
      <c r="IHA127"/>
      <c r="IHB127"/>
      <c r="IHC127"/>
      <c r="IHD127"/>
      <c r="IHE127"/>
      <c r="IHF127"/>
      <c r="IHG127"/>
      <c r="IHH127"/>
      <c r="IHI127"/>
      <c r="IHJ127"/>
      <c r="IHK127"/>
      <c r="IHL127"/>
      <c r="IHM127"/>
      <c r="IHN127"/>
      <c r="IHO127"/>
      <c r="IHP127"/>
      <c r="IHQ127"/>
      <c r="IHR127"/>
      <c r="IHS127"/>
      <c r="IHT127"/>
      <c r="IHU127"/>
      <c r="IHV127"/>
      <c r="IHW127"/>
      <c r="IHX127"/>
      <c r="IHY127"/>
      <c r="IHZ127"/>
      <c r="IIA127"/>
      <c r="IIB127"/>
      <c r="IIC127"/>
      <c r="IID127"/>
      <c r="IIE127"/>
      <c r="IIF127"/>
      <c r="IIG127"/>
      <c r="IIH127"/>
      <c r="III127"/>
      <c r="IIJ127"/>
      <c r="IIK127"/>
      <c r="IIL127"/>
      <c r="IIM127"/>
      <c r="IIN127"/>
      <c r="IIO127"/>
      <c r="IIP127"/>
      <c r="IIQ127"/>
      <c r="IIR127"/>
      <c r="IIS127"/>
      <c r="IIT127"/>
      <c r="IIU127"/>
      <c r="IIV127"/>
      <c r="IIW127"/>
      <c r="IIX127"/>
      <c r="IIY127"/>
      <c r="IIZ127"/>
      <c r="IJA127"/>
      <c r="IJB127"/>
      <c r="IJC127"/>
      <c r="IJD127"/>
      <c r="IJE127"/>
      <c r="IJF127"/>
      <c r="IJG127"/>
      <c r="IJH127"/>
      <c r="IJI127"/>
      <c r="IJJ127"/>
      <c r="IJK127"/>
      <c r="IJL127"/>
      <c r="IJM127"/>
      <c r="IJN127"/>
      <c r="IJO127"/>
      <c r="IJP127"/>
      <c r="IJQ127"/>
      <c r="IJR127"/>
      <c r="IJS127"/>
      <c r="IJT127"/>
      <c r="IJU127"/>
      <c r="IJV127"/>
      <c r="IJW127"/>
      <c r="IJX127"/>
      <c r="IJY127"/>
      <c r="IJZ127"/>
      <c r="IKA127"/>
      <c r="IKB127"/>
      <c r="IKC127"/>
      <c r="IKD127"/>
      <c r="IKE127"/>
      <c r="IKF127"/>
      <c r="IKG127"/>
      <c r="IKH127"/>
      <c r="IKI127"/>
      <c r="IKJ127"/>
      <c r="IKK127"/>
      <c r="IKL127"/>
      <c r="IKM127"/>
      <c r="IKN127"/>
      <c r="IKO127"/>
      <c r="IKP127"/>
      <c r="IKQ127"/>
      <c r="IKR127"/>
      <c r="IKS127"/>
      <c r="IKT127"/>
      <c r="IKU127"/>
      <c r="IKV127"/>
      <c r="IKW127"/>
      <c r="IKX127"/>
      <c r="IKY127"/>
      <c r="IKZ127"/>
      <c r="ILA127"/>
      <c r="ILB127"/>
      <c r="ILC127"/>
      <c r="ILD127"/>
      <c r="ILE127"/>
      <c r="ILF127"/>
      <c r="ILG127"/>
      <c r="ILH127"/>
      <c r="ILI127"/>
      <c r="ILJ127"/>
      <c r="ILK127"/>
      <c r="ILL127"/>
      <c r="ILM127"/>
      <c r="ILN127"/>
      <c r="ILO127"/>
      <c r="ILP127"/>
      <c r="ILQ127"/>
      <c r="ILR127"/>
      <c r="ILS127"/>
      <c r="ILT127"/>
      <c r="ILU127"/>
      <c r="ILV127"/>
      <c r="ILW127"/>
      <c r="ILX127"/>
      <c r="ILY127"/>
      <c r="ILZ127"/>
      <c r="IMA127"/>
      <c r="IMB127"/>
      <c r="IMC127"/>
      <c r="IMD127"/>
      <c r="IME127"/>
      <c r="IMF127"/>
      <c r="IMG127"/>
      <c r="IMH127"/>
      <c r="IMI127"/>
      <c r="IMJ127"/>
      <c r="IMK127"/>
      <c r="IML127"/>
      <c r="IMM127"/>
      <c r="IMN127"/>
      <c r="IMO127"/>
      <c r="IMP127"/>
      <c r="IMQ127"/>
      <c r="IMR127"/>
      <c r="IMS127"/>
      <c r="IMT127"/>
      <c r="IMU127"/>
      <c r="IMV127"/>
      <c r="IMW127"/>
      <c r="IMX127"/>
      <c r="IMY127"/>
      <c r="IMZ127"/>
      <c r="INA127"/>
      <c r="INB127"/>
      <c r="INC127"/>
      <c r="IND127"/>
      <c r="INE127"/>
      <c r="INF127"/>
      <c r="ING127"/>
      <c r="INH127"/>
      <c r="INI127"/>
      <c r="INJ127"/>
      <c r="INK127"/>
      <c r="INL127"/>
      <c r="INM127"/>
      <c r="INN127"/>
      <c r="INO127"/>
      <c r="INP127"/>
      <c r="INQ127"/>
      <c r="INR127"/>
      <c r="INS127"/>
      <c r="INT127"/>
      <c r="INU127"/>
      <c r="INV127"/>
      <c r="INW127"/>
      <c r="INX127"/>
      <c r="INY127"/>
      <c r="INZ127"/>
      <c r="IOA127"/>
      <c r="IOB127"/>
      <c r="IOC127"/>
      <c r="IOD127"/>
      <c r="IOE127"/>
      <c r="IOF127"/>
      <c r="IOG127"/>
      <c r="IOH127"/>
      <c r="IOI127"/>
      <c r="IOJ127"/>
      <c r="IOK127"/>
      <c r="IOL127"/>
      <c r="IOM127"/>
      <c r="ION127"/>
      <c r="IOO127"/>
      <c r="IOP127"/>
      <c r="IOQ127"/>
      <c r="IOR127"/>
      <c r="IOS127"/>
      <c r="IOT127"/>
      <c r="IOU127"/>
      <c r="IOV127"/>
      <c r="IOW127"/>
      <c r="IOX127"/>
      <c r="IOY127"/>
      <c r="IOZ127"/>
      <c r="IPA127"/>
      <c r="IPB127"/>
      <c r="IPC127"/>
      <c r="IPD127"/>
      <c r="IPE127"/>
      <c r="IPF127"/>
      <c r="IPG127"/>
      <c r="IPH127"/>
      <c r="IPI127"/>
      <c r="IPJ127"/>
      <c r="IPK127"/>
      <c r="IPL127"/>
      <c r="IPM127"/>
      <c r="IPN127"/>
      <c r="IPO127"/>
      <c r="IPP127"/>
      <c r="IPQ127"/>
      <c r="IPR127"/>
      <c r="IPS127"/>
      <c r="IPT127"/>
      <c r="IPU127"/>
      <c r="IPV127"/>
      <c r="IPW127"/>
      <c r="IPX127"/>
      <c r="IPY127"/>
      <c r="IPZ127"/>
      <c r="IQA127"/>
      <c r="IQB127"/>
      <c r="IQC127"/>
      <c r="IQD127"/>
      <c r="IQE127"/>
      <c r="IQF127"/>
      <c r="IQG127"/>
      <c r="IQH127"/>
      <c r="IQI127"/>
      <c r="IQJ127"/>
      <c r="IQK127"/>
      <c r="IQL127"/>
      <c r="IQM127"/>
      <c r="IQN127"/>
      <c r="IQO127"/>
      <c r="IQP127"/>
      <c r="IQQ127"/>
      <c r="IQR127"/>
      <c r="IQS127"/>
      <c r="IQT127"/>
      <c r="IQU127"/>
      <c r="IQV127"/>
      <c r="IQW127"/>
      <c r="IQX127"/>
      <c r="IQY127"/>
      <c r="IQZ127"/>
      <c r="IRA127"/>
      <c r="IRB127"/>
      <c r="IRC127"/>
      <c r="IRD127"/>
      <c r="IRE127"/>
      <c r="IRF127"/>
      <c r="IRG127"/>
      <c r="IRH127"/>
      <c r="IRI127"/>
      <c r="IRJ127"/>
      <c r="IRK127"/>
      <c r="IRL127"/>
      <c r="IRM127"/>
      <c r="IRN127"/>
      <c r="IRO127"/>
      <c r="IRP127"/>
      <c r="IRQ127"/>
      <c r="IRR127"/>
      <c r="IRS127"/>
      <c r="IRT127"/>
      <c r="IRU127"/>
      <c r="IRV127"/>
      <c r="IRW127"/>
      <c r="IRX127"/>
      <c r="IRY127"/>
      <c r="IRZ127"/>
      <c r="ISA127"/>
      <c r="ISB127"/>
      <c r="ISC127"/>
      <c r="ISD127"/>
      <c r="ISE127"/>
      <c r="ISF127"/>
      <c r="ISG127"/>
      <c r="ISH127"/>
      <c r="ISI127"/>
      <c r="ISJ127"/>
      <c r="ISK127"/>
      <c r="ISL127"/>
      <c r="ISM127"/>
      <c r="ISN127"/>
      <c r="ISO127"/>
      <c r="ISP127"/>
      <c r="ISQ127"/>
      <c r="ISR127"/>
      <c r="ISS127"/>
      <c r="IST127"/>
      <c r="ISU127"/>
      <c r="ISV127"/>
      <c r="ISW127"/>
      <c r="ISX127"/>
      <c r="ISY127"/>
      <c r="ISZ127"/>
      <c r="ITA127"/>
      <c r="ITB127"/>
      <c r="ITC127"/>
      <c r="ITD127"/>
      <c r="ITE127"/>
      <c r="ITF127"/>
      <c r="ITG127"/>
      <c r="ITH127"/>
      <c r="ITI127"/>
      <c r="ITJ127"/>
      <c r="ITK127"/>
      <c r="ITL127"/>
      <c r="ITM127"/>
      <c r="ITN127"/>
      <c r="ITO127"/>
      <c r="ITP127"/>
      <c r="ITQ127"/>
      <c r="ITR127"/>
      <c r="ITS127"/>
      <c r="ITT127"/>
      <c r="ITU127"/>
      <c r="ITV127"/>
      <c r="ITW127"/>
      <c r="ITX127"/>
      <c r="ITY127"/>
      <c r="ITZ127"/>
      <c r="IUA127"/>
      <c r="IUB127"/>
      <c r="IUC127"/>
      <c r="IUD127"/>
      <c r="IUE127"/>
      <c r="IUF127"/>
      <c r="IUG127"/>
      <c r="IUH127"/>
      <c r="IUI127"/>
      <c r="IUJ127"/>
      <c r="IUK127"/>
      <c r="IUL127"/>
      <c r="IUM127"/>
      <c r="IUN127"/>
      <c r="IUO127"/>
      <c r="IUP127"/>
      <c r="IUQ127"/>
      <c r="IUR127"/>
      <c r="IUS127"/>
      <c r="IUT127"/>
      <c r="IUU127"/>
      <c r="IUV127"/>
      <c r="IUW127"/>
      <c r="IUX127"/>
      <c r="IUY127"/>
      <c r="IUZ127"/>
      <c r="IVA127"/>
      <c r="IVB127"/>
      <c r="IVC127"/>
      <c r="IVD127"/>
      <c r="IVE127"/>
      <c r="IVF127"/>
      <c r="IVG127"/>
      <c r="IVH127"/>
      <c r="IVI127"/>
      <c r="IVJ127"/>
      <c r="IVK127"/>
      <c r="IVL127"/>
      <c r="IVM127"/>
      <c r="IVN127"/>
      <c r="IVO127"/>
      <c r="IVP127"/>
      <c r="IVQ127"/>
      <c r="IVR127"/>
      <c r="IVS127"/>
      <c r="IVT127"/>
      <c r="IVU127"/>
      <c r="IVV127"/>
      <c r="IVW127"/>
      <c r="IVX127"/>
      <c r="IVY127"/>
      <c r="IVZ127"/>
      <c r="IWA127"/>
      <c r="IWB127"/>
      <c r="IWC127"/>
      <c r="IWD127"/>
      <c r="IWE127"/>
      <c r="IWF127"/>
      <c r="IWG127"/>
      <c r="IWH127"/>
      <c r="IWI127"/>
      <c r="IWJ127"/>
      <c r="IWK127"/>
      <c r="IWL127"/>
      <c r="IWM127"/>
      <c r="IWN127"/>
      <c r="IWO127"/>
      <c r="IWP127"/>
      <c r="IWQ127"/>
      <c r="IWR127"/>
      <c r="IWS127"/>
      <c r="IWT127"/>
      <c r="IWU127"/>
      <c r="IWV127"/>
      <c r="IWW127"/>
      <c r="IWX127"/>
      <c r="IWY127"/>
      <c r="IWZ127"/>
      <c r="IXA127"/>
      <c r="IXB127"/>
      <c r="IXC127"/>
      <c r="IXD127"/>
      <c r="IXE127"/>
      <c r="IXF127"/>
      <c r="IXG127"/>
      <c r="IXH127"/>
      <c r="IXI127"/>
      <c r="IXJ127"/>
      <c r="IXK127"/>
      <c r="IXL127"/>
      <c r="IXM127"/>
      <c r="IXN127"/>
      <c r="IXO127"/>
      <c r="IXP127"/>
      <c r="IXQ127"/>
      <c r="IXR127"/>
      <c r="IXS127"/>
      <c r="IXT127"/>
      <c r="IXU127"/>
      <c r="IXV127"/>
      <c r="IXW127"/>
      <c r="IXX127"/>
      <c r="IXY127"/>
      <c r="IXZ127"/>
      <c r="IYA127"/>
      <c r="IYB127"/>
      <c r="IYC127"/>
      <c r="IYD127"/>
      <c r="IYE127"/>
      <c r="IYF127"/>
      <c r="IYG127"/>
      <c r="IYH127"/>
      <c r="IYI127"/>
      <c r="IYJ127"/>
      <c r="IYK127"/>
      <c r="IYL127"/>
      <c r="IYM127"/>
      <c r="IYN127"/>
      <c r="IYO127"/>
      <c r="IYP127"/>
      <c r="IYQ127"/>
      <c r="IYR127"/>
      <c r="IYS127"/>
      <c r="IYT127"/>
      <c r="IYU127"/>
      <c r="IYV127"/>
      <c r="IYW127"/>
      <c r="IYX127"/>
      <c r="IYY127"/>
      <c r="IYZ127"/>
      <c r="IZA127"/>
      <c r="IZB127"/>
      <c r="IZC127"/>
      <c r="IZD127"/>
      <c r="IZE127"/>
      <c r="IZF127"/>
      <c r="IZG127"/>
      <c r="IZH127"/>
      <c r="IZI127"/>
      <c r="IZJ127"/>
      <c r="IZK127"/>
      <c r="IZL127"/>
      <c r="IZM127"/>
      <c r="IZN127"/>
      <c r="IZO127"/>
      <c r="IZP127"/>
      <c r="IZQ127"/>
      <c r="IZR127"/>
      <c r="IZS127"/>
      <c r="IZT127"/>
      <c r="IZU127"/>
      <c r="IZV127"/>
      <c r="IZW127"/>
      <c r="IZX127"/>
      <c r="IZY127"/>
      <c r="IZZ127"/>
      <c r="JAA127"/>
      <c r="JAB127"/>
      <c r="JAC127"/>
      <c r="JAD127"/>
      <c r="JAE127"/>
      <c r="JAF127"/>
      <c r="JAG127"/>
      <c r="JAH127"/>
      <c r="JAI127"/>
      <c r="JAJ127"/>
      <c r="JAK127"/>
      <c r="JAL127"/>
      <c r="JAM127"/>
      <c r="JAN127"/>
      <c r="JAO127"/>
      <c r="JAP127"/>
      <c r="JAQ127"/>
      <c r="JAR127"/>
      <c r="JAS127"/>
      <c r="JAT127"/>
      <c r="JAU127"/>
      <c r="JAV127"/>
      <c r="JAW127"/>
      <c r="JAX127"/>
      <c r="JAY127"/>
      <c r="JAZ127"/>
      <c r="JBA127"/>
      <c r="JBB127"/>
      <c r="JBC127"/>
      <c r="JBD127"/>
      <c r="JBE127"/>
      <c r="JBF127"/>
      <c r="JBG127"/>
      <c r="JBH127"/>
      <c r="JBI127"/>
      <c r="JBJ127"/>
      <c r="JBK127"/>
      <c r="JBL127"/>
      <c r="JBM127"/>
      <c r="JBN127"/>
      <c r="JBO127"/>
      <c r="JBP127"/>
      <c r="JBQ127"/>
      <c r="JBR127"/>
      <c r="JBS127"/>
      <c r="JBT127"/>
      <c r="JBU127"/>
      <c r="JBV127"/>
      <c r="JBW127"/>
      <c r="JBX127"/>
      <c r="JBY127"/>
      <c r="JBZ127"/>
      <c r="JCA127"/>
      <c r="JCB127"/>
      <c r="JCC127"/>
      <c r="JCD127"/>
      <c r="JCE127"/>
      <c r="JCF127"/>
      <c r="JCG127"/>
      <c r="JCH127"/>
      <c r="JCI127"/>
      <c r="JCJ127"/>
      <c r="JCK127"/>
      <c r="JCL127"/>
      <c r="JCM127"/>
      <c r="JCN127"/>
      <c r="JCO127"/>
      <c r="JCP127"/>
      <c r="JCQ127"/>
      <c r="JCR127"/>
      <c r="JCS127"/>
      <c r="JCT127"/>
      <c r="JCU127"/>
      <c r="JCV127"/>
      <c r="JCW127"/>
      <c r="JCX127"/>
      <c r="JCY127"/>
      <c r="JCZ127"/>
      <c r="JDA127"/>
      <c r="JDB127"/>
      <c r="JDC127"/>
      <c r="JDD127"/>
      <c r="JDE127"/>
      <c r="JDF127"/>
      <c r="JDG127"/>
      <c r="JDH127"/>
      <c r="JDI127"/>
      <c r="JDJ127"/>
      <c r="JDK127"/>
      <c r="JDL127"/>
      <c r="JDM127"/>
      <c r="JDN127"/>
      <c r="JDO127"/>
      <c r="JDP127"/>
      <c r="JDQ127"/>
      <c r="JDR127"/>
      <c r="JDS127"/>
      <c r="JDT127"/>
      <c r="JDU127"/>
      <c r="JDV127"/>
      <c r="JDW127"/>
      <c r="JDX127"/>
      <c r="JDY127"/>
      <c r="JDZ127"/>
      <c r="JEA127"/>
      <c r="JEB127"/>
      <c r="JEC127"/>
      <c r="JED127"/>
      <c r="JEE127"/>
      <c r="JEF127"/>
      <c r="JEG127"/>
      <c r="JEH127"/>
      <c r="JEI127"/>
      <c r="JEJ127"/>
      <c r="JEK127"/>
      <c r="JEL127"/>
      <c r="JEM127"/>
      <c r="JEN127"/>
      <c r="JEO127"/>
      <c r="JEP127"/>
      <c r="JEQ127"/>
      <c r="JER127"/>
      <c r="JES127"/>
      <c r="JET127"/>
      <c r="JEU127"/>
      <c r="JEV127"/>
      <c r="JEW127"/>
      <c r="JEX127"/>
      <c r="JEY127"/>
      <c r="JEZ127"/>
      <c r="JFA127"/>
      <c r="JFB127"/>
      <c r="JFC127"/>
      <c r="JFD127"/>
      <c r="JFE127"/>
      <c r="JFF127"/>
      <c r="JFG127"/>
      <c r="JFH127"/>
      <c r="JFI127"/>
      <c r="JFJ127"/>
      <c r="JFK127"/>
      <c r="JFL127"/>
      <c r="JFM127"/>
      <c r="JFN127"/>
      <c r="JFO127"/>
      <c r="JFP127"/>
      <c r="JFQ127"/>
      <c r="JFR127"/>
      <c r="JFS127"/>
      <c r="JFT127"/>
      <c r="JFU127"/>
      <c r="JFV127"/>
      <c r="JFW127"/>
      <c r="JFX127"/>
      <c r="JFY127"/>
      <c r="JFZ127"/>
      <c r="JGA127"/>
      <c r="JGB127"/>
      <c r="JGC127"/>
      <c r="JGD127"/>
      <c r="JGE127"/>
      <c r="JGF127"/>
      <c r="JGG127"/>
      <c r="JGH127"/>
      <c r="JGI127"/>
      <c r="JGJ127"/>
      <c r="JGK127"/>
      <c r="JGL127"/>
      <c r="JGM127"/>
      <c r="JGN127"/>
      <c r="JGO127"/>
      <c r="JGP127"/>
      <c r="JGQ127"/>
      <c r="JGR127"/>
      <c r="JGS127"/>
      <c r="JGT127"/>
      <c r="JGU127"/>
      <c r="JGV127"/>
      <c r="JGW127"/>
      <c r="JGX127"/>
      <c r="JGY127"/>
      <c r="JGZ127"/>
      <c r="JHA127"/>
      <c r="JHB127"/>
      <c r="JHC127"/>
      <c r="JHD127"/>
      <c r="JHE127"/>
      <c r="JHF127"/>
      <c r="JHG127"/>
      <c r="JHH127"/>
      <c r="JHI127"/>
      <c r="JHJ127"/>
      <c r="JHK127"/>
      <c r="JHL127"/>
      <c r="JHM127"/>
      <c r="JHN127"/>
      <c r="JHO127"/>
      <c r="JHP127"/>
      <c r="JHQ127"/>
      <c r="JHR127"/>
      <c r="JHS127"/>
      <c r="JHT127"/>
      <c r="JHU127"/>
      <c r="JHV127"/>
      <c r="JHW127"/>
      <c r="JHX127"/>
      <c r="JHY127"/>
      <c r="JHZ127"/>
      <c r="JIA127"/>
      <c r="JIB127"/>
      <c r="JIC127"/>
      <c r="JID127"/>
      <c r="JIE127"/>
      <c r="JIF127"/>
      <c r="JIG127"/>
      <c r="JIH127"/>
      <c r="JII127"/>
      <c r="JIJ127"/>
      <c r="JIK127"/>
      <c r="JIL127"/>
      <c r="JIM127"/>
      <c r="JIN127"/>
      <c r="JIO127"/>
      <c r="JIP127"/>
      <c r="JIQ127"/>
      <c r="JIR127"/>
      <c r="JIS127"/>
      <c r="JIT127"/>
      <c r="JIU127"/>
      <c r="JIV127"/>
      <c r="JIW127"/>
      <c r="JIX127"/>
      <c r="JIY127"/>
      <c r="JIZ127"/>
      <c r="JJA127"/>
      <c r="JJB127"/>
      <c r="JJC127"/>
      <c r="JJD127"/>
      <c r="JJE127"/>
      <c r="JJF127"/>
      <c r="JJG127"/>
      <c r="JJH127"/>
      <c r="JJI127"/>
      <c r="JJJ127"/>
      <c r="JJK127"/>
      <c r="JJL127"/>
      <c r="JJM127"/>
      <c r="JJN127"/>
      <c r="JJO127"/>
      <c r="JJP127"/>
      <c r="JJQ127"/>
      <c r="JJR127"/>
      <c r="JJS127"/>
      <c r="JJT127"/>
      <c r="JJU127"/>
      <c r="JJV127"/>
      <c r="JJW127"/>
      <c r="JJX127"/>
      <c r="JJY127"/>
      <c r="JJZ127"/>
      <c r="JKA127"/>
      <c r="JKB127"/>
      <c r="JKC127"/>
      <c r="JKD127"/>
      <c r="JKE127"/>
      <c r="JKF127"/>
      <c r="JKG127"/>
      <c r="JKH127"/>
      <c r="JKI127"/>
      <c r="JKJ127"/>
      <c r="JKK127"/>
      <c r="JKL127"/>
      <c r="JKM127"/>
      <c r="JKN127"/>
      <c r="JKO127"/>
      <c r="JKP127"/>
      <c r="JKQ127"/>
      <c r="JKR127"/>
      <c r="JKS127"/>
      <c r="JKT127"/>
      <c r="JKU127"/>
      <c r="JKV127"/>
      <c r="JKW127"/>
      <c r="JKX127"/>
      <c r="JKY127"/>
      <c r="JKZ127"/>
      <c r="JLA127"/>
      <c r="JLB127"/>
      <c r="JLC127"/>
      <c r="JLD127"/>
      <c r="JLE127"/>
      <c r="JLF127"/>
      <c r="JLG127"/>
      <c r="JLH127"/>
      <c r="JLI127"/>
      <c r="JLJ127"/>
      <c r="JLK127"/>
      <c r="JLL127"/>
      <c r="JLM127"/>
      <c r="JLN127"/>
      <c r="JLO127"/>
      <c r="JLP127"/>
      <c r="JLQ127"/>
      <c r="JLR127"/>
      <c r="JLS127"/>
      <c r="JLT127"/>
      <c r="JLU127"/>
      <c r="JLV127"/>
      <c r="JLW127"/>
      <c r="JLX127"/>
      <c r="JLY127"/>
      <c r="JLZ127"/>
      <c r="JMA127"/>
      <c r="JMB127"/>
      <c r="JMC127"/>
      <c r="JMD127"/>
      <c r="JME127"/>
      <c r="JMF127"/>
      <c r="JMG127"/>
      <c r="JMH127"/>
      <c r="JMI127"/>
      <c r="JMJ127"/>
      <c r="JMK127"/>
      <c r="JML127"/>
      <c r="JMM127"/>
      <c r="JMN127"/>
      <c r="JMO127"/>
      <c r="JMP127"/>
      <c r="JMQ127"/>
      <c r="JMR127"/>
      <c r="JMS127"/>
      <c r="JMT127"/>
      <c r="JMU127"/>
      <c r="JMV127"/>
      <c r="JMW127"/>
      <c r="JMX127"/>
      <c r="JMY127"/>
      <c r="JMZ127"/>
      <c r="JNA127"/>
      <c r="JNB127"/>
      <c r="JNC127"/>
      <c r="JND127"/>
      <c r="JNE127"/>
      <c r="JNF127"/>
      <c r="JNG127"/>
      <c r="JNH127"/>
      <c r="JNI127"/>
      <c r="JNJ127"/>
      <c r="JNK127"/>
      <c r="JNL127"/>
      <c r="JNM127"/>
      <c r="JNN127"/>
      <c r="JNO127"/>
      <c r="JNP127"/>
      <c r="JNQ127"/>
      <c r="JNR127"/>
      <c r="JNS127"/>
      <c r="JNT127"/>
      <c r="JNU127"/>
      <c r="JNV127"/>
      <c r="JNW127"/>
      <c r="JNX127"/>
      <c r="JNY127"/>
      <c r="JNZ127"/>
      <c r="JOA127"/>
      <c r="JOB127"/>
      <c r="JOC127"/>
      <c r="JOD127"/>
      <c r="JOE127"/>
      <c r="JOF127"/>
      <c r="JOG127"/>
      <c r="JOH127"/>
      <c r="JOI127"/>
      <c r="JOJ127"/>
      <c r="JOK127"/>
      <c r="JOL127"/>
      <c r="JOM127"/>
      <c r="JON127"/>
      <c r="JOO127"/>
      <c r="JOP127"/>
      <c r="JOQ127"/>
      <c r="JOR127"/>
      <c r="JOS127"/>
      <c r="JOT127"/>
      <c r="JOU127"/>
      <c r="JOV127"/>
      <c r="JOW127"/>
      <c r="JOX127"/>
      <c r="JOY127"/>
      <c r="JOZ127"/>
      <c r="JPA127"/>
      <c r="JPB127"/>
      <c r="JPC127"/>
      <c r="JPD127"/>
      <c r="JPE127"/>
      <c r="JPF127"/>
      <c r="JPG127"/>
      <c r="JPH127"/>
      <c r="JPI127"/>
      <c r="JPJ127"/>
      <c r="JPK127"/>
      <c r="JPL127"/>
      <c r="JPM127"/>
      <c r="JPN127"/>
      <c r="JPO127"/>
      <c r="JPP127"/>
      <c r="JPQ127"/>
      <c r="JPR127"/>
      <c r="JPS127"/>
      <c r="JPT127"/>
      <c r="JPU127"/>
      <c r="JPV127"/>
      <c r="JPW127"/>
      <c r="JPX127"/>
      <c r="JPY127"/>
      <c r="JPZ127"/>
      <c r="JQA127"/>
      <c r="JQB127"/>
      <c r="JQC127"/>
      <c r="JQD127"/>
      <c r="JQE127"/>
      <c r="JQF127"/>
      <c r="JQG127"/>
      <c r="JQH127"/>
      <c r="JQI127"/>
      <c r="JQJ127"/>
      <c r="JQK127"/>
      <c r="JQL127"/>
      <c r="JQM127"/>
      <c r="JQN127"/>
      <c r="JQO127"/>
      <c r="JQP127"/>
      <c r="JQQ127"/>
      <c r="JQR127"/>
      <c r="JQS127"/>
      <c r="JQT127"/>
      <c r="JQU127"/>
      <c r="JQV127"/>
      <c r="JQW127"/>
      <c r="JQX127"/>
      <c r="JQY127"/>
      <c r="JQZ127"/>
      <c r="JRA127"/>
      <c r="JRB127"/>
      <c r="JRC127"/>
      <c r="JRD127"/>
      <c r="JRE127"/>
      <c r="JRF127"/>
      <c r="JRG127"/>
      <c r="JRH127"/>
      <c r="JRI127"/>
      <c r="JRJ127"/>
      <c r="JRK127"/>
      <c r="JRL127"/>
      <c r="JRM127"/>
      <c r="JRN127"/>
      <c r="JRO127"/>
      <c r="JRP127"/>
      <c r="JRQ127"/>
      <c r="JRR127"/>
      <c r="JRS127"/>
      <c r="JRT127"/>
      <c r="JRU127"/>
      <c r="JRV127"/>
      <c r="JRW127"/>
      <c r="JRX127"/>
      <c r="JRY127"/>
      <c r="JRZ127"/>
      <c r="JSA127"/>
      <c r="JSB127"/>
      <c r="JSC127"/>
      <c r="JSD127"/>
      <c r="JSE127"/>
      <c r="JSF127"/>
      <c r="JSG127"/>
      <c r="JSH127"/>
      <c r="JSI127"/>
      <c r="JSJ127"/>
      <c r="JSK127"/>
      <c r="JSL127"/>
      <c r="JSM127"/>
      <c r="JSN127"/>
      <c r="JSO127"/>
      <c r="JSP127"/>
      <c r="JSQ127"/>
      <c r="JSR127"/>
      <c r="JSS127"/>
      <c r="JST127"/>
      <c r="JSU127"/>
      <c r="JSV127"/>
      <c r="JSW127"/>
      <c r="JSX127"/>
      <c r="JSY127"/>
      <c r="JSZ127"/>
      <c r="JTA127"/>
      <c r="JTB127"/>
      <c r="JTC127"/>
      <c r="JTD127"/>
      <c r="JTE127"/>
      <c r="JTF127"/>
      <c r="JTG127"/>
      <c r="JTH127"/>
      <c r="JTI127"/>
      <c r="JTJ127"/>
      <c r="JTK127"/>
      <c r="JTL127"/>
      <c r="JTM127"/>
      <c r="JTN127"/>
      <c r="JTO127"/>
      <c r="JTP127"/>
      <c r="JTQ127"/>
      <c r="JTR127"/>
      <c r="JTS127"/>
      <c r="JTT127"/>
      <c r="JTU127"/>
      <c r="JTV127"/>
      <c r="JTW127"/>
      <c r="JTX127"/>
      <c r="JTY127"/>
      <c r="JTZ127"/>
      <c r="JUA127"/>
      <c r="JUB127"/>
      <c r="JUC127"/>
      <c r="JUD127"/>
      <c r="JUE127"/>
      <c r="JUF127"/>
      <c r="JUG127"/>
      <c r="JUH127"/>
      <c r="JUI127"/>
      <c r="JUJ127"/>
      <c r="JUK127"/>
      <c r="JUL127"/>
      <c r="JUM127"/>
      <c r="JUN127"/>
      <c r="JUO127"/>
      <c r="JUP127"/>
      <c r="JUQ127"/>
      <c r="JUR127"/>
      <c r="JUS127"/>
      <c r="JUT127"/>
      <c r="JUU127"/>
      <c r="JUV127"/>
      <c r="JUW127"/>
      <c r="JUX127"/>
      <c r="JUY127"/>
      <c r="JUZ127"/>
      <c r="JVA127"/>
      <c r="JVB127"/>
      <c r="JVC127"/>
      <c r="JVD127"/>
      <c r="JVE127"/>
      <c r="JVF127"/>
      <c r="JVG127"/>
      <c r="JVH127"/>
      <c r="JVI127"/>
      <c r="JVJ127"/>
      <c r="JVK127"/>
      <c r="JVL127"/>
      <c r="JVM127"/>
      <c r="JVN127"/>
      <c r="JVO127"/>
      <c r="JVP127"/>
      <c r="JVQ127"/>
      <c r="JVR127"/>
      <c r="JVS127"/>
      <c r="JVT127"/>
      <c r="JVU127"/>
      <c r="JVV127"/>
      <c r="JVW127"/>
      <c r="JVX127"/>
      <c r="JVY127"/>
      <c r="JVZ127"/>
      <c r="JWA127"/>
      <c r="JWB127"/>
      <c r="JWC127"/>
      <c r="JWD127"/>
      <c r="JWE127"/>
      <c r="JWF127"/>
      <c r="JWG127"/>
      <c r="JWH127"/>
      <c r="JWI127"/>
      <c r="JWJ127"/>
      <c r="JWK127"/>
      <c r="JWL127"/>
      <c r="JWM127"/>
      <c r="JWN127"/>
      <c r="JWO127"/>
      <c r="JWP127"/>
      <c r="JWQ127"/>
      <c r="JWR127"/>
      <c r="JWS127"/>
      <c r="JWT127"/>
      <c r="JWU127"/>
      <c r="JWV127"/>
      <c r="JWW127"/>
      <c r="JWX127"/>
      <c r="JWY127"/>
      <c r="JWZ127"/>
      <c r="JXA127"/>
      <c r="JXB127"/>
      <c r="JXC127"/>
      <c r="JXD127"/>
      <c r="JXE127"/>
      <c r="JXF127"/>
      <c r="JXG127"/>
      <c r="JXH127"/>
      <c r="JXI127"/>
      <c r="JXJ127"/>
      <c r="JXK127"/>
      <c r="JXL127"/>
      <c r="JXM127"/>
      <c r="JXN127"/>
      <c r="JXO127"/>
      <c r="JXP127"/>
      <c r="JXQ127"/>
      <c r="JXR127"/>
      <c r="JXS127"/>
      <c r="JXT127"/>
      <c r="JXU127"/>
      <c r="JXV127"/>
      <c r="JXW127"/>
      <c r="JXX127"/>
      <c r="JXY127"/>
      <c r="JXZ127"/>
      <c r="JYA127"/>
      <c r="JYB127"/>
      <c r="JYC127"/>
      <c r="JYD127"/>
      <c r="JYE127"/>
      <c r="JYF127"/>
      <c r="JYG127"/>
      <c r="JYH127"/>
      <c r="JYI127"/>
      <c r="JYJ127"/>
      <c r="JYK127"/>
      <c r="JYL127"/>
      <c r="JYM127"/>
      <c r="JYN127"/>
      <c r="JYO127"/>
      <c r="JYP127"/>
      <c r="JYQ127"/>
      <c r="JYR127"/>
      <c r="JYS127"/>
      <c r="JYT127"/>
      <c r="JYU127"/>
      <c r="JYV127"/>
      <c r="JYW127"/>
      <c r="JYX127"/>
      <c r="JYY127"/>
      <c r="JYZ127"/>
      <c r="JZA127"/>
      <c r="JZB127"/>
      <c r="JZC127"/>
      <c r="JZD127"/>
      <c r="JZE127"/>
      <c r="JZF127"/>
      <c r="JZG127"/>
      <c r="JZH127"/>
      <c r="JZI127"/>
      <c r="JZJ127"/>
      <c r="JZK127"/>
      <c r="JZL127"/>
      <c r="JZM127"/>
      <c r="JZN127"/>
      <c r="JZO127"/>
      <c r="JZP127"/>
      <c r="JZQ127"/>
      <c r="JZR127"/>
      <c r="JZS127"/>
      <c r="JZT127"/>
      <c r="JZU127"/>
      <c r="JZV127"/>
      <c r="JZW127"/>
      <c r="JZX127"/>
      <c r="JZY127"/>
      <c r="JZZ127"/>
      <c r="KAA127"/>
      <c r="KAB127"/>
      <c r="KAC127"/>
      <c r="KAD127"/>
      <c r="KAE127"/>
      <c r="KAF127"/>
      <c r="KAG127"/>
      <c r="KAH127"/>
      <c r="KAI127"/>
      <c r="KAJ127"/>
      <c r="KAK127"/>
      <c r="KAL127"/>
      <c r="KAM127"/>
      <c r="KAN127"/>
      <c r="KAO127"/>
      <c r="KAP127"/>
      <c r="KAQ127"/>
      <c r="KAR127"/>
      <c r="KAS127"/>
      <c r="KAT127"/>
      <c r="KAU127"/>
      <c r="KAV127"/>
      <c r="KAW127"/>
      <c r="KAX127"/>
      <c r="KAY127"/>
      <c r="KAZ127"/>
      <c r="KBA127"/>
      <c r="KBB127"/>
      <c r="KBC127"/>
      <c r="KBD127"/>
      <c r="KBE127"/>
      <c r="KBF127"/>
      <c r="KBG127"/>
      <c r="KBH127"/>
      <c r="KBI127"/>
      <c r="KBJ127"/>
      <c r="KBK127"/>
      <c r="KBL127"/>
      <c r="KBM127"/>
      <c r="KBN127"/>
      <c r="KBO127"/>
      <c r="KBP127"/>
      <c r="KBQ127"/>
      <c r="KBR127"/>
      <c r="KBS127"/>
      <c r="KBT127"/>
      <c r="KBU127"/>
      <c r="KBV127"/>
      <c r="KBW127"/>
      <c r="KBX127"/>
      <c r="KBY127"/>
      <c r="KBZ127"/>
      <c r="KCA127"/>
      <c r="KCB127"/>
      <c r="KCC127"/>
      <c r="KCD127"/>
      <c r="KCE127"/>
      <c r="KCF127"/>
      <c r="KCG127"/>
      <c r="KCH127"/>
      <c r="KCI127"/>
      <c r="KCJ127"/>
      <c r="KCK127"/>
      <c r="KCL127"/>
      <c r="KCM127"/>
      <c r="KCN127"/>
      <c r="KCO127"/>
      <c r="KCP127"/>
      <c r="KCQ127"/>
      <c r="KCR127"/>
      <c r="KCS127"/>
      <c r="KCT127"/>
      <c r="KCU127"/>
      <c r="KCV127"/>
      <c r="KCW127"/>
      <c r="KCX127"/>
      <c r="KCY127"/>
      <c r="KCZ127"/>
      <c r="KDA127"/>
      <c r="KDB127"/>
      <c r="KDC127"/>
      <c r="KDD127"/>
      <c r="KDE127"/>
      <c r="KDF127"/>
      <c r="KDG127"/>
      <c r="KDH127"/>
      <c r="KDI127"/>
      <c r="KDJ127"/>
      <c r="KDK127"/>
      <c r="KDL127"/>
      <c r="KDM127"/>
      <c r="KDN127"/>
      <c r="KDO127"/>
      <c r="KDP127"/>
      <c r="KDQ127"/>
      <c r="KDR127"/>
      <c r="KDS127"/>
      <c r="KDT127"/>
      <c r="KDU127"/>
      <c r="KDV127"/>
      <c r="KDW127"/>
      <c r="KDX127"/>
      <c r="KDY127"/>
      <c r="KDZ127"/>
      <c r="KEA127"/>
      <c r="KEB127"/>
      <c r="KEC127"/>
      <c r="KED127"/>
      <c r="KEE127"/>
      <c r="KEF127"/>
      <c r="KEG127"/>
      <c r="KEH127"/>
      <c r="KEI127"/>
      <c r="KEJ127"/>
      <c r="KEK127"/>
      <c r="KEL127"/>
      <c r="KEM127"/>
      <c r="KEN127"/>
      <c r="KEO127"/>
      <c r="KEP127"/>
      <c r="KEQ127"/>
      <c r="KER127"/>
      <c r="KES127"/>
      <c r="KET127"/>
      <c r="KEU127"/>
      <c r="KEV127"/>
      <c r="KEW127"/>
      <c r="KEX127"/>
      <c r="KEY127"/>
      <c r="KEZ127"/>
      <c r="KFA127"/>
      <c r="KFB127"/>
      <c r="KFC127"/>
      <c r="KFD127"/>
      <c r="KFE127"/>
      <c r="KFF127"/>
      <c r="KFG127"/>
      <c r="KFH127"/>
      <c r="KFI127"/>
      <c r="KFJ127"/>
      <c r="KFK127"/>
      <c r="KFL127"/>
      <c r="KFM127"/>
      <c r="KFN127"/>
      <c r="KFO127"/>
      <c r="KFP127"/>
      <c r="KFQ127"/>
      <c r="KFR127"/>
      <c r="KFS127"/>
      <c r="KFT127"/>
      <c r="KFU127"/>
      <c r="KFV127"/>
      <c r="KFW127"/>
      <c r="KFX127"/>
      <c r="KFY127"/>
      <c r="KFZ127"/>
      <c r="KGA127"/>
      <c r="KGB127"/>
      <c r="KGC127"/>
      <c r="KGD127"/>
      <c r="KGE127"/>
      <c r="KGF127"/>
      <c r="KGG127"/>
      <c r="KGH127"/>
      <c r="KGI127"/>
      <c r="KGJ127"/>
      <c r="KGK127"/>
      <c r="KGL127"/>
      <c r="KGM127"/>
      <c r="KGN127"/>
      <c r="KGO127"/>
      <c r="KGP127"/>
      <c r="KGQ127"/>
      <c r="KGR127"/>
      <c r="KGS127"/>
      <c r="KGT127"/>
      <c r="KGU127"/>
      <c r="KGV127"/>
      <c r="KGW127"/>
      <c r="KGX127"/>
      <c r="KGY127"/>
      <c r="KGZ127"/>
      <c r="KHA127"/>
      <c r="KHB127"/>
      <c r="KHC127"/>
      <c r="KHD127"/>
      <c r="KHE127"/>
      <c r="KHF127"/>
      <c r="KHG127"/>
      <c r="KHH127"/>
      <c r="KHI127"/>
      <c r="KHJ127"/>
      <c r="KHK127"/>
      <c r="KHL127"/>
      <c r="KHM127"/>
      <c r="KHN127"/>
      <c r="KHO127"/>
      <c r="KHP127"/>
      <c r="KHQ127"/>
      <c r="KHR127"/>
      <c r="KHS127"/>
      <c r="KHT127"/>
      <c r="KHU127"/>
      <c r="KHV127"/>
      <c r="KHW127"/>
      <c r="KHX127"/>
      <c r="KHY127"/>
      <c r="KHZ127"/>
      <c r="KIA127"/>
      <c r="KIB127"/>
      <c r="KIC127"/>
      <c r="KID127"/>
      <c r="KIE127"/>
      <c r="KIF127"/>
      <c r="KIG127"/>
      <c r="KIH127"/>
      <c r="KII127"/>
      <c r="KIJ127"/>
      <c r="KIK127"/>
      <c r="KIL127"/>
      <c r="KIM127"/>
      <c r="KIN127"/>
      <c r="KIO127"/>
      <c r="KIP127"/>
      <c r="KIQ127"/>
      <c r="KIR127"/>
      <c r="KIS127"/>
      <c r="KIT127"/>
      <c r="KIU127"/>
      <c r="KIV127"/>
      <c r="KIW127"/>
      <c r="KIX127"/>
      <c r="KIY127"/>
      <c r="KIZ127"/>
      <c r="KJA127"/>
      <c r="KJB127"/>
      <c r="KJC127"/>
      <c r="KJD127"/>
      <c r="KJE127"/>
      <c r="KJF127"/>
      <c r="KJG127"/>
      <c r="KJH127"/>
      <c r="KJI127"/>
      <c r="KJJ127"/>
      <c r="KJK127"/>
      <c r="KJL127"/>
      <c r="KJM127"/>
      <c r="KJN127"/>
      <c r="KJO127"/>
      <c r="KJP127"/>
      <c r="KJQ127"/>
      <c r="KJR127"/>
      <c r="KJS127"/>
      <c r="KJT127"/>
      <c r="KJU127"/>
      <c r="KJV127"/>
      <c r="KJW127"/>
      <c r="KJX127"/>
      <c r="KJY127"/>
      <c r="KJZ127"/>
      <c r="KKA127"/>
      <c r="KKB127"/>
      <c r="KKC127"/>
      <c r="KKD127"/>
      <c r="KKE127"/>
      <c r="KKF127"/>
      <c r="KKG127"/>
      <c r="KKH127"/>
      <c r="KKI127"/>
      <c r="KKJ127"/>
      <c r="KKK127"/>
      <c r="KKL127"/>
      <c r="KKM127"/>
      <c r="KKN127"/>
      <c r="KKO127"/>
      <c r="KKP127"/>
      <c r="KKQ127"/>
      <c r="KKR127"/>
      <c r="KKS127"/>
      <c r="KKT127"/>
      <c r="KKU127"/>
      <c r="KKV127"/>
      <c r="KKW127"/>
      <c r="KKX127"/>
      <c r="KKY127"/>
      <c r="KKZ127"/>
      <c r="KLA127"/>
      <c r="KLB127"/>
      <c r="KLC127"/>
      <c r="KLD127"/>
      <c r="KLE127"/>
      <c r="KLF127"/>
      <c r="KLG127"/>
      <c r="KLH127"/>
      <c r="KLI127"/>
      <c r="KLJ127"/>
      <c r="KLK127"/>
      <c r="KLL127"/>
      <c r="KLM127"/>
      <c r="KLN127"/>
      <c r="KLO127"/>
      <c r="KLP127"/>
      <c r="KLQ127"/>
      <c r="KLR127"/>
      <c r="KLS127"/>
      <c r="KLT127"/>
      <c r="KLU127"/>
      <c r="KLV127"/>
      <c r="KLW127"/>
      <c r="KLX127"/>
      <c r="KLY127"/>
      <c r="KLZ127"/>
      <c r="KMA127"/>
      <c r="KMB127"/>
      <c r="KMC127"/>
      <c r="KMD127"/>
      <c r="KME127"/>
      <c r="KMF127"/>
      <c r="KMG127"/>
      <c r="KMH127"/>
      <c r="KMI127"/>
      <c r="KMJ127"/>
      <c r="KMK127"/>
      <c r="KML127"/>
      <c r="KMM127"/>
      <c r="KMN127"/>
      <c r="KMO127"/>
      <c r="KMP127"/>
      <c r="KMQ127"/>
      <c r="KMR127"/>
      <c r="KMS127"/>
      <c r="KMT127"/>
      <c r="KMU127"/>
      <c r="KMV127"/>
      <c r="KMW127"/>
      <c r="KMX127"/>
      <c r="KMY127"/>
      <c r="KMZ127"/>
      <c r="KNA127"/>
      <c r="KNB127"/>
      <c r="KNC127"/>
      <c r="KND127"/>
      <c r="KNE127"/>
      <c r="KNF127"/>
      <c r="KNG127"/>
      <c r="KNH127"/>
      <c r="KNI127"/>
      <c r="KNJ127"/>
      <c r="KNK127"/>
      <c r="KNL127"/>
      <c r="KNM127"/>
      <c r="KNN127"/>
      <c r="KNO127"/>
      <c r="KNP127"/>
      <c r="KNQ127"/>
      <c r="KNR127"/>
      <c r="KNS127"/>
      <c r="KNT127"/>
      <c r="KNU127"/>
      <c r="KNV127"/>
      <c r="KNW127"/>
      <c r="KNX127"/>
      <c r="KNY127"/>
      <c r="KNZ127"/>
      <c r="KOA127"/>
      <c r="KOB127"/>
      <c r="KOC127"/>
      <c r="KOD127"/>
      <c r="KOE127"/>
      <c r="KOF127"/>
      <c r="KOG127"/>
      <c r="KOH127"/>
      <c r="KOI127"/>
      <c r="KOJ127"/>
      <c r="KOK127"/>
      <c r="KOL127"/>
      <c r="KOM127"/>
      <c r="KON127"/>
      <c r="KOO127"/>
      <c r="KOP127"/>
      <c r="KOQ127"/>
      <c r="KOR127"/>
      <c r="KOS127"/>
      <c r="KOT127"/>
      <c r="KOU127"/>
      <c r="KOV127"/>
      <c r="KOW127"/>
      <c r="KOX127"/>
      <c r="KOY127"/>
      <c r="KOZ127"/>
      <c r="KPA127"/>
      <c r="KPB127"/>
      <c r="KPC127"/>
      <c r="KPD127"/>
      <c r="KPE127"/>
      <c r="KPF127"/>
      <c r="KPG127"/>
      <c r="KPH127"/>
      <c r="KPI127"/>
      <c r="KPJ127"/>
      <c r="KPK127"/>
      <c r="KPL127"/>
      <c r="KPM127"/>
      <c r="KPN127"/>
      <c r="KPO127"/>
      <c r="KPP127"/>
      <c r="KPQ127"/>
      <c r="KPR127"/>
      <c r="KPS127"/>
      <c r="KPT127"/>
      <c r="KPU127"/>
      <c r="KPV127"/>
      <c r="KPW127"/>
      <c r="KPX127"/>
      <c r="KPY127"/>
      <c r="KPZ127"/>
      <c r="KQA127"/>
      <c r="KQB127"/>
      <c r="KQC127"/>
      <c r="KQD127"/>
      <c r="KQE127"/>
      <c r="KQF127"/>
      <c r="KQG127"/>
      <c r="KQH127"/>
      <c r="KQI127"/>
      <c r="KQJ127"/>
      <c r="KQK127"/>
      <c r="KQL127"/>
      <c r="KQM127"/>
      <c r="KQN127"/>
      <c r="KQO127"/>
      <c r="KQP127"/>
      <c r="KQQ127"/>
      <c r="KQR127"/>
      <c r="KQS127"/>
      <c r="KQT127"/>
      <c r="KQU127"/>
      <c r="KQV127"/>
      <c r="KQW127"/>
      <c r="KQX127"/>
      <c r="KQY127"/>
      <c r="KQZ127"/>
      <c r="KRA127"/>
      <c r="KRB127"/>
      <c r="KRC127"/>
      <c r="KRD127"/>
      <c r="KRE127"/>
      <c r="KRF127"/>
      <c r="KRG127"/>
      <c r="KRH127"/>
      <c r="KRI127"/>
      <c r="KRJ127"/>
      <c r="KRK127"/>
      <c r="KRL127"/>
      <c r="KRM127"/>
      <c r="KRN127"/>
      <c r="KRO127"/>
      <c r="KRP127"/>
      <c r="KRQ127"/>
      <c r="KRR127"/>
      <c r="KRS127"/>
      <c r="KRT127"/>
      <c r="KRU127"/>
      <c r="KRV127"/>
      <c r="KRW127"/>
      <c r="KRX127"/>
      <c r="KRY127"/>
      <c r="KRZ127"/>
      <c r="KSA127"/>
      <c r="KSB127"/>
      <c r="KSC127"/>
      <c r="KSD127"/>
      <c r="KSE127"/>
      <c r="KSF127"/>
      <c r="KSG127"/>
      <c r="KSH127"/>
      <c r="KSI127"/>
      <c r="KSJ127"/>
      <c r="KSK127"/>
      <c r="KSL127"/>
      <c r="KSM127"/>
      <c r="KSN127"/>
      <c r="KSO127"/>
      <c r="KSP127"/>
      <c r="KSQ127"/>
      <c r="KSR127"/>
      <c r="KSS127"/>
      <c r="KST127"/>
      <c r="KSU127"/>
      <c r="KSV127"/>
      <c r="KSW127"/>
      <c r="KSX127"/>
      <c r="KSY127"/>
      <c r="KSZ127"/>
      <c r="KTA127"/>
      <c r="KTB127"/>
      <c r="KTC127"/>
      <c r="KTD127"/>
      <c r="KTE127"/>
      <c r="KTF127"/>
      <c r="KTG127"/>
      <c r="KTH127"/>
      <c r="KTI127"/>
      <c r="KTJ127"/>
      <c r="KTK127"/>
      <c r="KTL127"/>
      <c r="KTM127"/>
      <c r="KTN127"/>
      <c r="KTO127"/>
      <c r="KTP127"/>
      <c r="KTQ127"/>
      <c r="KTR127"/>
      <c r="KTS127"/>
      <c r="KTT127"/>
      <c r="KTU127"/>
      <c r="KTV127"/>
      <c r="KTW127"/>
      <c r="KTX127"/>
      <c r="KTY127"/>
      <c r="KTZ127"/>
      <c r="KUA127"/>
      <c r="KUB127"/>
      <c r="KUC127"/>
      <c r="KUD127"/>
      <c r="KUE127"/>
      <c r="KUF127"/>
      <c r="KUG127"/>
      <c r="KUH127"/>
      <c r="KUI127"/>
      <c r="KUJ127"/>
      <c r="KUK127"/>
      <c r="KUL127"/>
      <c r="KUM127"/>
      <c r="KUN127"/>
      <c r="KUO127"/>
      <c r="KUP127"/>
      <c r="KUQ127"/>
      <c r="KUR127"/>
      <c r="KUS127"/>
      <c r="KUT127"/>
      <c r="KUU127"/>
      <c r="KUV127"/>
      <c r="KUW127"/>
      <c r="KUX127"/>
      <c r="KUY127"/>
      <c r="KUZ127"/>
      <c r="KVA127"/>
      <c r="KVB127"/>
      <c r="KVC127"/>
      <c r="KVD127"/>
      <c r="KVE127"/>
      <c r="KVF127"/>
      <c r="KVG127"/>
      <c r="KVH127"/>
      <c r="KVI127"/>
      <c r="KVJ127"/>
      <c r="KVK127"/>
      <c r="KVL127"/>
      <c r="KVM127"/>
      <c r="KVN127"/>
      <c r="KVO127"/>
      <c r="KVP127"/>
      <c r="KVQ127"/>
      <c r="KVR127"/>
      <c r="KVS127"/>
      <c r="KVT127"/>
      <c r="KVU127"/>
      <c r="KVV127"/>
      <c r="KVW127"/>
      <c r="KVX127"/>
      <c r="KVY127"/>
      <c r="KVZ127"/>
      <c r="KWA127"/>
      <c r="KWB127"/>
      <c r="KWC127"/>
      <c r="KWD127"/>
      <c r="KWE127"/>
      <c r="KWF127"/>
      <c r="KWG127"/>
      <c r="KWH127"/>
      <c r="KWI127"/>
      <c r="KWJ127"/>
      <c r="KWK127"/>
      <c r="KWL127"/>
      <c r="KWM127"/>
      <c r="KWN127"/>
      <c r="KWO127"/>
      <c r="KWP127"/>
      <c r="KWQ127"/>
      <c r="KWR127"/>
      <c r="KWS127"/>
      <c r="KWT127"/>
      <c r="KWU127"/>
      <c r="KWV127"/>
      <c r="KWW127"/>
      <c r="KWX127"/>
      <c r="KWY127"/>
      <c r="KWZ127"/>
      <c r="KXA127"/>
      <c r="KXB127"/>
      <c r="KXC127"/>
      <c r="KXD127"/>
      <c r="KXE127"/>
      <c r="KXF127"/>
      <c r="KXG127"/>
      <c r="KXH127"/>
      <c r="KXI127"/>
      <c r="KXJ127"/>
      <c r="KXK127"/>
      <c r="KXL127"/>
      <c r="KXM127"/>
      <c r="KXN127"/>
      <c r="KXO127"/>
      <c r="KXP127"/>
      <c r="KXQ127"/>
      <c r="KXR127"/>
      <c r="KXS127"/>
      <c r="KXT127"/>
      <c r="KXU127"/>
      <c r="KXV127"/>
      <c r="KXW127"/>
      <c r="KXX127"/>
      <c r="KXY127"/>
      <c r="KXZ127"/>
      <c r="KYA127"/>
      <c r="KYB127"/>
      <c r="KYC127"/>
      <c r="KYD127"/>
      <c r="KYE127"/>
      <c r="KYF127"/>
      <c r="KYG127"/>
      <c r="KYH127"/>
      <c r="KYI127"/>
      <c r="KYJ127"/>
      <c r="KYK127"/>
      <c r="KYL127"/>
      <c r="KYM127"/>
      <c r="KYN127"/>
      <c r="KYO127"/>
      <c r="KYP127"/>
      <c r="KYQ127"/>
      <c r="KYR127"/>
      <c r="KYS127"/>
      <c r="KYT127"/>
      <c r="KYU127"/>
      <c r="KYV127"/>
      <c r="KYW127"/>
      <c r="KYX127"/>
      <c r="KYY127"/>
      <c r="KYZ127"/>
      <c r="KZA127"/>
      <c r="KZB127"/>
      <c r="KZC127"/>
      <c r="KZD127"/>
      <c r="KZE127"/>
      <c r="KZF127"/>
      <c r="KZG127"/>
      <c r="KZH127"/>
      <c r="KZI127"/>
      <c r="KZJ127"/>
      <c r="KZK127"/>
      <c r="KZL127"/>
      <c r="KZM127"/>
      <c r="KZN127"/>
      <c r="KZO127"/>
      <c r="KZP127"/>
      <c r="KZQ127"/>
      <c r="KZR127"/>
      <c r="KZS127"/>
      <c r="KZT127"/>
      <c r="KZU127"/>
      <c r="KZV127"/>
      <c r="KZW127"/>
      <c r="KZX127"/>
      <c r="KZY127"/>
      <c r="KZZ127"/>
      <c r="LAA127"/>
      <c r="LAB127"/>
      <c r="LAC127"/>
      <c r="LAD127"/>
      <c r="LAE127"/>
      <c r="LAF127"/>
      <c r="LAG127"/>
      <c r="LAH127"/>
      <c r="LAI127"/>
      <c r="LAJ127"/>
      <c r="LAK127"/>
      <c r="LAL127"/>
      <c r="LAM127"/>
      <c r="LAN127"/>
      <c r="LAO127"/>
      <c r="LAP127"/>
      <c r="LAQ127"/>
      <c r="LAR127"/>
      <c r="LAS127"/>
      <c r="LAT127"/>
      <c r="LAU127"/>
      <c r="LAV127"/>
      <c r="LAW127"/>
      <c r="LAX127"/>
      <c r="LAY127"/>
      <c r="LAZ127"/>
      <c r="LBA127"/>
      <c r="LBB127"/>
      <c r="LBC127"/>
      <c r="LBD127"/>
      <c r="LBE127"/>
      <c r="LBF127"/>
      <c r="LBG127"/>
      <c r="LBH127"/>
      <c r="LBI127"/>
      <c r="LBJ127"/>
      <c r="LBK127"/>
      <c r="LBL127"/>
      <c r="LBM127"/>
      <c r="LBN127"/>
      <c r="LBO127"/>
      <c r="LBP127"/>
      <c r="LBQ127"/>
      <c r="LBR127"/>
      <c r="LBS127"/>
      <c r="LBT127"/>
      <c r="LBU127"/>
      <c r="LBV127"/>
      <c r="LBW127"/>
      <c r="LBX127"/>
      <c r="LBY127"/>
      <c r="LBZ127"/>
      <c r="LCA127"/>
      <c r="LCB127"/>
      <c r="LCC127"/>
      <c r="LCD127"/>
      <c r="LCE127"/>
      <c r="LCF127"/>
      <c r="LCG127"/>
      <c r="LCH127"/>
      <c r="LCI127"/>
      <c r="LCJ127"/>
      <c r="LCK127"/>
      <c r="LCL127"/>
      <c r="LCM127"/>
      <c r="LCN127"/>
      <c r="LCO127"/>
      <c r="LCP127"/>
      <c r="LCQ127"/>
      <c r="LCR127"/>
      <c r="LCS127"/>
      <c r="LCT127"/>
      <c r="LCU127"/>
      <c r="LCV127"/>
      <c r="LCW127"/>
      <c r="LCX127"/>
      <c r="LCY127"/>
      <c r="LCZ127"/>
      <c r="LDA127"/>
      <c r="LDB127"/>
      <c r="LDC127"/>
      <c r="LDD127"/>
      <c r="LDE127"/>
      <c r="LDF127"/>
      <c r="LDG127"/>
      <c r="LDH127"/>
      <c r="LDI127"/>
      <c r="LDJ127"/>
      <c r="LDK127"/>
      <c r="LDL127"/>
      <c r="LDM127"/>
      <c r="LDN127"/>
      <c r="LDO127"/>
      <c r="LDP127"/>
      <c r="LDQ127"/>
      <c r="LDR127"/>
      <c r="LDS127"/>
      <c r="LDT127"/>
      <c r="LDU127"/>
      <c r="LDV127"/>
      <c r="LDW127"/>
      <c r="LDX127"/>
      <c r="LDY127"/>
      <c r="LDZ127"/>
      <c r="LEA127"/>
      <c r="LEB127"/>
      <c r="LEC127"/>
      <c r="LED127"/>
      <c r="LEE127"/>
      <c r="LEF127"/>
      <c r="LEG127"/>
      <c r="LEH127"/>
      <c r="LEI127"/>
      <c r="LEJ127"/>
      <c r="LEK127"/>
      <c r="LEL127"/>
      <c r="LEM127"/>
      <c r="LEN127"/>
      <c r="LEO127"/>
      <c r="LEP127"/>
      <c r="LEQ127"/>
      <c r="LER127"/>
      <c r="LES127"/>
      <c r="LET127"/>
      <c r="LEU127"/>
      <c r="LEV127"/>
      <c r="LEW127"/>
      <c r="LEX127"/>
      <c r="LEY127"/>
      <c r="LEZ127"/>
      <c r="LFA127"/>
      <c r="LFB127"/>
      <c r="LFC127"/>
      <c r="LFD127"/>
      <c r="LFE127"/>
      <c r="LFF127"/>
      <c r="LFG127"/>
      <c r="LFH127"/>
      <c r="LFI127"/>
      <c r="LFJ127"/>
      <c r="LFK127"/>
      <c r="LFL127"/>
      <c r="LFM127"/>
      <c r="LFN127"/>
      <c r="LFO127"/>
      <c r="LFP127"/>
      <c r="LFQ127"/>
      <c r="LFR127"/>
      <c r="LFS127"/>
      <c r="LFT127"/>
      <c r="LFU127"/>
      <c r="LFV127"/>
      <c r="LFW127"/>
      <c r="LFX127"/>
      <c r="LFY127"/>
      <c r="LFZ127"/>
      <c r="LGA127"/>
      <c r="LGB127"/>
      <c r="LGC127"/>
      <c r="LGD127"/>
      <c r="LGE127"/>
      <c r="LGF127"/>
      <c r="LGG127"/>
      <c r="LGH127"/>
      <c r="LGI127"/>
      <c r="LGJ127"/>
      <c r="LGK127"/>
      <c r="LGL127"/>
      <c r="LGM127"/>
      <c r="LGN127"/>
      <c r="LGO127"/>
      <c r="LGP127"/>
      <c r="LGQ127"/>
      <c r="LGR127"/>
      <c r="LGS127"/>
      <c r="LGT127"/>
      <c r="LGU127"/>
      <c r="LGV127"/>
      <c r="LGW127"/>
      <c r="LGX127"/>
      <c r="LGY127"/>
      <c r="LGZ127"/>
      <c r="LHA127"/>
      <c r="LHB127"/>
      <c r="LHC127"/>
      <c r="LHD127"/>
      <c r="LHE127"/>
      <c r="LHF127"/>
      <c r="LHG127"/>
      <c r="LHH127"/>
      <c r="LHI127"/>
      <c r="LHJ127"/>
      <c r="LHK127"/>
      <c r="LHL127"/>
      <c r="LHM127"/>
      <c r="LHN127"/>
      <c r="LHO127"/>
      <c r="LHP127"/>
      <c r="LHQ127"/>
      <c r="LHR127"/>
      <c r="LHS127"/>
      <c r="LHT127"/>
      <c r="LHU127"/>
      <c r="LHV127"/>
      <c r="LHW127"/>
      <c r="LHX127"/>
      <c r="LHY127"/>
      <c r="LHZ127"/>
      <c r="LIA127"/>
      <c r="LIB127"/>
      <c r="LIC127"/>
      <c r="LID127"/>
      <c r="LIE127"/>
      <c r="LIF127"/>
      <c r="LIG127"/>
      <c r="LIH127"/>
      <c r="LII127"/>
      <c r="LIJ127"/>
      <c r="LIK127"/>
      <c r="LIL127"/>
      <c r="LIM127"/>
      <c r="LIN127"/>
      <c r="LIO127"/>
      <c r="LIP127"/>
      <c r="LIQ127"/>
      <c r="LIR127"/>
      <c r="LIS127"/>
      <c r="LIT127"/>
      <c r="LIU127"/>
      <c r="LIV127"/>
      <c r="LIW127"/>
      <c r="LIX127"/>
      <c r="LIY127"/>
      <c r="LIZ127"/>
      <c r="LJA127"/>
      <c r="LJB127"/>
      <c r="LJC127"/>
      <c r="LJD127"/>
      <c r="LJE127"/>
      <c r="LJF127"/>
      <c r="LJG127"/>
      <c r="LJH127"/>
      <c r="LJI127"/>
      <c r="LJJ127"/>
      <c r="LJK127"/>
      <c r="LJL127"/>
      <c r="LJM127"/>
      <c r="LJN127"/>
      <c r="LJO127"/>
      <c r="LJP127"/>
      <c r="LJQ127"/>
      <c r="LJR127"/>
      <c r="LJS127"/>
      <c r="LJT127"/>
      <c r="LJU127"/>
      <c r="LJV127"/>
      <c r="LJW127"/>
      <c r="LJX127"/>
      <c r="LJY127"/>
      <c r="LJZ127"/>
      <c r="LKA127"/>
      <c r="LKB127"/>
      <c r="LKC127"/>
      <c r="LKD127"/>
      <c r="LKE127"/>
      <c r="LKF127"/>
      <c r="LKG127"/>
      <c r="LKH127"/>
      <c r="LKI127"/>
      <c r="LKJ127"/>
      <c r="LKK127"/>
      <c r="LKL127"/>
      <c r="LKM127"/>
      <c r="LKN127"/>
      <c r="LKO127"/>
      <c r="LKP127"/>
      <c r="LKQ127"/>
      <c r="LKR127"/>
      <c r="LKS127"/>
      <c r="LKT127"/>
      <c r="LKU127"/>
      <c r="LKV127"/>
      <c r="LKW127"/>
      <c r="LKX127"/>
      <c r="LKY127"/>
      <c r="LKZ127"/>
      <c r="LLA127"/>
      <c r="LLB127"/>
      <c r="LLC127"/>
      <c r="LLD127"/>
      <c r="LLE127"/>
      <c r="LLF127"/>
      <c r="LLG127"/>
      <c r="LLH127"/>
      <c r="LLI127"/>
      <c r="LLJ127"/>
      <c r="LLK127"/>
      <c r="LLL127"/>
      <c r="LLM127"/>
      <c r="LLN127"/>
      <c r="LLO127"/>
      <c r="LLP127"/>
      <c r="LLQ127"/>
      <c r="LLR127"/>
      <c r="LLS127"/>
      <c r="LLT127"/>
      <c r="LLU127"/>
      <c r="LLV127"/>
      <c r="LLW127"/>
      <c r="LLX127"/>
      <c r="LLY127"/>
      <c r="LLZ127"/>
      <c r="LMA127"/>
      <c r="LMB127"/>
      <c r="LMC127"/>
      <c r="LMD127"/>
      <c r="LME127"/>
      <c r="LMF127"/>
      <c r="LMG127"/>
      <c r="LMH127"/>
      <c r="LMI127"/>
      <c r="LMJ127"/>
      <c r="LMK127"/>
      <c r="LML127"/>
      <c r="LMM127"/>
      <c r="LMN127"/>
      <c r="LMO127"/>
      <c r="LMP127"/>
      <c r="LMQ127"/>
      <c r="LMR127"/>
      <c r="LMS127"/>
      <c r="LMT127"/>
      <c r="LMU127"/>
      <c r="LMV127"/>
      <c r="LMW127"/>
      <c r="LMX127"/>
      <c r="LMY127"/>
      <c r="LMZ127"/>
      <c r="LNA127"/>
      <c r="LNB127"/>
      <c r="LNC127"/>
      <c r="LND127"/>
      <c r="LNE127"/>
      <c r="LNF127"/>
      <c r="LNG127"/>
      <c r="LNH127"/>
      <c r="LNI127"/>
      <c r="LNJ127"/>
      <c r="LNK127"/>
      <c r="LNL127"/>
      <c r="LNM127"/>
      <c r="LNN127"/>
      <c r="LNO127"/>
      <c r="LNP127"/>
      <c r="LNQ127"/>
      <c r="LNR127"/>
      <c r="LNS127"/>
      <c r="LNT127"/>
      <c r="LNU127"/>
      <c r="LNV127"/>
      <c r="LNW127"/>
      <c r="LNX127"/>
      <c r="LNY127"/>
      <c r="LNZ127"/>
      <c r="LOA127"/>
      <c r="LOB127"/>
      <c r="LOC127"/>
      <c r="LOD127"/>
      <c r="LOE127"/>
      <c r="LOF127"/>
      <c r="LOG127"/>
      <c r="LOH127"/>
      <c r="LOI127"/>
      <c r="LOJ127"/>
      <c r="LOK127"/>
      <c r="LOL127"/>
      <c r="LOM127"/>
      <c r="LON127"/>
      <c r="LOO127"/>
      <c r="LOP127"/>
      <c r="LOQ127"/>
      <c r="LOR127"/>
      <c r="LOS127"/>
      <c r="LOT127"/>
      <c r="LOU127"/>
      <c r="LOV127"/>
      <c r="LOW127"/>
      <c r="LOX127"/>
      <c r="LOY127"/>
      <c r="LOZ127"/>
      <c r="LPA127"/>
      <c r="LPB127"/>
      <c r="LPC127"/>
      <c r="LPD127"/>
      <c r="LPE127"/>
      <c r="LPF127"/>
      <c r="LPG127"/>
      <c r="LPH127"/>
      <c r="LPI127"/>
      <c r="LPJ127"/>
      <c r="LPK127"/>
      <c r="LPL127"/>
      <c r="LPM127"/>
      <c r="LPN127"/>
      <c r="LPO127"/>
      <c r="LPP127"/>
      <c r="LPQ127"/>
      <c r="LPR127"/>
      <c r="LPS127"/>
      <c r="LPT127"/>
      <c r="LPU127"/>
      <c r="LPV127"/>
      <c r="LPW127"/>
      <c r="LPX127"/>
      <c r="LPY127"/>
      <c r="LPZ127"/>
      <c r="LQA127"/>
      <c r="LQB127"/>
      <c r="LQC127"/>
      <c r="LQD127"/>
      <c r="LQE127"/>
      <c r="LQF127"/>
      <c r="LQG127"/>
      <c r="LQH127"/>
      <c r="LQI127"/>
      <c r="LQJ127"/>
      <c r="LQK127"/>
      <c r="LQL127"/>
      <c r="LQM127"/>
      <c r="LQN127"/>
      <c r="LQO127"/>
      <c r="LQP127"/>
      <c r="LQQ127"/>
      <c r="LQR127"/>
      <c r="LQS127"/>
      <c r="LQT127"/>
      <c r="LQU127"/>
      <c r="LQV127"/>
      <c r="LQW127"/>
      <c r="LQX127"/>
      <c r="LQY127"/>
      <c r="LQZ127"/>
      <c r="LRA127"/>
      <c r="LRB127"/>
      <c r="LRC127"/>
      <c r="LRD127"/>
      <c r="LRE127"/>
      <c r="LRF127"/>
      <c r="LRG127"/>
      <c r="LRH127"/>
      <c r="LRI127"/>
      <c r="LRJ127"/>
      <c r="LRK127"/>
      <c r="LRL127"/>
      <c r="LRM127"/>
      <c r="LRN127"/>
      <c r="LRO127"/>
      <c r="LRP127"/>
      <c r="LRQ127"/>
      <c r="LRR127"/>
      <c r="LRS127"/>
      <c r="LRT127"/>
      <c r="LRU127"/>
      <c r="LRV127"/>
      <c r="LRW127"/>
      <c r="LRX127"/>
      <c r="LRY127"/>
      <c r="LRZ127"/>
      <c r="LSA127"/>
      <c r="LSB127"/>
      <c r="LSC127"/>
      <c r="LSD127"/>
      <c r="LSE127"/>
      <c r="LSF127"/>
      <c r="LSG127"/>
      <c r="LSH127"/>
      <c r="LSI127"/>
      <c r="LSJ127"/>
      <c r="LSK127"/>
      <c r="LSL127"/>
      <c r="LSM127"/>
      <c r="LSN127"/>
      <c r="LSO127"/>
      <c r="LSP127"/>
      <c r="LSQ127"/>
      <c r="LSR127"/>
      <c r="LSS127"/>
      <c r="LST127"/>
      <c r="LSU127"/>
      <c r="LSV127"/>
      <c r="LSW127"/>
      <c r="LSX127"/>
      <c r="LSY127"/>
      <c r="LSZ127"/>
      <c r="LTA127"/>
      <c r="LTB127"/>
      <c r="LTC127"/>
      <c r="LTD127"/>
      <c r="LTE127"/>
      <c r="LTF127"/>
      <c r="LTG127"/>
      <c r="LTH127"/>
      <c r="LTI127"/>
      <c r="LTJ127"/>
      <c r="LTK127"/>
      <c r="LTL127"/>
      <c r="LTM127"/>
      <c r="LTN127"/>
      <c r="LTO127"/>
      <c r="LTP127"/>
      <c r="LTQ127"/>
      <c r="LTR127"/>
      <c r="LTS127"/>
      <c r="LTT127"/>
      <c r="LTU127"/>
      <c r="LTV127"/>
      <c r="LTW127"/>
      <c r="LTX127"/>
      <c r="LTY127"/>
      <c r="LTZ127"/>
      <c r="LUA127"/>
      <c r="LUB127"/>
      <c r="LUC127"/>
      <c r="LUD127"/>
      <c r="LUE127"/>
      <c r="LUF127"/>
      <c r="LUG127"/>
      <c r="LUH127"/>
      <c r="LUI127"/>
      <c r="LUJ127"/>
      <c r="LUK127"/>
      <c r="LUL127"/>
      <c r="LUM127"/>
      <c r="LUN127"/>
      <c r="LUO127"/>
      <c r="LUP127"/>
      <c r="LUQ127"/>
      <c r="LUR127"/>
      <c r="LUS127"/>
      <c r="LUT127"/>
      <c r="LUU127"/>
      <c r="LUV127"/>
      <c r="LUW127"/>
      <c r="LUX127"/>
      <c r="LUY127"/>
      <c r="LUZ127"/>
      <c r="LVA127"/>
      <c r="LVB127"/>
      <c r="LVC127"/>
      <c r="LVD127"/>
      <c r="LVE127"/>
      <c r="LVF127"/>
      <c r="LVG127"/>
      <c r="LVH127"/>
      <c r="LVI127"/>
      <c r="LVJ127"/>
      <c r="LVK127"/>
      <c r="LVL127"/>
      <c r="LVM127"/>
      <c r="LVN127"/>
      <c r="LVO127"/>
      <c r="LVP127"/>
      <c r="LVQ127"/>
      <c r="LVR127"/>
      <c r="LVS127"/>
      <c r="LVT127"/>
      <c r="LVU127"/>
      <c r="LVV127"/>
      <c r="LVW127"/>
      <c r="LVX127"/>
      <c r="LVY127"/>
      <c r="LVZ127"/>
      <c r="LWA127"/>
      <c r="LWB127"/>
      <c r="LWC127"/>
      <c r="LWD127"/>
      <c r="LWE127"/>
      <c r="LWF127"/>
      <c r="LWG127"/>
      <c r="LWH127"/>
      <c r="LWI127"/>
      <c r="LWJ127"/>
      <c r="LWK127"/>
      <c r="LWL127"/>
      <c r="LWM127"/>
      <c r="LWN127"/>
      <c r="LWO127"/>
      <c r="LWP127"/>
      <c r="LWQ127"/>
      <c r="LWR127"/>
      <c r="LWS127"/>
      <c r="LWT127"/>
      <c r="LWU127"/>
      <c r="LWV127"/>
      <c r="LWW127"/>
      <c r="LWX127"/>
      <c r="LWY127"/>
      <c r="LWZ127"/>
      <c r="LXA127"/>
      <c r="LXB127"/>
      <c r="LXC127"/>
      <c r="LXD127"/>
      <c r="LXE127"/>
      <c r="LXF127"/>
      <c r="LXG127"/>
      <c r="LXH127"/>
      <c r="LXI127"/>
      <c r="LXJ127"/>
      <c r="LXK127"/>
      <c r="LXL127"/>
      <c r="LXM127"/>
      <c r="LXN127"/>
      <c r="LXO127"/>
      <c r="LXP127"/>
      <c r="LXQ127"/>
      <c r="LXR127"/>
      <c r="LXS127"/>
      <c r="LXT127"/>
      <c r="LXU127"/>
      <c r="LXV127"/>
      <c r="LXW127"/>
      <c r="LXX127"/>
      <c r="LXY127"/>
      <c r="LXZ127"/>
      <c r="LYA127"/>
      <c r="LYB127"/>
      <c r="LYC127"/>
      <c r="LYD127"/>
      <c r="LYE127"/>
      <c r="LYF127"/>
      <c r="LYG127"/>
      <c r="LYH127"/>
      <c r="LYI127"/>
      <c r="LYJ127"/>
      <c r="LYK127"/>
      <c r="LYL127"/>
      <c r="LYM127"/>
      <c r="LYN127"/>
      <c r="LYO127"/>
      <c r="LYP127"/>
      <c r="LYQ127"/>
      <c r="LYR127"/>
      <c r="LYS127"/>
      <c r="LYT127"/>
      <c r="LYU127"/>
      <c r="LYV127"/>
      <c r="LYW127"/>
      <c r="LYX127"/>
      <c r="LYY127"/>
      <c r="LYZ127"/>
      <c r="LZA127"/>
      <c r="LZB127"/>
      <c r="LZC127"/>
      <c r="LZD127"/>
      <c r="LZE127"/>
      <c r="LZF127"/>
      <c r="LZG127"/>
      <c r="LZH127"/>
      <c r="LZI127"/>
      <c r="LZJ127"/>
      <c r="LZK127"/>
      <c r="LZL127"/>
      <c r="LZM127"/>
      <c r="LZN127"/>
      <c r="LZO127"/>
      <c r="LZP127"/>
      <c r="LZQ127"/>
      <c r="LZR127"/>
      <c r="LZS127"/>
      <c r="LZT127"/>
      <c r="LZU127"/>
      <c r="LZV127"/>
      <c r="LZW127"/>
      <c r="LZX127"/>
      <c r="LZY127"/>
      <c r="LZZ127"/>
      <c r="MAA127"/>
      <c r="MAB127"/>
      <c r="MAC127"/>
      <c r="MAD127"/>
      <c r="MAE127"/>
      <c r="MAF127"/>
      <c r="MAG127"/>
      <c r="MAH127"/>
      <c r="MAI127"/>
      <c r="MAJ127"/>
      <c r="MAK127"/>
      <c r="MAL127"/>
      <c r="MAM127"/>
      <c r="MAN127"/>
      <c r="MAO127"/>
      <c r="MAP127"/>
      <c r="MAQ127"/>
      <c r="MAR127"/>
      <c r="MAS127"/>
      <c r="MAT127"/>
      <c r="MAU127"/>
      <c r="MAV127"/>
      <c r="MAW127"/>
      <c r="MAX127"/>
      <c r="MAY127"/>
      <c r="MAZ127"/>
      <c r="MBA127"/>
      <c r="MBB127"/>
      <c r="MBC127"/>
      <c r="MBD127"/>
      <c r="MBE127"/>
      <c r="MBF127"/>
      <c r="MBG127"/>
      <c r="MBH127"/>
      <c r="MBI127"/>
      <c r="MBJ127"/>
      <c r="MBK127"/>
      <c r="MBL127"/>
      <c r="MBM127"/>
      <c r="MBN127"/>
      <c r="MBO127"/>
      <c r="MBP127"/>
      <c r="MBQ127"/>
      <c r="MBR127"/>
      <c r="MBS127"/>
      <c r="MBT127"/>
      <c r="MBU127"/>
      <c r="MBV127"/>
      <c r="MBW127"/>
      <c r="MBX127"/>
      <c r="MBY127"/>
      <c r="MBZ127"/>
      <c r="MCA127"/>
      <c r="MCB127"/>
      <c r="MCC127"/>
      <c r="MCD127"/>
      <c r="MCE127"/>
      <c r="MCF127"/>
      <c r="MCG127"/>
      <c r="MCH127"/>
      <c r="MCI127"/>
      <c r="MCJ127"/>
      <c r="MCK127"/>
      <c r="MCL127"/>
      <c r="MCM127"/>
      <c r="MCN127"/>
      <c r="MCO127"/>
      <c r="MCP127"/>
      <c r="MCQ127"/>
      <c r="MCR127"/>
      <c r="MCS127"/>
      <c r="MCT127"/>
      <c r="MCU127"/>
      <c r="MCV127"/>
      <c r="MCW127"/>
      <c r="MCX127"/>
      <c r="MCY127"/>
      <c r="MCZ127"/>
      <c r="MDA127"/>
      <c r="MDB127"/>
      <c r="MDC127"/>
      <c r="MDD127"/>
      <c r="MDE127"/>
      <c r="MDF127"/>
      <c r="MDG127"/>
      <c r="MDH127"/>
      <c r="MDI127"/>
      <c r="MDJ127"/>
      <c r="MDK127"/>
      <c r="MDL127"/>
      <c r="MDM127"/>
      <c r="MDN127"/>
      <c r="MDO127"/>
      <c r="MDP127"/>
      <c r="MDQ127"/>
      <c r="MDR127"/>
      <c r="MDS127"/>
      <c r="MDT127"/>
      <c r="MDU127"/>
      <c r="MDV127"/>
      <c r="MDW127"/>
      <c r="MDX127"/>
      <c r="MDY127"/>
      <c r="MDZ127"/>
      <c r="MEA127"/>
      <c r="MEB127"/>
      <c r="MEC127"/>
      <c r="MED127"/>
      <c r="MEE127"/>
      <c r="MEF127"/>
      <c r="MEG127"/>
      <c r="MEH127"/>
      <c r="MEI127"/>
      <c r="MEJ127"/>
      <c r="MEK127"/>
      <c r="MEL127"/>
      <c r="MEM127"/>
      <c r="MEN127"/>
      <c r="MEO127"/>
      <c r="MEP127"/>
      <c r="MEQ127"/>
      <c r="MER127"/>
      <c r="MES127"/>
      <c r="MET127"/>
      <c r="MEU127"/>
      <c r="MEV127"/>
      <c r="MEW127"/>
      <c r="MEX127"/>
      <c r="MEY127"/>
      <c r="MEZ127"/>
      <c r="MFA127"/>
      <c r="MFB127"/>
      <c r="MFC127"/>
      <c r="MFD127"/>
      <c r="MFE127"/>
      <c r="MFF127"/>
      <c r="MFG127"/>
      <c r="MFH127"/>
      <c r="MFI127"/>
      <c r="MFJ127"/>
      <c r="MFK127"/>
      <c r="MFL127"/>
      <c r="MFM127"/>
      <c r="MFN127"/>
      <c r="MFO127"/>
      <c r="MFP127"/>
      <c r="MFQ127"/>
      <c r="MFR127"/>
      <c r="MFS127"/>
      <c r="MFT127"/>
      <c r="MFU127"/>
      <c r="MFV127"/>
      <c r="MFW127"/>
      <c r="MFX127"/>
      <c r="MFY127"/>
      <c r="MFZ127"/>
      <c r="MGA127"/>
      <c r="MGB127"/>
      <c r="MGC127"/>
      <c r="MGD127"/>
      <c r="MGE127"/>
      <c r="MGF127"/>
      <c r="MGG127"/>
      <c r="MGH127"/>
      <c r="MGI127"/>
      <c r="MGJ127"/>
      <c r="MGK127"/>
      <c r="MGL127"/>
      <c r="MGM127"/>
      <c r="MGN127"/>
      <c r="MGO127"/>
      <c r="MGP127"/>
      <c r="MGQ127"/>
      <c r="MGR127"/>
      <c r="MGS127"/>
      <c r="MGT127"/>
      <c r="MGU127"/>
      <c r="MGV127"/>
      <c r="MGW127"/>
      <c r="MGX127"/>
      <c r="MGY127"/>
      <c r="MGZ127"/>
      <c r="MHA127"/>
      <c r="MHB127"/>
      <c r="MHC127"/>
      <c r="MHD127"/>
      <c r="MHE127"/>
      <c r="MHF127"/>
      <c r="MHG127"/>
      <c r="MHH127"/>
      <c r="MHI127"/>
      <c r="MHJ127"/>
      <c r="MHK127"/>
      <c r="MHL127"/>
      <c r="MHM127"/>
      <c r="MHN127"/>
      <c r="MHO127"/>
      <c r="MHP127"/>
      <c r="MHQ127"/>
      <c r="MHR127"/>
      <c r="MHS127"/>
      <c r="MHT127"/>
      <c r="MHU127"/>
      <c r="MHV127"/>
      <c r="MHW127"/>
      <c r="MHX127"/>
      <c r="MHY127"/>
      <c r="MHZ127"/>
      <c r="MIA127"/>
      <c r="MIB127"/>
      <c r="MIC127"/>
      <c r="MID127"/>
      <c r="MIE127"/>
      <c r="MIF127"/>
      <c r="MIG127"/>
      <c r="MIH127"/>
      <c r="MII127"/>
      <c r="MIJ127"/>
      <c r="MIK127"/>
      <c r="MIL127"/>
      <c r="MIM127"/>
      <c r="MIN127"/>
      <c r="MIO127"/>
      <c r="MIP127"/>
      <c r="MIQ127"/>
      <c r="MIR127"/>
      <c r="MIS127"/>
      <c r="MIT127"/>
      <c r="MIU127"/>
      <c r="MIV127"/>
      <c r="MIW127"/>
      <c r="MIX127"/>
      <c r="MIY127"/>
      <c r="MIZ127"/>
      <c r="MJA127"/>
      <c r="MJB127"/>
      <c r="MJC127"/>
      <c r="MJD127"/>
      <c r="MJE127"/>
      <c r="MJF127"/>
      <c r="MJG127"/>
      <c r="MJH127"/>
      <c r="MJI127"/>
      <c r="MJJ127"/>
      <c r="MJK127"/>
      <c r="MJL127"/>
      <c r="MJM127"/>
      <c r="MJN127"/>
      <c r="MJO127"/>
      <c r="MJP127"/>
      <c r="MJQ127"/>
      <c r="MJR127"/>
      <c r="MJS127"/>
      <c r="MJT127"/>
      <c r="MJU127"/>
      <c r="MJV127"/>
      <c r="MJW127"/>
      <c r="MJX127"/>
      <c r="MJY127"/>
      <c r="MJZ127"/>
      <c r="MKA127"/>
      <c r="MKB127"/>
      <c r="MKC127"/>
      <c r="MKD127"/>
      <c r="MKE127"/>
      <c r="MKF127"/>
      <c r="MKG127"/>
      <c r="MKH127"/>
      <c r="MKI127"/>
      <c r="MKJ127"/>
      <c r="MKK127"/>
      <c r="MKL127"/>
      <c r="MKM127"/>
      <c r="MKN127"/>
      <c r="MKO127"/>
      <c r="MKP127"/>
      <c r="MKQ127"/>
      <c r="MKR127"/>
      <c r="MKS127"/>
      <c r="MKT127"/>
      <c r="MKU127"/>
      <c r="MKV127"/>
      <c r="MKW127"/>
      <c r="MKX127"/>
      <c r="MKY127"/>
      <c r="MKZ127"/>
      <c r="MLA127"/>
      <c r="MLB127"/>
      <c r="MLC127"/>
      <c r="MLD127"/>
      <c r="MLE127"/>
      <c r="MLF127"/>
      <c r="MLG127"/>
      <c r="MLH127"/>
      <c r="MLI127"/>
      <c r="MLJ127"/>
      <c r="MLK127"/>
      <c r="MLL127"/>
      <c r="MLM127"/>
      <c r="MLN127"/>
      <c r="MLO127"/>
      <c r="MLP127"/>
      <c r="MLQ127"/>
      <c r="MLR127"/>
      <c r="MLS127"/>
      <c r="MLT127"/>
      <c r="MLU127"/>
      <c r="MLV127"/>
      <c r="MLW127"/>
      <c r="MLX127"/>
      <c r="MLY127"/>
      <c r="MLZ127"/>
      <c r="MMA127"/>
      <c r="MMB127"/>
      <c r="MMC127"/>
      <c r="MMD127"/>
      <c r="MME127"/>
      <c r="MMF127"/>
      <c r="MMG127"/>
      <c r="MMH127"/>
      <c r="MMI127"/>
      <c r="MMJ127"/>
      <c r="MMK127"/>
      <c r="MML127"/>
      <c r="MMM127"/>
      <c r="MMN127"/>
      <c r="MMO127"/>
      <c r="MMP127"/>
      <c r="MMQ127"/>
      <c r="MMR127"/>
      <c r="MMS127"/>
      <c r="MMT127"/>
      <c r="MMU127"/>
      <c r="MMV127"/>
      <c r="MMW127"/>
      <c r="MMX127"/>
      <c r="MMY127"/>
      <c r="MMZ127"/>
      <c r="MNA127"/>
      <c r="MNB127"/>
      <c r="MNC127"/>
      <c r="MND127"/>
      <c r="MNE127"/>
      <c r="MNF127"/>
      <c r="MNG127"/>
      <c r="MNH127"/>
      <c r="MNI127"/>
      <c r="MNJ127"/>
      <c r="MNK127"/>
      <c r="MNL127"/>
      <c r="MNM127"/>
      <c r="MNN127"/>
      <c r="MNO127"/>
      <c r="MNP127"/>
      <c r="MNQ127"/>
      <c r="MNR127"/>
      <c r="MNS127"/>
      <c r="MNT127"/>
      <c r="MNU127"/>
      <c r="MNV127"/>
      <c r="MNW127"/>
      <c r="MNX127"/>
      <c r="MNY127"/>
      <c r="MNZ127"/>
      <c r="MOA127"/>
      <c r="MOB127"/>
      <c r="MOC127"/>
      <c r="MOD127"/>
      <c r="MOE127"/>
      <c r="MOF127"/>
      <c r="MOG127"/>
      <c r="MOH127"/>
      <c r="MOI127"/>
      <c r="MOJ127"/>
      <c r="MOK127"/>
      <c r="MOL127"/>
      <c r="MOM127"/>
      <c r="MON127"/>
      <c r="MOO127"/>
      <c r="MOP127"/>
      <c r="MOQ127"/>
      <c r="MOR127"/>
      <c r="MOS127"/>
      <c r="MOT127"/>
      <c r="MOU127"/>
      <c r="MOV127"/>
      <c r="MOW127"/>
      <c r="MOX127"/>
      <c r="MOY127"/>
      <c r="MOZ127"/>
      <c r="MPA127"/>
      <c r="MPB127"/>
      <c r="MPC127"/>
      <c r="MPD127"/>
      <c r="MPE127"/>
      <c r="MPF127"/>
      <c r="MPG127"/>
      <c r="MPH127"/>
      <c r="MPI127"/>
      <c r="MPJ127"/>
      <c r="MPK127"/>
      <c r="MPL127"/>
      <c r="MPM127"/>
      <c r="MPN127"/>
      <c r="MPO127"/>
      <c r="MPP127"/>
      <c r="MPQ127"/>
      <c r="MPR127"/>
      <c r="MPS127"/>
      <c r="MPT127"/>
      <c r="MPU127"/>
      <c r="MPV127"/>
      <c r="MPW127"/>
      <c r="MPX127"/>
      <c r="MPY127"/>
      <c r="MPZ127"/>
      <c r="MQA127"/>
      <c r="MQB127"/>
      <c r="MQC127"/>
      <c r="MQD127"/>
      <c r="MQE127"/>
      <c r="MQF127"/>
      <c r="MQG127"/>
      <c r="MQH127"/>
      <c r="MQI127"/>
      <c r="MQJ127"/>
      <c r="MQK127"/>
      <c r="MQL127"/>
      <c r="MQM127"/>
      <c r="MQN127"/>
      <c r="MQO127"/>
      <c r="MQP127"/>
      <c r="MQQ127"/>
      <c r="MQR127"/>
      <c r="MQS127"/>
      <c r="MQT127"/>
      <c r="MQU127"/>
      <c r="MQV127"/>
      <c r="MQW127"/>
      <c r="MQX127"/>
      <c r="MQY127"/>
      <c r="MQZ127"/>
      <c r="MRA127"/>
      <c r="MRB127"/>
      <c r="MRC127"/>
      <c r="MRD127"/>
      <c r="MRE127"/>
      <c r="MRF127"/>
      <c r="MRG127"/>
      <c r="MRH127"/>
      <c r="MRI127"/>
      <c r="MRJ127"/>
      <c r="MRK127"/>
      <c r="MRL127"/>
      <c r="MRM127"/>
      <c r="MRN127"/>
      <c r="MRO127"/>
      <c r="MRP127"/>
      <c r="MRQ127"/>
      <c r="MRR127"/>
      <c r="MRS127"/>
      <c r="MRT127"/>
      <c r="MRU127"/>
      <c r="MRV127"/>
      <c r="MRW127"/>
      <c r="MRX127"/>
      <c r="MRY127"/>
      <c r="MRZ127"/>
      <c r="MSA127"/>
      <c r="MSB127"/>
      <c r="MSC127"/>
      <c r="MSD127"/>
      <c r="MSE127"/>
      <c r="MSF127"/>
      <c r="MSG127"/>
      <c r="MSH127"/>
      <c r="MSI127"/>
      <c r="MSJ127"/>
      <c r="MSK127"/>
      <c r="MSL127"/>
      <c r="MSM127"/>
      <c r="MSN127"/>
      <c r="MSO127"/>
      <c r="MSP127"/>
      <c r="MSQ127"/>
      <c r="MSR127"/>
      <c r="MSS127"/>
      <c r="MST127"/>
      <c r="MSU127"/>
      <c r="MSV127"/>
      <c r="MSW127"/>
      <c r="MSX127"/>
      <c r="MSY127"/>
      <c r="MSZ127"/>
      <c r="MTA127"/>
      <c r="MTB127"/>
      <c r="MTC127"/>
      <c r="MTD127"/>
      <c r="MTE127"/>
      <c r="MTF127"/>
      <c r="MTG127"/>
      <c r="MTH127"/>
      <c r="MTI127"/>
      <c r="MTJ127"/>
      <c r="MTK127"/>
      <c r="MTL127"/>
      <c r="MTM127"/>
      <c r="MTN127"/>
      <c r="MTO127"/>
      <c r="MTP127"/>
      <c r="MTQ127"/>
      <c r="MTR127"/>
      <c r="MTS127"/>
      <c r="MTT127"/>
      <c r="MTU127"/>
      <c r="MTV127"/>
      <c r="MTW127"/>
      <c r="MTX127"/>
      <c r="MTY127"/>
      <c r="MTZ127"/>
      <c r="MUA127"/>
      <c r="MUB127"/>
      <c r="MUC127"/>
      <c r="MUD127"/>
      <c r="MUE127"/>
      <c r="MUF127"/>
      <c r="MUG127"/>
      <c r="MUH127"/>
      <c r="MUI127"/>
      <c r="MUJ127"/>
      <c r="MUK127"/>
      <c r="MUL127"/>
      <c r="MUM127"/>
      <c r="MUN127"/>
      <c r="MUO127"/>
      <c r="MUP127"/>
      <c r="MUQ127"/>
      <c r="MUR127"/>
      <c r="MUS127"/>
      <c r="MUT127"/>
      <c r="MUU127"/>
      <c r="MUV127"/>
      <c r="MUW127"/>
      <c r="MUX127"/>
      <c r="MUY127"/>
      <c r="MUZ127"/>
      <c r="MVA127"/>
      <c r="MVB127"/>
      <c r="MVC127"/>
      <c r="MVD127"/>
      <c r="MVE127"/>
      <c r="MVF127"/>
      <c r="MVG127"/>
      <c r="MVH127"/>
      <c r="MVI127"/>
      <c r="MVJ127"/>
      <c r="MVK127"/>
      <c r="MVL127"/>
      <c r="MVM127"/>
      <c r="MVN127"/>
      <c r="MVO127"/>
      <c r="MVP127"/>
      <c r="MVQ127"/>
      <c r="MVR127"/>
      <c r="MVS127"/>
      <c r="MVT127"/>
      <c r="MVU127"/>
      <c r="MVV127"/>
      <c r="MVW127"/>
      <c r="MVX127"/>
      <c r="MVY127"/>
      <c r="MVZ127"/>
      <c r="MWA127"/>
      <c r="MWB127"/>
      <c r="MWC127"/>
      <c r="MWD127"/>
      <c r="MWE127"/>
      <c r="MWF127"/>
      <c r="MWG127"/>
      <c r="MWH127"/>
      <c r="MWI127"/>
      <c r="MWJ127"/>
      <c r="MWK127"/>
      <c r="MWL127"/>
      <c r="MWM127"/>
      <c r="MWN127"/>
      <c r="MWO127"/>
      <c r="MWP127"/>
      <c r="MWQ127"/>
      <c r="MWR127"/>
      <c r="MWS127"/>
      <c r="MWT127"/>
      <c r="MWU127"/>
      <c r="MWV127"/>
      <c r="MWW127"/>
      <c r="MWX127"/>
      <c r="MWY127"/>
      <c r="MWZ127"/>
      <c r="MXA127"/>
      <c r="MXB127"/>
      <c r="MXC127"/>
      <c r="MXD127"/>
      <c r="MXE127"/>
      <c r="MXF127"/>
      <c r="MXG127"/>
      <c r="MXH127"/>
      <c r="MXI127"/>
      <c r="MXJ127"/>
      <c r="MXK127"/>
      <c r="MXL127"/>
      <c r="MXM127"/>
      <c r="MXN127"/>
      <c r="MXO127"/>
      <c r="MXP127"/>
      <c r="MXQ127"/>
      <c r="MXR127"/>
      <c r="MXS127"/>
      <c r="MXT127"/>
      <c r="MXU127"/>
      <c r="MXV127"/>
      <c r="MXW127"/>
      <c r="MXX127"/>
      <c r="MXY127"/>
      <c r="MXZ127"/>
      <c r="MYA127"/>
      <c r="MYB127"/>
      <c r="MYC127"/>
      <c r="MYD127"/>
      <c r="MYE127"/>
      <c r="MYF127"/>
      <c r="MYG127"/>
      <c r="MYH127"/>
      <c r="MYI127"/>
      <c r="MYJ127"/>
      <c r="MYK127"/>
      <c r="MYL127"/>
      <c r="MYM127"/>
      <c r="MYN127"/>
      <c r="MYO127"/>
      <c r="MYP127"/>
      <c r="MYQ127"/>
      <c r="MYR127"/>
      <c r="MYS127"/>
      <c r="MYT127"/>
      <c r="MYU127"/>
      <c r="MYV127"/>
      <c r="MYW127"/>
      <c r="MYX127"/>
      <c r="MYY127"/>
      <c r="MYZ127"/>
      <c r="MZA127"/>
      <c r="MZB127"/>
      <c r="MZC127"/>
      <c r="MZD127"/>
      <c r="MZE127"/>
      <c r="MZF127"/>
      <c r="MZG127"/>
      <c r="MZH127"/>
      <c r="MZI127"/>
      <c r="MZJ127"/>
      <c r="MZK127"/>
      <c r="MZL127"/>
      <c r="MZM127"/>
      <c r="MZN127"/>
      <c r="MZO127"/>
      <c r="MZP127"/>
      <c r="MZQ127"/>
      <c r="MZR127"/>
      <c r="MZS127"/>
      <c r="MZT127"/>
      <c r="MZU127"/>
      <c r="MZV127"/>
      <c r="MZW127"/>
      <c r="MZX127"/>
      <c r="MZY127"/>
      <c r="MZZ127"/>
      <c r="NAA127"/>
      <c r="NAB127"/>
      <c r="NAC127"/>
      <c r="NAD127"/>
      <c r="NAE127"/>
      <c r="NAF127"/>
      <c r="NAG127"/>
      <c r="NAH127"/>
      <c r="NAI127"/>
      <c r="NAJ127"/>
      <c r="NAK127"/>
      <c r="NAL127"/>
      <c r="NAM127"/>
      <c r="NAN127"/>
      <c r="NAO127"/>
      <c r="NAP127"/>
      <c r="NAQ127"/>
      <c r="NAR127"/>
      <c r="NAS127"/>
      <c r="NAT127"/>
      <c r="NAU127"/>
      <c r="NAV127"/>
      <c r="NAW127"/>
      <c r="NAX127"/>
      <c r="NAY127"/>
      <c r="NAZ127"/>
      <c r="NBA127"/>
      <c r="NBB127"/>
      <c r="NBC127"/>
      <c r="NBD127"/>
      <c r="NBE127"/>
      <c r="NBF127"/>
      <c r="NBG127"/>
      <c r="NBH127"/>
      <c r="NBI127"/>
      <c r="NBJ127"/>
      <c r="NBK127"/>
      <c r="NBL127"/>
      <c r="NBM127"/>
      <c r="NBN127"/>
      <c r="NBO127"/>
      <c r="NBP127"/>
      <c r="NBQ127"/>
      <c r="NBR127"/>
      <c r="NBS127"/>
      <c r="NBT127"/>
      <c r="NBU127"/>
      <c r="NBV127"/>
      <c r="NBW127"/>
      <c r="NBX127"/>
      <c r="NBY127"/>
      <c r="NBZ127"/>
      <c r="NCA127"/>
      <c r="NCB127"/>
      <c r="NCC127"/>
      <c r="NCD127"/>
      <c r="NCE127"/>
      <c r="NCF127"/>
      <c r="NCG127"/>
      <c r="NCH127"/>
      <c r="NCI127"/>
      <c r="NCJ127"/>
      <c r="NCK127"/>
      <c r="NCL127"/>
      <c r="NCM127"/>
      <c r="NCN127"/>
      <c r="NCO127"/>
      <c r="NCP127"/>
      <c r="NCQ127"/>
      <c r="NCR127"/>
      <c r="NCS127"/>
      <c r="NCT127"/>
      <c r="NCU127"/>
      <c r="NCV127"/>
      <c r="NCW127"/>
      <c r="NCX127"/>
      <c r="NCY127"/>
      <c r="NCZ127"/>
      <c r="NDA127"/>
      <c r="NDB127"/>
      <c r="NDC127"/>
      <c r="NDD127"/>
      <c r="NDE127"/>
      <c r="NDF127"/>
      <c r="NDG127"/>
      <c r="NDH127"/>
      <c r="NDI127"/>
      <c r="NDJ127"/>
      <c r="NDK127"/>
      <c r="NDL127"/>
      <c r="NDM127"/>
      <c r="NDN127"/>
      <c r="NDO127"/>
      <c r="NDP127"/>
      <c r="NDQ127"/>
      <c r="NDR127"/>
      <c r="NDS127"/>
      <c r="NDT127"/>
      <c r="NDU127"/>
      <c r="NDV127"/>
      <c r="NDW127"/>
      <c r="NDX127"/>
      <c r="NDY127"/>
      <c r="NDZ127"/>
      <c r="NEA127"/>
      <c r="NEB127"/>
      <c r="NEC127"/>
      <c r="NED127"/>
      <c r="NEE127"/>
      <c r="NEF127"/>
      <c r="NEG127"/>
      <c r="NEH127"/>
      <c r="NEI127"/>
      <c r="NEJ127"/>
      <c r="NEK127"/>
      <c r="NEL127"/>
      <c r="NEM127"/>
      <c r="NEN127"/>
      <c r="NEO127"/>
      <c r="NEP127"/>
      <c r="NEQ127"/>
      <c r="NER127"/>
      <c r="NES127"/>
      <c r="NET127"/>
      <c r="NEU127"/>
      <c r="NEV127"/>
      <c r="NEW127"/>
      <c r="NEX127"/>
      <c r="NEY127"/>
      <c r="NEZ127"/>
      <c r="NFA127"/>
      <c r="NFB127"/>
      <c r="NFC127"/>
      <c r="NFD127"/>
      <c r="NFE127"/>
      <c r="NFF127"/>
      <c r="NFG127"/>
      <c r="NFH127"/>
      <c r="NFI127"/>
      <c r="NFJ127"/>
      <c r="NFK127"/>
      <c r="NFL127"/>
      <c r="NFM127"/>
      <c r="NFN127"/>
      <c r="NFO127"/>
      <c r="NFP127"/>
      <c r="NFQ127"/>
      <c r="NFR127"/>
      <c r="NFS127"/>
      <c r="NFT127"/>
      <c r="NFU127"/>
      <c r="NFV127"/>
      <c r="NFW127"/>
      <c r="NFX127"/>
      <c r="NFY127"/>
      <c r="NFZ127"/>
      <c r="NGA127"/>
      <c r="NGB127"/>
      <c r="NGC127"/>
      <c r="NGD127"/>
      <c r="NGE127"/>
      <c r="NGF127"/>
      <c r="NGG127"/>
      <c r="NGH127"/>
      <c r="NGI127"/>
      <c r="NGJ127"/>
      <c r="NGK127"/>
      <c r="NGL127"/>
      <c r="NGM127"/>
      <c r="NGN127"/>
      <c r="NGO127"/>
      <c r="NGP127"/>
      <c r="NGQ127"/>
      <c r="NGR127"/>
      <c r="NGS127"/>
      <c r="NGT127"/>
      <c r="NGU127"/>
      <c r="NGV127"/>
      <c r="NGW127"/>
      <c r="NGX127"/>
      <c r="NGY127"/>
      <c r="NGZ127"/>
      <c r="NHA127"/>
      <c r="NHB127"/>
      <c r="NHC127"/>
      <c r="NHD127"/>
      <c r="NHE127"/>
      <c r="NHF127"/>
      <c r="NHG127"/>
      <c r="NHH127"/>
      <c r="NHI127"/>
      <c r="NHJ127"/>
      <c r="NHK127"/>
      <c r="NHL127"/>
      <c r="NHM127"/>
      <c r="NHN127"/>
      <c r="NHO127"/>
      <c r="NHP127"/>
      <c r="NHQ127"/>
      <c r="NHR127"/>
      <c r="NHS127"/>
      <c r="NHT127"/>
      <c r="NHU127"/>
      <c r="NHV127"/>
      <c r="NHW127"/>
      <c r="NHX127"/>
      <c r="NHY127"/>
      <c r="NHZ127"/>
      <c r="NIA127"/>
      <c r="NIB127"/>
      <c r="NIC127"/>
      <c r="NID127"/>
      <c r="NIE127"/>
      <c r="NIF127"/>
      <c r="NIG127"/>
      <c r="NIH127"/>
      <c r="NII127"/>
      <c r="NIJ127"/>
      <c r="NIK127"/>
      <c r="NIL127"/>
      <c r="NIM127"/>
      <c r="NIN127"/>
      <c r="NIO127"/>
      <c r="NIP127"/>
      <c r="NIQ127"/>
      <c r="NIR127"/>
      <c r="NIS127"/>
      <c r="NIT127"/>
      <c r="NIU127"/>
      <c r="NIV127"/>
      <c r="NIW127"/>
      <c r="NIX127"/>
      <c r="NIY127"/>
      <c r="NIZ127"/>
      <c r="NJA127"/>
      <c r="NJB127"/>
      <c r="NJC127"/>
      <c r="NJD127"/>
      <c r="NJE127"/>
      <c r="NJF127"/>
      <c r="NJG127"/>
      <c r="NJH127"/>
      <c r="NJI127"/>
      <c r="NJJ127"/>
      <c r="NJK127"/>
      <c r="NJL127"/>
      <c r="NJM127"/>
      <c r="NJN127"/>
      <c r="NJO127"/>
      <c r="NJP127"/>
      <c r="NJQ127"/>
      <c r="NJR127"/>
      <c r="NJS127"/>
      <c r="NJT127"/>
      <c r="NJU127"/>
      <c r="NJV127"/>
      <c r="NJW127"/>
      <c r="NJX127"/>
      <c r="NJY127"/>
      <c r="NJZ127"/>
      <c r="NKA127"/>
      <c r="NKB127"/>
      <c r="NKC127"/>
      <c r="NKD127"/>
      <c r="NKE127"/>
      <c r="NKF127"/>
      <c r="NKG127"/>
      <c r="NKH127"/>
      <c r="NKI127"/>
      <c r="NKJ127"/>
      <c r="NKK127"/>
      <c r="NKL127"/>
      <c r="NKM127"/>
      <c r="NKN127"/>
      <c r="NKO127"/>
      <c r="NKP127"/>
      <c r="NKQ127"/>
      <c r="NKR127"/>
      <c r="NKS127"/>
      <c r="NKT127"/>
      <c r="NKU127"/>
      <c r="NKV127"/>
      <c r="NKW127"/>
      <c r="NKX127"/>
      <c r="NKY127"/>
      <c r="NKZ127"/>
      <c r="NLA127"/>
      <c r="NLB127"/>
      <c r="NLC127"/>
      <c r="NLD127"/>
      <c r="NLE127"/>
      <c r="NLF127"/>
      <c r="NLG127"/>
      <c r="NLH127"/>
      <c r="NLI127"/>
      <c r="NLJ127"/>
      <c r="NLK127"/>
      <c r="NLL127"/>
      <c r="NLM127"/>
      <c r="NLN127"/>
      <c r="NLO127"/>
      <c r="NLP127"/>
      <c r="NLQ127"/>
      <c r="NLR127"/>
      <c r="NLS127"/>
      <c r="NLT127"/>
      <c r="NLU127"/>
      <c r="NLV127"/>
      <c r="NLW127"/>
      <c r="NLX127"/>
      <c r="NLY127"/>
      <c r="NLZ127"/>
      <c r="NMA127"/>
      <c r="NMB127"/>
      <c r="NMC127"/>
      <c r="NMD127"/>
      <c r="NME127"/>
      <c r="NMF127"/>
      <c r="NMG127"/>
      <c r="NMH127"/>
      <c r="NMI127"/>
      <c r="NMJ127"/>
      <c r="NMK127"/>
      <c r="NML127"/>
      <c r="NMM127"/>
      <c r="NMN127"/>
      <c r="NMO127"/>
      <c r="NMP127"/>
      <c r="NMQ127"/>
      <c r="NMR127"/>
      <c r="NMS127"/>
      <c r="NMT127"/>
      <c r="NMU127"/>
      <c r="NMV127"/>
      <c r="NMW127"/>
      <c r="NMX127"/>
      <c r="NMY127"/>
      <c r="NMZ127"/>
      <c r="NNA127"/>
      <c r="NNB127"/>
      <c r="NNC127"/>
      <c r="NND127"/>
      <c r="NNE127"/>
      <c r="NNF127"/>
      <c r="NNG127"/>
      <c r="NNH127"/>
      <c r="NNI127"/>
      <c r="NNJ127"/>
      <c r="NNK127"/>
      <c r="NNL127"/>
      <c r="NNM127"/>
      <c r="NNN127"/>
      <c r="NNO127"/>
      <c r="NNP127"/>
      <c r="NNQ127"/>
      <c r="NNR127"/>
      <c r="NNS127"/>
      <c r="NNT127"/>
      <c r="NNU127"/>
      <c r="NNV127"/>
      <c r="NNW127"/>
      <c r="NNX127"/>
      <c r="NNY127"/>
      <c r="NNZ127"/>
      <c r="NOA127"/>
      <c r="NOB127"/>
      <c r="NOC127"/>
      <c r="NOD127"/>
      <c r="NOE127"/>
      <c r="NOF127"/>
      <c r="NOG127"/>
      <c r="NOH127"/>
      <c r="NOI127"/>
      <c r="NOJ127"/>
      <c r="NOK127"/>
      <c r="NOL127"/>
      <c r="NOM127"/>
      <c r="NON127"/>
      <c r="NOO127"/>
      <c r="NOP127"/>
      <c r="NOQ127"/>
      <c r="NOR127"/>
      <c r="NOS127"/>
      <c r="NOT127"/>
      <c r="NOU127"/>
      <c r="NOV127"/>
      <c r="NOW127"/>
      <c r="NOX127"/>
      <c r="NOY127"/>
      <c r="NOZ127"/>
      <c r="NPA127"/>
      <c r="NPB127"/>
      <c r="NPC127"/>
      <c r="NPD127"/>
      <c r="NPE127"/>
      <c r="NPF127"/>
      <c r="NPG127"/>
      <c r="NPH127"/>
      <c r="NPI127"/>
      <c r="NPJ127"/>
      <c r="NPK127"/>
      <c r="NPL127"/>
      <c r="NPM127"/>
      <c r="NPN127"/>
      <c r="NPO127"/>
      <c r="NPP127"/>
      <c r="NPQ127"/>
      <c r="NPR127"/>
      <c r="NPS127"/>
      <c r="NPT127"/>
      <c r="NPU127"/>
      <c r="NPV127"/>
      <c r="NPW127"/>
      <c r="NPX127"/>
      <c r="NPY127"/>
      <c r="NPZ127"/>
      <c r="NQA127"/>
      <c r="NQB127"/>
      <c r="NQC127"/>
      <c r="NQD127"/>
      <c r="NQE127"/>
      <c r="NQF127"/>
      <c r="NQG127"/>
      <c r="NQH127"/>
      <c r="NQI127"/>
      <c r="NQJ127"/>
      <c r="NQK127"/>
      <c r="NQL127"/>
      <c r="NQM127"/>
      <c r="NQN127"/>
      <c r="NQO127"/>
      <c r="NQP127"/>
      <c r="NQQ127"/>
      <c r="NQR127"/>
      <c r="NQS127"/>
      <c r="NQT127"/>
      <c r="NQU127"/>
      <c r="NQV127"/>
      <c r="NQW127"/>
      <c r="NQX127"/>
      <c r="NQY127"/>
      <c r="NQZ127"/>
      <c r="NRA127"/>
      <c r="NRB127"/>
      <c r="NRC127"/>
      <c r="NRD127"/>
      <c r="NRE127"/>
      <c r="NRF127"/>
      <c r="NRG127"/>
      <c r="NRH127"/>
      <c r="NRI127"/>
      <c r="NRJ127"/>
      <c r="NRK127"/>
      <c r="NRL127"/>
      <c r="NRM127"/>
      <c r="NRN127"/>
      <c r="NRO127"/>
      <c r="NRP127"/>
      <c r="NRQ127"/>
      <c r="NRR127"/>
      <c r="NRS127"/>
      <c r="NRT127"/>
      <c r="NRU127"/>
      <c r="NRV127"/>
      <c r="NRW127"/>
      <c r="NRX127"/>
      <c r="NRY127"/>
      <c r="NRZ127"/>
      <c r="NSA127"/>
      <c r="NSB127"/>
      <c r="NSC127"/>
      <c r="NSD127"/>
      <c r="NSE127"/>
      <c r="NSF127"/>
      <c r="NSG127"/>
      <c r="NSH127"/>
      <c r="NSI127"/>
      <c r="NSJ127"/>
      <c r="NSK127"/>
      <c r="NSL127"/>
      <c r="NSM127"/>
      <c r="NSN127"/>
      <c r="NSO127"/>
      <c r="NSP127"/>
      <c r="NSQ127"/>
      <c r="NSR127"/>
      <c r="NSS127"/>
      <c r="NST127"/>
      <c r="NSU127"/>
      <c r="NSV127"/>
      <c r="NSW127"/>
      <c r="NSX127"/>
      <c r="NSY127"/>
      <c r="NSZ127"/>
      <c r="NTA127"/>
      <c r="NTB127"/>
      <c r="NTC127"/>
      <c r="NTD127"/>
      <c r="NTE127"/>
      <c r="NTF127"/>
      <c r="NTG127"/>
      <c r="NTH127"/>
      <c r="NTI127"/>
      <c r="NTJ127"/>
      <c r="NTK127"/>
      <c r="NTL127"/>
      <c r="NTM127"/>
      <c r="NTN127"/>
      <c r="NTO127"/>
      <c r="NTP127"/>
      <c r="NTQ127"/>
      <c r="NTR127"/>
      <c r="NTS127"/>
      <c r="NTT127"/>
      <c r="NTU127"/>
      <c r="NTV127"/>
      <c r="NTW127"/>
      <c r="NTX127"/>
      <c r="NTY127"/>
      <c r="NTZ127"/>
      <c r="NUA127"/>
      <c r="NUB127"/>
      <c r="NUC127"/>
      <c r="NUD127"/>
      <c r="NUE127"/>
      <c r="NUF127"/>
      <c r="NUG127"/>
      <c r="NUH127"/>
      <c r="NUI127"/>
      <c r="NUJ127"/>
      <c r="NUK127"/>
      <c r="NUL127"/>
      <c r="NUM127"/>
      <c r="NUN127"/>
      <c r="NUO127"/>
      <c r="NUP127"/>
      <c r="NUQ127"/>
      <c r="NUR127"/>
      <c r="NUS127"/>
      <c r="NUT127"/>
      <c r="NUU127"/>
      <c r="NUV127"/>
      <c r="NUW127"/>
      <c r="NUX127"/>
      <c r="NUY127"/>
      <c r="NUZ127"/>
      <c r="NVA127"/>
      <c r="NVB127"/>
      <c r="NVC127"/>
      <c r="NVD127"/>
      <c r="NVE127"/>
      <c r="NVF127"/>
      <c r="NVG127"/>
      <c r="NVH127"/>
      <c r="NVI127"/>
      <c r="NVJ127"/>
      <c r="NVK127"/>
      <c r="NVL127"/>
      <c r="NVM127"/>
      <c r="NVN127"/>
      <c r="NVO127"/>
      <c r="NVP127"/>
      <c r="NVQ127"/>
      <c r="NVR127"/>
      <c r="NVS127"/>
      <c r="NVT127"/>
      <c r="NVU127"/>
      <c r="NVV127"/>
      <c r="NVW127"/>
      <c r="NVX127"/>
      <c r="NVY127"/>
      <c r="NVZ127"/>
      <c r="NWA127"/>
      <c r="NWB127"/>
      <c r="NWC127"/>
      <c r="NWD127"/>
      <c r="NWE127"/>
      <c r="NWF127"/>
      <c r="NWG127"/>
      <c r="NWH127"/>
      <c r="NWI127"/>
      <c r="NWJ127"/>
      <c r="NWK127"/>
      <c r="NWL127"/>
      <c r="NWM127"/>
      <c r="NWN127"/>
      <c r="NWO127"/>
      <c r="NWP127"/>
      <c r="NWQ127"/>
      <c r="NWR127"/>
      <c r="NWS127"/>
      <c r="NWT127"/>
      <c r="NWU127"/>
      <c r="NWV127"/>
      <c r="NWW127"/>
      <c r="NWX127"/>
      <c r="NWY127"/>
      <c r="NWZ127"/>
      <c r="NXA127"/>
      <c r="NXB127"/>
      <c r="NXC127"/>
      <c r="NXD127"/>
      <c r="NXE127"/>
      <c r="NXF127"/>
      <c r="NXG127"/>
      <c r="NXH127"/>
      <c r="NXI127"/>
      <c r="NXJ127"/>
      <c r="NXK127"/>
      <c r="NXL127"/>
      <c r="NXM127"/>
      <c r="NXN127"/>
      <c r="NXO127"/>
      <c r="NXP127"/>
      <c r="NXQ127"/>
      <c r="NXR127"/>
      <c r="NXS127"/>
      <c r="NXT127"/>
      <c r="NXU127"/>
      <c r="NXV127"/>
      <c r="NXW127"/>
      <c r="NXX127"/>
      <c r="NXY127"/>
      <c r="NXZ127"/>
      <c r="NYA127"/>
      <c r="NYB127"/>
      <c r="NYC127"/>
      <c r="NYD127"/>
      <c r="NYE127"/>
      <c r="NYF127"/>
      <c r="NYG127"/>
      <c r="NYH127"/>
      <c r="NYI127"/>
      <c r="NYJ127"/>
      <c r="NYK127"/>
      <c r="NYL127"/>
      <c r="NYM127"/>
      <c r="NYN127"/>
      <c r="NYO127"/>
      <c r="NYP127"/>
      <c r="NYQ127"/>
      <c r="NYR127"/>
      <c r="NYS127"/>
      <c r="NYT127"/>
      <c r="NYU127"/>
      <c r="NYV127"/>
      <c r="NYW127"/>
      <c r="NYX127"/>
      <c r="NYY127"/>
      <c r="NYZ127"/>
      <c r="NZA127"/>
      <c r="NZB127"/>
      <c r="NZC127"/>
      <c r="NZD127"/>
      <c r="NZE127"/>
      <c r="NZF127"/>
      <c r="NZG127"/>
      <c r="NZH127"/>
      <c r="NZI127"/>
      <c r="NZJ127"/>
      <c r="NZK127"/>
      <c r="NZL127"/>
      <c r="NZM127"/>
      <c r="NZN127"/>
      <c r="NZO127"/>
      <c r="NZP127"/>
      <c r="NZQ127"/>
      <c r="NZR127"/>
      <c r="NZS127"/>
      <c r="NZT127"/>
      <c r="NZU127"/>
      <c r="NZV127"/>
      <c r="NZW127"/>
      <c r="NZX127"/>
      <c r="NZY127"/>
      <c r="NZZ127"/>
      <c r="OAA127"/>
      <c r="OAB127"/>
      <c r="OAC127"/>
      <c r="OAD127"/>
      <c r="OAE127"/>
      <c r="OAF127"/>
      <c r="OAG127"/>
      <c r="OAH127"/>
      <c r="OAI127"/>
      <c r="OAJ127"/>
      <c r="OAK127"/>
      <c r="OAL127"/>
      <c r="OAM127"/>
      <c r="OAN127"/>
      <c r="OAO127"/>
      <c r="OAP127"/>
      <c r="OAQ127"/>
      <c r="OAR127"/>
      <c r="OAS127"/>
      <c r="OAT127"/>
      <c r="OAU127"/>
      <c r="OAV127"/>
      <c r="OAW127"/>
      <c r="OAX127"/>
      <c r="OAY127"/>
      <c r="OAZ127"/>
      <c r="OBA127"/>
      <c r="OBB127"/>
      <c r="OBC127"/>
      <c r="OBD127"/>
      <c r="OBE127"/>
      <c r="OBF127"/>
      <c r="OBG127"/>
      <c r="OBH127"/>
      <c r="OBI127"/>
      <c r="OBJ127"/>
      <c r="OBK127"/>
      <c r="OBL127"/>
      <c r="OBM127"/>
      <c r="OBN127"/>
      <c r="OBO127"/>
      <c r="OBP127"/>
      <c r="OBQ127"/>
      <c r="OBR127"/>
      <c r="OBS127"/>
      <c r="OBT127"/>
      <c r="OBU127"/>
      <c r="OBV127"/>
      <c r="OBW127"/>
      <c r="OBX127"/>
      <c r="OBY127"/>
      <c r="OBZ127"/>
      <c r="OCA127"/>
      <c r="OCB127"/>
      <c r="OCC127"/>
      <c r="OCD127"/>
      <c r="OCE127"/>
      <c r="OCF127"/>
      <c r="OCG127"/>
      <c r="OCH127"/>
      <c r="OCI127"/>
      <c r="OCJ127"/>
      <c r="OCK127"/>
      <c r="OCL127"/>
      <c r="OCM127"/>
      <c r="OCN127"/>
      <c r="OCO127"/>
      <c r="OCP127"/>
      <c r="OCQ127"/>
      <c r="OCR127"/>
      <c r="OCS127"/>
      <c r="OCT127"/>
      <c r="OCU127"/>
      <c r="OCV127"/>
      <c r="OCW127"/>
      <c r="OCX127"/>
      <c r="OCY127"/>
      <c r="OCZ127"/>
      <c r="ODA127"/>
      <c r="ODB127"/>
      <c r="ODC127"/>
      <c r="ODD127"/>
      <c r="ODE127"/>
      <c r="ODF127"/>
      <c r="ODG127"/>
      <c r="ODH127"/>
      <c r="ODI127"/>
      <c r="ODJ127"/>
      <c r="ODK127"/>
      <c r="ODL127"/>
      <c r="ODM127"/>
      <c r="ODN127"/>
      <c r="ODO127"/>
      <c r="ODP127"/>
      <c r="ODQ127"/>
      <c r="ODR127"/>
      <c r="ODS127"/>
      <c r="ODT127"/>
      <c r="ODU127"/>
      <c r="ODV127"/>
      <c r="ODW127"/>
      <c r="ODX127"/>
      <c r="ODY127"/>
      <c r="ODZ127"/>
      <c r="OEA127"/>
      <c r="OEB127"/>
      <c r="OEC127"/>
      <c r="OED127"/>
      <c r="OEE127"/>
      <c r="OEF127"/>
      <c r="OEG127"/>
      <c r="OEH127"/>
      <c r="OEI127"/>
      <c r="OEJ127"/>
      <c r="OEK127"/>
      <c r="OEL127"/>
      <c r="OEM127"/>
      <c r="OEN127"/>
      <c r="OEO127"/>
      <c r="OEP127"/>
      <c r="OEQ127"/>
      <c r="OER127"/>
      <c r="OES127"/>
      <c r="OET127"/>
      <c r="OEU127"/>
      <c r="OEV127"/>
      <c r="OEW127"/>
      <c r="OEX127"/>
      <c r="OEY127"/>
      <c r="OEZ127"/>
      <c r="OFA127"/>
      <c r="OFB127"/>
      <c r="OFC127"/>
      <c r="OFD127"/>
      <c r="OFE127"/>
      <c r="OFF127"/>
      <c r="OFG127"/>
      <c r="OFH127"/>
      <c r="OFI127"/>
      <c r="OFJ127"/>
      <c r="OFK127"/>
      <c r="OFL127"/>
      <c r="OFM127"/>
      <c r="OFN127"/>
      <c r="OFO127"/>
      <c r="OFP127"/>
      <c r="OFQ127"/>
      <c r="OFR127"/>
      <c r="OFS127"/>
      <c r="OFT127"/>
      <c r="OFU127"/>
      <c r="OFV127"/>
      <c r="OFW127"/>
      <c r="OFX127"/>
      <c r="OFY127"/>
      <c r="OFZ127"/>
      <c r="OGA127"/>
      <c r="OGB127"/>
      <c r="OGC127"/>
      <c r="OGD127"/>
      <c r="OGE127"/>
      <c r="OGF127"/>
      <c r="OGG127"/>
      <c r="OGH127"/>
      <c r="OGI127"/>
      <c r="OGJ127"/>
      <c r="OGK127"/>
      <c r="OGL127"/>
      <c r="OGM127"/>
      <c r="OGN127"/>
      <c r="OGO127"/>
      <c r="OGP127"/>
      <c r="OGQ127"/>
      <c r="OGR127"/>
      <c r="OGS127"/>
      <c r="OGT127"/>
      <c r="OGU127"/>
      <c r="OGV127"/>
      <c r="OGW127"/>
      <c r="OGX127"/>
      <c r="OGY127"/>
      <c r="OGZ127"/>
      <c r="OHA127"/>
      <c r="OHB127"/>
      <c r="OHC127"/>
      <c r="OHD127"/>
      <c r="OHE127"/>
      <c r="OHF127"/>
      <c r="OHG127"/>
      <c r="OHH127"/>
      <c r="OHI127"/>
      <c r="OHJ127"/>
      <c r="OHK127"/>
      <c r="OHL127"/>
      <c r="OHM127"/>
      <c r="OHN127"/>
      <c r="OHO127"/>
      <c r="OHP127"/>
      <c r="OHQ127"/>
      <c r="OHR127"/>
      <c r="OHS127"/>
      <c r="OHT127"/>
      <c r="OHU127"/>
      <c r="OHV127"/>
      <c r="OHW127"/>
      <c r="OHX127"/>
      <c r="OHY127"/>
      <c r="OHZ127"/>
      <c r="OIA127"/>
      <c r="OIB127"/>
      <c r="OIC127"/>
      <c r="OID127"/>
      <c r="OIE127"/>
      <c r="OIF127"/>
      <c r="OIG127"/>
      <c r="OIH127"/>
      <c r="OII127"/>
      <c r="OIJ127"/>
      <c r="OIK127"/>
      <c r="OIL127"/>
      <c r="OIM127"/>
      <c r="OIN127"/>
      <c r="OIO127"/>
      <c r="OIP127"/>
      <c r="OIQ127"/>
      <c r="OIR127"/>
      <c r="OIS127"/>
      <c r="OIT127"/>
      <c r="OIU127"/>
      <c r="OIV127"/>
      <c r="OIW127"/>
      <c r="OIX127"/>
      <c r="OIY127"/>
      <c r="OIZ127"/>
      <c r="OJA127"/>
      <c r="OJB127"/>
      <c r="OJC127"/>
      <c r="OJD127"/>
      <c r="OJE127"/>
      <c r="OJF127"/>
      <c r="OJG127"/>
      <c r="OJH127"/>
      <c r="OJI127"/>
      <c r="OJJ127"/>
      <c r="OJK127"/>
      <c r="OJL127"/>
      <c r="OJM127"/>
      <c r="OJN127"/>
      <c r="OJO127"/>
      <c r="OJP127"/>
      <c r="OJQ127"/>
      <c r="OJR127"/>
      <c r="OJS127"/>
      <c r="OJT127"/>
      <c r="OJU127"/>
      <c r="OJV127"/>
      <c r="OJW127"/>
      <c r="OJX127"/>
      <c r="OJY127"/>
      <c r="OJZ127"/>
      <c r="OKA127"/>
      <c r="OKB127"/>
      <c r="OKC127"/>
      <c r="OKD127"/>
      <c r="OKE127"/>
      <c r="OKF127"/>
      <c r="OKG127"/>
      <c r="OKH127"/>
      <c r="OKI127"/>
      <c r="OKJ127"/>
      <c r="OKK127"/>
      <c r="OKL127"/>
      <c r="OKM127"/>
      <c r="OKN127"/>
      <c r="OKO127"/>
      <c r="OKP127"/>
      <c r="OKQ127"/>
      <c r="OKR127"/>
      <c r="OKS127"/>
      <c r="OKT127"/>
      <c r="OKU127"/>
      <c r="OKV127"/>
      <c r="OKW127"/>
      <c r="OKX127"/>
      <c r="OKY127"/>
      <c r="OKZ127"/>
      <c r="OLA127"/>
      <c r="OLB127"/>
      <c r="OLC127"/>
      <c r="OLD127"/>
      <c r="OLE127"/>
      <c r="OLF127"/>
      <c r="OLG127"/>
      <c r="OLH127"/>
      <c r="OLI127"/>
      <c r="OLJ127"/>
      <c r="OLK127"/>
      <c r="OLL127"/>
      <c r="OLM127"/>
      <c r="OLN127"/>
      <c r="OLO127"/>
      <c r="OLP127"/>
      <c r="OLQ127"/>
      <c r="OLR127"/>
      <c r="OLS127"/>
      <c r="OLT127"/>
      <c r="OLU127"/>
      <c r="OLV127"/>
      <c r="OLW127"/>
      <c r="OLX127"/>
      <c r="OLY127"/>
      <c r="OLZ127"/>
      <c r="OMA127"/>
      <c r="OMB127"/>
      <c r="OMC127"/>
      <c r="OMD127"/>
      <c r="OME127"/>
      <c r="OMF127"/>
      <c r="OMG127"/>
      <c r="OMH127"/>
      <c r="OMI127"/>
      <c r="OMJ127"/>
      <c r="OMK127"/>
      <c r="OML127"/>
      <c r="OMM127"/>
      <c r="OMN127"/>
      <c r="OMO127"/>
      <c r="OMP127"/>
      <c r="OMQ127"/>
      <c r="OMR127"/>
      <c r="OMS127"/>
      <c r="OMT127"/>
      <c r="OMU127"/>
      <c r="OMV127"/>
      <c r="OMW127"/>
      <c r="OMX127"/>
      <c r="OMY127"/>
      <c r="OMZ127"/>
      <c r="ONA127"/>
      <c r="ONB127"/>
      <c r="ONC127"/>
      <c r="OND127"/>
      <c r="ONE127"/>
      <c r="ONF127"/>
      <c r="ONG127"/>
      <c r="ONH127"/>
      <c r="ONI127"/>
      <c r="ONJ127"/>
      <c r="ONK127"/>
      <c r="ONL127"/>
      <c r="ONM127"/>
      <c r="ONN127"/>
      <c r="ONO127"/>
      <c r="ONP127"/>
      <c r="ONQ127"/>
      <c r="ONR127"/>
      <c r="ONS127"/>
      <c r="ONT127"/>
      <c r="ONU127"/>
      <c r="ONV127"/>
      <c r="ONW127"/>
      <c r="ONX127"/>
      <c r="ONY127"/>
      <c r="ONZ127"/>
      <c r="OOA127"/>
      <c r="OOB127"/>
      <c r="OOC127"/>
      <c r="OOD127"/>
      <c r="OOE127"/>
      <c r="OOF127"/>
      <c r="OOG127"/>
      <c r="OOH127"/>
      <c r="OOI127"/>
      <c r="OOJ127"/>
      <c r="OOK127"/>
      <c r="OOL127"/>
      <c r="OOM127"/>
      <c r="OON127"/>
      <c r="OOO127"/>
      <c r="OOP127"/>
      <c r="OOQ127"/>
      <c r="OOR127"/>
      <c r="OOS127"/>
      <c r="OOT127"/>
      <c r="OOU127"/>
      <c r="OOV127"/>
      <c r="OOW127"/>
      <c r="OOX127"/>
      <c r="OOY127"/>
      <c r="OOZ127"/>
      <c r="OPA127"/>
      <c r="OPB127"/>
      <c r="OPC127"/>
      <c r="OPD127"/>
      <c r="OPE127"/>
      <c r="OPF127"/>
      <c r="OPG127"/>
      <c r="OPH127"/>
      <c r="OPI127"/>
      <c r="OPJ127"/>
      <c r="OPK127"/>
      <c r="OPL127"/>
      <c r="OPM127"/>
      <c r="OPN127"/>
      <c r="OPO127"/>
      <c r="OPP127"/>
      <c r="OPQ127"/>
      <c r="OPR127"/>
      <c r="OPS127"/>
      <c r="OPT127"/>
      <c r="OPU127"/>
      <c r="OPV127"/>
      <c r="OPW127"/>
      <c r="OPX127"/>
      <c r="OPY127"/>
      <c r="OPZ127"/>
      <c r="OQA127"/>
      <c r="OQB127"/>
      <c r="OQC127"/>
      <c r="OQD127"/>
      <c r="OQE127"/>
      <c r="OQF127"/>
      <c r="OQG127"/>
      <c r="OQH127"/>
      <c r="OQI127"/>
      <c r="OQJ127"/>
      <c r="OQK127"/>
      <c r="OQL127"/>
      <c r="OQM127"/>
      <c r="OQN127"/>
      <c r="OQO127"/>
      <c r="OQP127"/>
      <c r="OQQ127"/>
      <c r="OQR127"/>
      <c r="OQS127"/>
      <c r="OQT127"/>
      <c r="OQU127"/>
      <c r="OQV127"/>
      <c r="OQW127"/>
      <c r="OQX127"/>
      <c r="OQY127"/>
      <c r="OQZ127"/>
      <c r="ORA127"/>
      <c r="ORB127"/>
      <c r="ORC127"/>
      <c r="ORD127"/>
      <c r="ORE127"/>
      <c r="ORF127"/>
      <c r="ORG127"/>
      <c r="ORH127"/>
      <c r="ORI127"/>
      <c r="ORJ127"/>
      <c r="ORK127"/>
      <c r="ORL127"/>
      <c r="ORM127"/>
      <c r="ORN127"/>
      <c r="ORO127"/>
      <c r="ORP127"/>
      <c r="ORQ127"/>
      <c r="ORR127"/>
      <c r="ORS127"/>
      <c r="ORT127"/>
      <c r="ORU127"/>
      <c r="ORV127"/>
      <c r="ORW127"/>
      <c r="ORX127"/>
      <c r="ORY127"/>
      <c r="ORZ127"/>
      <c r="OSA127"/>
      <c r="OSB127"/>
      <c r="OSC127"/>
      <c r="OSD127"/>
      <c r="OSE127"/>
      <c r="OSF127"/>
      <c r="OSG127"/>
      <c r="OSH127"/>
      <c r="OSI127"/>
      <c r="OSJ127"/>
      <c r="OSK127"/>
      <c r="OSL127"/>
      <c r="OSM127"/>
      <c r="OSN127"/>
      <c r="OSO127"/>
      <c r="OSP127"/>
      <c r="OSQ127"/>
      <c r="OSR127"/>
      <c r="OSS127"/>
      <c r="OST127"/>
      <c r="OSU127"/>
      <c r="OSV127"/>
      <c r="OSW127"/>
      <c r="OSX127"/>
      <c r="OSY127"/>
      <c r="OSZ127"/>
      <c r="OTA127"/>
      <c r="OTB127"/>
      <c r="OTC127"/>
      <c r="OTD127"/>
      <c r="OTE127"/>
      <c r="OTF127"/>
      <c r="OTG127"/>
      <c r="OTH127"/>
      <c r="OTI127"/>
      <c r="OTJ127"/>
      <c r="OTK127"/>
      <c r="OTL127"/>
      <c r="OTM127"/>
      <c r="OTN127"/>
      <c r="OTO127"/>
      <c r="OTP127"/>
      <c r="OTQ127"/>
      <c r="OTR127"/>
      <c r="OTS127"/>
      <c r="OTT127"/>
      <c r="OTU127"/>
      <c r="OTV127"/>
      <c r="OTW127"/>
      <c r="OTX127"/>
      <c r="OTY127"/>
      <c r="OTZ127"/>
      <c r="OUA127"/>
      <c r="OUB127"/>
      <c r="OUC127"/>
      <c r="OUD127"/>
      <c r="OUE127"/>
      <c r="OUF127"/>
      <c r="OUG127"/>
      <c r="OUH127"/>
      <c r="OUI127"/>
      <c r="OUJ127"/>
      <c r="OUK127"/>
      <c r="OUL127"/>
      <c r="OUM127"/>
      <c r="OUN127"/>
      <c r="OUO127"/>
      <c r="OUP127"/>
      <c r="OUQ127"/>
      <c r="OUR127"/>
      <c r="OUS127"/>
      <c r="OUT127"/>
      <c r="OUU127"/>
      <c r="OUV127"/>
      <c r="OUW127"/>
      <c r="OUX127"/>
      <c r="OUY127"/>
      <c r="OUZ127"/>
      <c r="OVA127"/>
      <c r="OVB127"/>
      <c r="OVC127"/>
      <c r="OVD127"/>
      <c r="OVE127"/>
      <c r="OVF127"/>
      <c r="OVG127"/>
      <c r="OVH127"/>
      <c r="OVI127"/>
      <c r="OVJ127"/>
      <c r="OVK127"/>
      <c r="OVL127"/>
      <c r="OVM127"/>
      <c r="OVN127"/>
      <c r="OVO127"/>
      <c r="OVP127"/>
      <c r="OVQ127"/>
      <c r="OVR127"/>
      <c r="OVS127"/>
      <c r="OVT127"/>
      <c r="OVU127"/>
      <c r="OVV127"/>
      <c r="OVW127"/>
      <c r="OVX127"/>
      <c r="OVY127"/>
      <c r="OVZ127"/>
      <c r="OWA127"/>
      <c r="OWB127"/>
      <c r="OWC127"/>
      <c r="OWD127"/>
      <c r="OWE127"/>
      <c r="OWF127"/>
      <c r="OWG127"/>
      <c r="OWH127"/>
      <c r="OWI127"/>
      <c r="OWJ127"/>
      <c r="OWK127"/>
      <c r="OWL127"/>
      <c r="OWM127"/>
      <c r="OWN127"/>
      <c r="OWO127"/>
      <c r="OWP127"/>
      <c r="OWQ127"/>
      <c r="OWR127"/>
      <c r="OWS127"/>
      <c r="OWT127"/>
      <c r="OWU127"/>
      <c r="OWV127"/>
      <c r="OWW127"/>
      <c r="OWX127"/>
      <c r="OWY127"/>
      <c r="OWZ127"/>
      <c r="OXA127"/>
      <c r="OXB127"/>
      <c r="OXC127"/>
      <c r="OXD127"/>
      <c r="OXE127"/>
      <c r="OXF127"/>
      <c r="OXG127"/>
      <c r="OXH127"/>
      <c r="OXI127"/>
      <c r="OXJ127"/>
      <c r="OXK127"/>
      <c r="OXL127"/>
      <c r="OXM127"/>
      <c r="OXN127"/>
      <c r="OXO127"/>
      <c r="OXP127"/>
      <c r="OXQ127"/>
      <c r="OXR127"/>
      <c r="OXS127"/>
      <c r="OXT127"/>
      <c r="OXU127"/>
      <c r="OXV127"/>
      <c r="OXW127"/>
      <c r="OXX127"/>
      <c r="OXY127"/>
      <c r="OXZ127"/>
      <c r="OYA127"/>
      <c r="OYB127"/>
      <c r="OYC127"/>
      <c r="OYD127"/>
      <c r="OYE127"/>
      <c r="OYF127"/>
      <c r="OYG127"/>
      <c r="OYH127"/>
      <c r="OYI127"/>
      <c r="OYJ127"/>
      <c r="OYK127"/>
      <c r="OYL127"/>
      <c r="OYM127"/>
      <c r="OYN127"/>
      <c r="OYO127"/>
      <c r="OYP127"/>
      <c r="OYQ127"/>
      <c r="OYR127"/>
      <c r="OYS127"/>
      <c r="OYT127"/>
      <c r="OYU127"/>
      <c r="OYV127"/>
      <c r="OYW127"/>
      <c r="OYX127"/>
      <c r="OYY127"/>
      <c r="OYZ127"/>
      <c r="OZA127"/>
      <c r="OZB127"/>
      <c r="OZC127"/>
      <c r="OZD127"/>
      <c r="OZE127"/>
      <c r="OZF127"/>
      <c r="OZG127"/>
      <c r="OZH127"/>
      <c r="OZI127"/>
      <c r="OZJ127"/>
      <c r="OZK127"/>
      <c r="OZL127"/>
      <c r="OZM127"/>
      <c r="OZN127"/>
      <c r="OZO127"/>
      <c r="OZP127"/>
      <c r="OZQ127"/>
      <c r="OZR127"/>
      <c r="OZS127"/>
      <c r="OZT127"/>
      <c r="OZU127"/>
      <c r="OZV127"/>
      <c r="OZW127"/>
      <c r="OZX127"/>
      <c r="OZY127"/>
      <c r="OZZ127"/>
      <c r="PAA127"/>
      <c r="PAB127"/>
      <c r="PAC127"/>
      <c r="PAD127"/>
      <c r="PAE127"/>
      <c r="PAF127"/>
      <c r="PAG127"/>
      <c r="PAH127"/>
      <c r="PAI127"/>
      <c r="PAJ127"/>
      <c r="PAK127"/>
      <c r="PAL127"/>
      <c r="PAM127"/>
      <c r="PAN127"/>
      <c r="PAO127"/>
      <c r="PAP127"/>
      <c r="PAQ127"/>
      <c r="PAR127"/>
      <c r="PAS127"/>
      <c r="PAT127"/>
      <c r="PAU127"/>
      <c r="PAV127"/>
      <c r="PAW127"/>
      <c r="PAX127"/>
      <c r="PAY127"/>
      <c r="PAZ127"/>
      <c r="PBA127"/>
      <c r="PBB127"/>
      <c r="PBC127"/>
      <c r="PBD127"/>
      <c r="PBE127"/>
      <c r="PBF127"/>
      <c r="PBG127"/>
      <c r="PBH127"/>
      <c r="PBI127"/>
      <c r="PBJ127"/>
      <c r="PBK127"/>
      <c r="PBL127"/>
      <c r="PBM127"/>
      <c r="PBN127"/>
      <c r="PBO127"/>
      <c r="PBP127"/>
      <c r="PBQ127"/>
      <c r="PBR127"/>
      <c r="PBS127"/>
      <c r="PBT127"/>
      <c r="PBU127"/>
      <c r="PBV127"/>
      <c r="PBW127"/>
      <c r="PBX127"/>
      <c r="PBY127"/>
      <c r="PBZ127"/>
      <c r="PCA127"/>
      <c r="PCB127"/>
      <c r="PCC127"/>
      <c r="PCD127"/>
      <c r="PCE127"/>
      <c r="PCF127"/>
      <c r="PCG127"/>
      <c r="PCH127"/>
      <c r="PCI127"/>
      <c r="PCJ127"/>
      <c r="PCK127"/>
      <c r="PCL127"/>
      <c r="PCM127"/>
      <c r="PCN127"/>
      <c r="PCO127"/>
      <c r="PCP127"/>
      <c r="PCQ127"/>
      <c r="PCR127"/>
      <c r="PCS127"/>
      <c r="PCT127"/>
      <c r="PCU127"/>
      <c r="PCV127"/>
      <c r="PCW127"/>
      <c r="PCX127"/>
      <c r="PCY127"/>
      <c r="PCZ127"/>
      <c r="PDA127"/>
      <c r="PDB127"/>
      <c r="PDC127"/>
      <c r="PDD127"/>
      <c r="PDE127"/>
      <c r="PDF127"/>
      <c r="PDG127"/>
      <c r="PDH127"/>
      <c r="PDI127"/>
      <c r="PDJ127"/>
      <c r="PDK127"/>
      <c r="PDL127"/>
      <c r="PDM127"/>
      <c r="PDN127"/>
      <c r="PDO127"/>
      <c r="PDP127"/>
      <c r="PDQ127"/>
      <c r="PDR127"/>
      <c r="PDS127"/>
      <c r="PDT127"/>
      <c r="PDU127"/>
      <c r="PDV127"/>
      <c r="PDW127"/>
      <c r="PDX127"/>
      <c r="PDY127"/>
      <c r="PDZ127"/>
      <c r="PEA127"/>
      <c r="PEB127"/>
      <c r="PEC127"/>
      <c r="PED127"/>
      <c r="PEE127"/>
      <c r="PEF127"/>
      <c r="PEG127"/>
      <c r="PEH127"/>
      <c r="PEI127"/>
      <c r="PEJ127"/>
      <c r="PEK127"/>
      <c r="PEL127"/>
      <c r="PEM127"/>
      <c r="PEN127"/>
      <c r="PEO127"/>
      <c r="PEP127"/>
      <c r="PEQ127"/>
      <c r="PER127"/>
      <c r="PES127"/>
      <c r="PET127"/>
      <c r="PEU127"/>
      <c r="PEV127"/>
      <c r="PEW127"/>
      <c r="PEX127"/>
      <c r="PEY127"/>
      <c r="PEZ127"/>
      <c r="PFA127"/>
      <c r="PFB127"/>
      <c r="PFC127"/>
      <c r="PFD127"/>
      <c r="PFE127"/>
      <c r="PFF127"/>
      <c r="PFG127"/>
      <c r="PFH127"/>
      <c r="PFI127"/>
      <c r="PFJ127"/>
      <c r="PFK127"/>
      <c r="PFL127"/>
      <c r="PFM127"/>
      <c r="PFN127"/>
      <c r="PFO127"/>
      <c r="PFP127"/>
      <c r="PFQ127"/>
      <c r="PFR127"/>
      <c r="PFS127"/>
      <c r="PFT127"/>
      <c r="PFU127"/>
      <c r="PFV127"/>
      <c r="PFW127"/>
      <c r="PFX127"/>
      <c r="PFY127"/>
      <c r="PFZ127"/>
      <c r="PGA127"/>
      <c r="PGB127"/>
      <c r="PGC127"/>
      <c r="PGD127"/>
      <c r="PGE127"/>
      <c r="PGF127"/>
      <c r="PGG127"/>
      <c r="PGH127"/>
      <c r="PGI127"/>
      <c r="PGJ127"/>
      <c r="PGK127"/>
      <c r="PGL127"/>
      <c r="PGM127"/>
      <c r="PGN127"/>
      <c r="PGO127"/>
      <c r="PGP127"/>
      <c r="PGQ127"/>
      <c r="PGR127"/>
      <c r="PGS127"/>
      <c r="PGT127"/>
      <c r="PGU127"/>
      <c r="PGV127"/>
      <c r="PGW127"/>
      <c r="PGX127"/>
      <c r="PGY127"/>
      <c r="PGZ127"/>
      <c r="PHA127"/>
      <c r="PHB127"/>
      <c r="PHC127"/>
      <c r="PHD127"/>
      <c r="PHE127"/>
      <c r="PHF127"/>
      <c r="PHG127"/>
      <c r="PHH127"/>
      <c r="PHI127"/>
      <c r="PHJ127"/>
      <c r="PHK127"/>
      <c r="PHL127"/>
      <c r="PHM127"/>
      <c r="PHN127"/>
      <c r="PHO127"/>
      <c r="PHP127"/>
      <c r="PHQ127"/>
      <c r="PHR127"/>
      <c r="PHS127"/>
      <c r="PHT127"/>
      <c r="PHU127"/>
      <c r="PHV127"/>
      <c r="PHW127"/>
      <c r="PHX127"/>
      <c r="PHY127"/>
      <c r="PHZ127"/>
      <c r="PIA127"/>
      <c r="PIB127"/>
      <c r="PIC127"/>
      <c r="PID127"/>
      <c r="PIE127"/>
      <c r="PIF127"/>
      <c r="PIG127"/>
      <c r="PIH127"/>
      <c r="PII127"/>
      <c r="PIJ127"/>
      <c r="PIK127"/>
      <c r="PIL127"/>
      <c r="PIM127"/>
      <c r="PIN127"/>
      <c r="PIO127"/>
      <c r="PIP127"/>
      <c r="PIQ127"/>
      <c r="PIR127"/>
      <c r="PIS127"/>
      <c r="PIT127"/>
      <c r="PIU127"/>
      <c r="PIV127"/>
      <c r="PIW127"/>
      <c r="PIX127"/>
      <c r="PIY127"/>
      <c r="PIZ127"/>
      <c r="PJA127"/>
      <c r="PJB127"/>
      <c r="PJC127"/>
      <c r="PJD127"/>
      <c r="PJE127"/>
      <c r="PJF127"/>
      <c r="PJG127"/>
      <c r="PJH127"/>
      <c r="PJI127"/>
      <c r="PJJ127"/>
      <c r="PJK127"/>
      <c r="PJL127"/>
      <c r="PJM127"/>
      <c r="PJN127"/>
      <c r="PJO127"/>
      <c r="PJP127"/>
      <c r="PJQ127"/>
      <c r="PJR127"/>
      <c r="PJS127"/>
      <c r="PJT127"/>
      <c r="PJU127"/>
      <c r="PJV127"/>
      <c r="PJW127"/>
      <c r="PJX127"/>
      <c r="PJY127"/>
      <c r="PJZ127"/>
      <c r="PKA127"/>
      <c r="PKB127"/>
      <c r="PKC127"/>
      <c r="PKD127"/>
      <c r="PKE127"/>
      <c r="PKF127"/>
      <c r="PKG127"/>
      <c r="PKH127"/>
      <c r="PKI127"/>
      <c r="PKJ127"/>
      <c r="PKK127"/>
      <c r="PKL127"/>
      <c r="PKM127"/>
      <c r="PKN127"/>
      <c r="PKO127"/>
      <c r="PKP127"/>
      <c r="PKQ127"/>
      <c r="PKR127"/>
      <c r="PKS127"/>
      <c r="PKT127"/>
      <c r="PKU127"/>
      <c r="PKV127"/>
      <c r="PKW127"/>
      <c r="PKX127"/>
      <c r="PKY127"/>
      <c r="PKZ127"/>
      <c r="PLA127"/>
      <c r="PLB127"/>
      <c r="PLC127"/>
      <c r="PLD127"/>
      <c r="PLE127"/>
      <c r="PLF127"/>
      <c r="PLG127"/>
      <c r="PLH127"/>
      <c r="PLI127"/>
      <c r="PLJ127"/>
      <c r="PLK127"/>
      <c r="PLL127"/>
      <c r="PLM127"/>
      <c r="PLN127"/>
      <c r="PLO127"/>
      <c r="PLP127"/>
      <c r="PLQ127"/>
      <c r="PLR127"/>
      <c r="PLS127"/>
      <c r="PLT127"/>
      <c r="PLU127"/>
      <c r="PLV127"/>
      <c r="PLW127"/>
      <c r="PLX127"/>
      <c r="PLY127"/>
      <c r="PLZ127"/>
      <c r="PMA127"/>
      <c r="PMB127"/>
      <c r="PMC127"/>
      <c r="PMD127"/>
      <c r="PME127"/>
      <c r="PMF127"/>
      <c r="PMG127"/>
      <c r="PMH127"/>
      <c r="PMI127"/>
      <c r="PMJ127"/>
      <c r="PMK127"/>
      <c r="PML127"/>
      <c r="PMM127"/>
      <c r="PMN127"/>
      <c r="PMO127"/>
      <c r="PMP127"/>
      <c r="PMQ127"/>
      <c r="PMR127"/>
      <c r="PMS127"/>
      <c r="PMT127"/>
      <c r="PMU127"/>
      <c r="PMV127"/>
      <c r="PMW127"/>
      <c r="PMX127"/>
      <c r="PMY127"/>
      <c r="PMZ127"/>
      <c r="PNA127"/>
      <c r="PNB127"/>
      <c r="PNC127"/>
      <c r="PND127"/>
      <c r="PNE127"/>
      <c r="PNF127"/>
      <c r="PNG127"/>
      <c r="PNH127"/>
      <c r="PNI127"/>
      <c r="PNJ127"/>
      <c r="PNK127"/>
      <c r="PNL127"/>
      <c r="PNM127"/>
      <c r="PNN127"/>
      <c r="PNO127"/>
      <c r="PNP127"/>
      <c r="PNQ127"/>
      <c r="PNR127"/>
      <c r="PNS127"/>
      <c r="PNT127"/>
      <c r="PNU127"/>
      <c r="PNV127"/>
      <c r="PNW127"/>
      <c r="PNX127"/>
      <c r="PNY127"/>
      <c r="PNZ127"/>
      <c r="POA127"/>
      <c r="POB127"/>
      <c r="POC127"/>
      <c r="POD127"/>
      <c r="POE127"/>
      <c r="POF127"/>
      <c r="POG127"/>
      <c r="POH127"/>
      <c r="POI127"/>
      <c r="POJ127"/>
      <c r="POK127"/>
      <c r="POL127"/>
      <c r="POM127"/>
      <c r="PON127"/>
      <c r="POO127"/>
      <c r="POP127"/>
      <c r="POQ127"/>
      <c r="POR127"/>
      <c r="POS127"/>
      <c r="POT127"/>
      <c r="POU127"/>
      <c r="POV127"/>
      <c r="POW127"/>
      <c r="POX127"/>
      <c r="POY127"/>
      <c r="POZ127"/>
      <c r="PPA127"/>
      <c r="PPB127"/>
      <c r="PPC127"/>
      <c r="PPD127"/>
      <c r="PPE127"/>
      <c r="PPF127"/>
      <c r="PPG127"/>
      <c r="PPH127"/>
      <c r="PPI127"/>
      <c r="PPJ127"/>
      <c r="PPK127"/>
      <c r="PPL127"/>
      <c r="PPM127"/>
      <c r="PPN127"/>
      <c r="PPO127"/>
      <c r="PPP127"/>
      <c r="PPQ127"/>
      <c r="PPR127"/>
      <c r="PPS127"/>
      <c r="PPT127"/>
      <c r="PPU127"/>
      <c r="PPV127"/>
      <c r="PPW127"/>
      <c r="PPX127"/>
      <c r="PPY127"/>
      <c r="PPZ127"/>
      <c r="PQA127"/>
      <c r="PQB127"/>
      <c r="PQC127"/>
      <c r="PQD127"/>
      <c r="PQE127"/>
      <c r="PQF127"/>
      <c r="PQG127"/>
      <c r="PQH127"/>
      <c r="PQI127"/>
      <c r="PQJ127"/>
      <c r="PQK127"/>
      <c r="PQL127"/>
      <c r="PQM127"/>
      <c r="PQN127"/>
      <c r="PQO127"/>
      <c r="PQP127"/>
      <c r="PQQ127"/>
      <c r="PQR127"/>
      <c r="PQS127"/>
      <c r="PQT127"/>
      <c r="PQU127"/>
      <c r="PQV127"/>
      <c r="PQW127"/>
      <c r="PQX127"/>
      <c r="PQY127"/>
      <c r="PQZ127"/>
      <c r="PRA127"/>
      <c r="PRB127"/>
      <c r="PRC127"/>
      <c r="PRD127"/>
      <c r="PRE127"/>
      <c r="PRF127"/>
      <c r="PRG127"/>
      <c r="PRH127"/>
      <c r="PRI127"/>
      <c r="PRJ127"/>
      <c r="PRK127"/>
      <c r="PRL127"/>
      <c r="PRM127"/>
      <c r="PRN127"/>
      <c r="PRO127"/>
      <c r="PRP127"/>
      <c r="PRQ127"/>
      <c r="PRR127"/>
      <c r="PRS127"/>
      <c r="PRT127"/>
      <c r="PRU127"/>
      <c r="PRV127"/>
      <c r="PRW127"/>
      <c r="PRX127"/>
      <c r="PRY127"/>
      <c r="PRZ127"/>
      <c r="PSA127"/>
      <c r="PSB127"/>
      <c r="PSC127"/>
      <c r="PSD127"/>
      <c r="PSE127"/>
      <c r="PSF127"/>
      <c r="PSG127"/>
      <c r="PSH127"/>
      <c r="PSI127"/>
      <c r="PSJ127"/>
      <c r="PSK127"/>
      <c r="PSL127"/>
      <c r="PSM127"/>
      <c r="PSN127"/>
      <c r="PSO127"/>
      <c r="PSP127"/>
      <c r="PSQ127"/>
      <c r="PSR127"/>
      <c r="PSS127"/>
      <c r="PST127"/>
      <c r="PSU127"/>
      <c r="PSV127"/>
      <c r="PSW127"/>
      <c r="PSX127"/>
      <c r="PSY127"/>
      <c r="PSZ127"/>
      <c r="PTA127"/>
      <c r="PTB127"/>
      <c r="PTC127"/>
      <c r="PTD127"/>
      <c r="PTE127"/>
      <c r="PTF127"/>
      <c r="PTG127"/>
      <c r="PTH127"/>
      <c r="PTI127"/>
      <c r="PTJ127"/>
      <c r="PTK127"/>
      <c r="PTL127"/>
      <c r="PTM127"/>
      <c r="PTN127"/>
      <c r="PTO127"/>
      <c r="PTP127"/>
      <c r="PTQ127"/>
      <c r="PTR127"/>
      <c r="PTS127"/>
      <c r="PTT127"/>
      <c r="PTU127"/>
      <c r="PTV127"/>
      <c r="PTW127"/>
      <c r="PTX127"/>
      <c r="PTY127"/>
      <c r="PTZ127"/>
      <c r="PUA127"/>
      <c r="PUB127"/>
      <c r="PUC127"/>
      <c r="PUD127"/>
      <c r="PUE127"/>
      <c r="PUF127"/>
      <c r="PUG127"/>
      <c r="PUH127"/>
      <c r="PUI127"/>
      <c r="PUJ127"/>
      <c r="PUK127"/>
      <c r="PUL127"/>
      <c r="PUM127"/>
      <c r="PUN127"/>
      <c r="PUO127"/>
      <c r="PUP127"/>
      <c r="PUQ127"/>
      <c r="PUR127"/>
      <c r="PUS127"/>
      <c r="PUT127"/>
      <c r="PUU127"/>
      <c r="PUV127"/>
      <c r="PUW127"/>
      <c r="PUX127"/>
      <c r="PUY127"/>
      <c r="PUZ127"/>
      <c r="PVA127"/>
      <c r="PVB127"/>
      <c r="PVC127"/>
      <c r="PVD127"/>
      <c r="PVE127"/>
      <c r="PVF127"/>
      <c r="PVG127"/>
      <c r="PVH127"/>
      <c r="PVI127"/>
      <c r="PVJ127"/>
      <c r="PVK127"/>
      <c r="PVL127"/>
      <c r="PVM127"/>
      <c r="PVN127"/>
      <c r="PVO127"/>
      <c r="PVP127"/>
      <c r="PVQ127"/>
      <c r="PVR127"/>
      <c r="PVS127"/>
      <c r="PVT127"/>
      <c r="PVU127"/>
      <c r="PVV127"/>
      <c r="PVW127"/>
      <c r="PVX127"/>
      <c r="PVY127"/>
      <c r="PVZ127"/>
      <c r="PWA127"/>
      <c r="PWB127"/>
      <c r="PWC127"/>
      <c r="PWD127"/>
      <c r="PWE127"/>
      <c r="PWF127"/>
      <c r="PWG127"/>
      <c r="PWH127"/>
      <c r="PWI127"/>
      <c r="PWJ127"/>
      <c r="PWK127"/>
      <c r="PWL127"/>
      <c r="PWM127"/>
      <c r="PWN127"/>
      <c r="PWO127"/>
      <c r="PWP127"/>
      <c r="PWQ127"/>
      <c r="PWR127"/>
      <c r="PWS127"/>
      <c r="PWT127"/>
      <c r="PWU127"/>
      <c r="PWV127"/>
      <c r="PWW127"/>
      <c r="PWX127"/>
      <c r="PWY127"/>
      <c r="PWZ127"/>
      <c r="PXA127"/>
      <c r="PXB127"/>
      <c r="PXC127"/>
      <c r="PXD127"/>
      <c r="PXE127"/>
      <c r="PXF127"/>
      <c r="PXG127"/>
      <c r="PXH127"/>
      <c r="PXI127"/>
      <c r="PXJ127"/>
      <c r="PXK127"/>
      <c r="PXL127"/>
      <c r="PXM127"/>
      <c r="PXN127"/>
      <c r="PXO127"/>
      <c r="PXP127"/>
      <c r="PXQ127"/>
      <c r="PXR127"/>
      <c r="PXS127"/>
      <c r="PXT127"/>
      <c r="PXU127"/>
      <c r="PXV127"/>
      <c r="PXW127"/>
      <c r="PXX127"/>
      <c r="PXY127"/>
      <c r="PXZ127"/>
      <c r="PYA127"/>
      <c r="PYB127"/>
      <c r="PYC127"/>
      <c r="PYD127"/>
      <c r="PYE127"/>
      <c r="PYF127"/>
      <c r="PYG127"/>
      <c r="PYH127"/>
      <c r="PYI127"/>
      <c r="PYJ127"/>
      <c r="PYK127"/>
      <c r="PYL127"/>
      <c r="PYM127"/>
      <c r="PYN127"/>
      <c r="PYO127"/>
      <c r="PYP127"/>
      <c r="PYQ127"/>
      <c r="PYR127"/>
      <c r="PYS127"/>
      <c r="PYT127"/>
      <c r="PYU127"/>
      <c r="PYV127"/>
      <c r="PYW127"/>
      <c r="PYX127"/>
      <c r="PYY127"/>
      <c r="PYZ127"/>
      <c r="PZA127"/>
      <c r="PZB127"/>
      <c r="PZC127"/>
      <c r="PZD127"/>
      <c r="PZE127"/>
      <c r="PZF127"/>
      <c r="PZG127"/>
      <c r="PZH127"/>
      <c r="PZI127"/>
      <c r="PZJ127"/>
      <c r="PZK127"/>
      <c r="PZL127"/>
      <c r="PZM127"/>
      <c r="PZN127"/>
      <c r="PZO127"/>
      <c r="PZP127"/>
      <c r="PZQ127"/>
      <c r="PZR127"/>
      <c r="PZS127"/>
      <c r="PZT127"/>
      <c r="PZU127"/>
      <c r="PZV127"/>
      <c r="PZW127"/>
      <c r="PZX127"/>
      <c r="PZY127"/>
      <c r="PZZ127"/>
      <c r="QAA127"/>
      <c r="QAB127"/>
      <c r="QAC127"/>
      <c r="QAD127"/>
      <c r="QAE127"/>
      <c r="QAF127"/>
      <c r="QAG127"/>
      <c r="QAH127"/>
      <c r="QAI127"/>
      <c r="QAJ127"/>
      <c r="QAK127"/>
      <c r="QAL127"/>
      <c r="QAM127"/>
      <c r="QAN127"/>
      <c r="QAO127"/>
      <c r="QAP127"/>
      <c r="QAQ127"/>
      <c r="QAR127"/>
      <c r="QAS127"/>
      <c r="QAT127"/>
      <c r="QAU127"/>
      <c r="QAV127"/>
      <c r="QAW127"/>
      <c r="QAX127"/>
      <c r="QAY127"/>
      <c r="QAZ127"/>
      <c r="QBA127"/>
      <c r="QBB127"/>
      <c r="QBC127"/>
      <c r="QBD127"/>
      <c r="QBE127"/>
      <c r="QBF127"/>
      <c r="QBG127"/>
      <c r="QBH127"/>
      <c r="QBI127"/>
      <c r="QBJ127"/>
      <c r="QBK127"/>
      <c r="QBL127"/>
      <c r="QBM127"/>
      <c r="QBN127"/>
      <c r="QBO127"/>
      <c r="QBP127"/>
      <c r="QBQ127"/>
      <c r="QBR127"/>
      <c r="QBS127"/>
      <c r="QBT127"/>
      <c r="QBU127"/>
      <c r="QBV127"/>
      <c r="QBW127"/>
      <c r="QBX127"/>
      <c r="QBY127"/>
      <c r="QBZ127"/>
      <c r="QCA127"/>
      <c r="QCB127"/>
      <c r="QCC127"/>
      <c r="QCD127"/>
      <c r="QCE127"/>
      <c r="QCF127"/>
      <c r="QCG127"/>
      <c r="QCH127"/>
      <c r="QCI127"/>
      <c r="QCJ127"/>
      <c r="QCK127"/>
      <c r="QCL127"/>
      <c r="QCM127"/>
      <c r="QCN127"/>
      <c r="QCO127"/>
      <c r="QCP127"/>
      <c r="QCQ127"/>
      <c r="QCR127"/>
      <c r="QCS127"/>
      <c r="QCT127"/>
      <c r="QCU127"/>
      <c r="QCV127"/>
      <c r="QCW127"/>
      <c r="QCX127"/>
      <c r="QCY127"/>
      <c r="QCZ127"/>
      <c r="QDA127"/>
      <c r="QDB127"/>
      <c r="QDC127"/>
      <c r="QDD127"/>
      <c r="QDE127"/>
      <c r="QDF127"/>
      <c r="QDG127"/>
      <c r="QDH127"/>
      <c r="QDI127"/>
      <c r="QDJ127"/>
      <c r="QDK127"/>
      <c r="QDL127"/>
      <c r="QDM127"/>
      <c r="QDN127"/>
      <c r="QDO127"/>
      <c r="QDP127"/>
      <c r="QDQ127"/>
      <c r="QDR127"/>
      <c r="QDS127"/>
      <c r="QDT127"/>
      <c r="QDU127"/>
      <c r="QDV127"/>
      <c r="QDW127"/>
      <c r="QDX127"/>
      <c r="QDY127"/>
      <c r="QDZ127"/>
      <c r="QEA127"/>
      <c r="QEB127"/>
      <c r="QEC127"/>
      <c r="QED127"/>
      <c r="QEE127"/>
      <c r="QEF127"/>
      <c r="QEG127"/>
      <c r="QEH127"/>
      <c r="QEI127"/>
      <c r="QEJ127"/>
      <c r="QEK127"/>
      <c r="QEL127"/>
      <c r="QEM127"/>
      <c r="QEN127"/>
      <c r="QEO127"/>
      <c r="QEP127"/>
      <c r="QEQ127"/>
      <c r="QER127"/>
      <c r="QES127"/>
      <c r="QET127"/>
      <c r="QEU127"/>
      <c r="QEV127"/>
      <c r="QEW127"/>
      <c r="QEX127"/>
      <c r="QEY127"/>
      <c r="QEZ127"/>
      <c r="QFA127"/>
      <c r="QFB127"/>
      <c r="QFC127"/>
      <c r="QFD127"/>
      <c r="QFE127"/>
      <c r="QFF127"/>
      <c r="QFG127"/>
      <c r="QFH127"/>
      <c r="QFI127"/>
      <c r="QFJ127"/>
      <c r="QFK127"/>
      <c r="QFL127"/>
      <c r="QFM127"/>
      <c r="QFN127"/>
      <c r="QFO127"/>
      <c r="QFP127"/>
      <c r="QFQ127"/>
      <c r="QFR127"/>
      <c r="QFS127"/>
      <c r="QFT127"/>
      <c r="QFU127"/>
      <c r="QFV127"/>
      <c r="QFW127"/>
      <c r="QFX127"/>
      <c r="QFY127"/>
      <c r="QFZ127"/>
      <c r="QGA127"/>
      <c r="QGB127"/>
      <c r="QGC127"/>
      <c r="QGD127"/>
      <c r="QGE127"/>
      <c r="QGF127"/>
      <c r="QGG127"/>
      <c r="QGH127"/>
      <c r="QGI127"/>
      <c r="QGJ127"/>
      <c r="QGK127"/>
      <c r="QGL127"/>
      <c r="QGM127"/>
      <c r="QGN127"/>
      <c r="QGO127"/>
      <c r="QGP127"/>
      <c r="QGQ127"/>
      <c r="QGR127"/>
      <c r="QGS127"/>
      <c r="QGT127"/>
      <c r="QGU127"/>
      <c r="QGV127"/>
      <c r="QGW127"/>
      <c r="QGX127"/>
      <c r="QGY127"/>
      <c r="QGZ127"/>
      <c r="QHA127"/>
      <c r="QHB127"/>
      <c r="QHC127"/>
      <c r="QHD127"/>
      <c r="QHE127"/>
      <c r="QHF127"/>
      <c r="QHG127"/>
      <c r="QHH127"/>
      <c r="QHI127"/>
      <c r="QHJ127"/>
      <c r="QHK127"/>
      <c r="QHL127"/>
      <c r="QHM127"/>
      <c r="QHN127"/>
      <c r="QHO127"/>
      <c r="QHP127"/>
      <c r="QHQ127"/>
      <c r="QHR127"/>
      <c r="QHS127"/>
      <c r="QHT127"/>
      <c r="QHU127"/>
      <c r="QHV127"/>
      <c r="QHW127"/>
      <c r="QHX127"/>
      <c r="QHY127"/>
      <c r="QHZ127"/>
      <c r="QIA127"/>
      <c r="QIB127"/>
      <c r="QIC127"/>
      <c r="QID127"/>
      <c r="QIE127"/>
      <c r="QIF127"/>
      <c r="QIG127"/>
      <c r="QIH127"/>
      <c r="QII127"/>
      <c r="QIJ127"/>
      <c r="QIK127"/>
      <c r="QIL127"/>
      <c r="QIM127"/>
      <c r="QIN127"/>
      <c r="QIO127"/>
      <c r="QIP127"/>
      <c r="QIQ127"/>
      <c r="QIR127"/>
      <c r="QIS127"/>
      <c r="QIT127"/>
      <c r="QIU127"/>
      <c r="QIV127"/>
      <c r="QIW127"/>
      <c r="QIX127"/>
      <c r="QIY127"/>
      <c r="QIZ127"/>
      <c r="QJA127"/>
      <c r="QJB127"/>
      <c r="QJC127"/>
      <c r="QJD127"/>
      <c r="QJE127"/>
      <c r="QJF127"/>
      <c r="QJG127"/>
      <c r="QJH127"/>
      <c r="QJI127"/>
      <c r="QJJ127"/>
      <c r="QJK127"/>
      <c r="QJL127"/>
      <c r="QJM127"/>
      <c r="QJN127"/>
      <c r="QJO127"/>
      <c r="QJP127"/>
      <c r="QJQ127"/>
      <c r="QJR127"/>
      <c r="QJS127"/>
      <c r="QJT127"/>
      <c r="QJU127"/>
      <c r="QJV127"/>
      <c r="QJW127"/>
      <c r="QJX127"/>
      <c r="QJY127"/>
      <c r="QJZ127"/>
      <c r="QKA127"/>
      <c r="QKB127"/>
      <c r="QKC127"/>
      <c r="QKD127"/>
      <c r="QKE127"/>
      <c r="QKF127"/>
      <c r="QKG127"/>
      <c r="QKH127"/>
      <c r="QKI127"/>
      <c r="QKJ127"/>
      <c r="QKK127"/>
      <c r="QKL127"/>
      <c r="QKM127"/>
      <c r="QKN127"/>
      <c r="QKO127"/>
      <c r="QKP127"/>
      <c r="QKQ127"/>
      <c r="QKR127"/>
      <c r="QKS127"/>
      <c r="QKT127"/>
      <c r="QKU127"/>
      <c r="QKV127"/>
      <c r="QKW127"/>
      <c r="QKX127"/>
      <c r="QKY127"/>
      <c r="QKZ127"/>
      <c r="QLA127"/>
      <c r="QLB127"/>
      <c r="QLC127"/>
      <c r="QLD127"/>
      <c r="QLE127"/>
      <c r="QLF127"/>
      <c r="QLG127"/>
      <c r="QLH127"/>
      <c r="QLI127"/>
      <c r="QLJ127"/>
      <c r="QLK127"/>
      <c r="QLL127"/>
      <c r="QLM127"/>
      <c r="QLN127"/>
      <c r="QLO127"/>
      <c r="QLP127"/>
      <c r="QLQ127"/>
      <c r="QLR127"/>
      <c r="QLS127"/>
      <c r="QLT127"/>
      <c r="QLU127"/>
      <c r="QLV127"/>
      <c r="QLW127"/>
      <c r="QLX127"/>
      <c r="QLY127"/>
      <c r="QLZ127"/>
      <c r="QMA127"/>
      <c r="QMB127"/>
      <c r="QMC127"/>
      <c r="QMD127"/>
      <c r="QME127"/>
      <c r="QMF127"/>
      <c r="QMG127"/>
      <c r="QMH127"/>
      <c r="QMI127"/>
      <c r="QMJ127"/>
      <c r="QMK127"/>
      <c r="QML127"/>
      <c r="QMM127"/>
      <c r="QMN127"/>
      <c r="QMO127"/>
      <c r="QMP127"/>
      <c r="QMQ127"/>
      <c r="QMR127"/>
      <c r="QMS127"/>
      <c r="QMT127"/>
      <c r="QMU127"/>
      <c r="QMV127"/>
      <c r="QMW127"/>
      <c r="QMX127"/>
      <c r="QMY127"/>
      <c r="QMZ127"/>
      <c r="QNA127"/>
      <c r="QNB127"/>
      <c r="QNC127"/>
      <c r="QND127"/>
      <c r="QNE127"/>
      <c r="QNF127"/>
      <c r="QNG127"/>
      <c r="QNH127"/>
      <c r="QNI127"/>
      <c r="QNJ127"/>
      <c r="QNK127"/>
      <c r="QNL127"/>
      <c r="QNM127"/>
      <c r="QNN127"/>
      <c r="QNO127"/>
      <c r="QNP127"/>
      <c r="QNQ127"/>
      <c r="QNR127"/>
      <c r="QNS127"/>
      <c r="QNT127"/>
      <c r="QNU127"/>
      <c r="QNV127"/>
      <c r="QNW127"/>
      <c r="QNX127"/>
      <c r="QNY127"/>
      <c r="QNZ127"/>
      <c r="QOA127"/>
      <c r="QOB127"/>
      <c r="QOC127"/>
      <c r="QOD127"/>
      <c r="QOE127"/>
      <c r="QOF127"/>
      <c r="QOG127"/>
      <c r="QOH127"/>
      <c r="QOI127"/>
      <c r="QOJ127"/>
      <c r="QOK127"/>
      <c r="QOL127"/>
      <c r="QOM127"/>
      <c r="QON127"/>
      <c r="QOO127"/>
      <c r="QOP127"/>
      <c r="QOQ127"/>
      <c r="QOR127"/>
      <c r="QOS127"/>
      <c r="QOT127"/>
      <c r="QOU127"/>
      <c r="QOV127"/>
      <c r="QOW127"/>
      <c r="QOX127"/>
      <c r="QOY127"/>
      <c r="QOZ127"/>
      <c r="QPA127"/>
      <c r="QPB127"/>
      <c r="QPC127"/>
      <c r="QPD127"/>
      <c r="QPE127"/>
      <c r="QPF127"/>
      <c r="QPG127"/>
      <c r="QPH127"/>
      <c r="QPI127"/>
      <c r="QPJ127"/>
      <c r="QPK127"/>
      <c r="QPL127"/>
      <c r="QPM127"/>
      <c r="QPN127"/>
      <c r="QPO127"/>
      <c r="QPP127"/>
      <c r="QPQ127"/>
      <c r="QPR127"/>
      <c r="QPS127"/>
      <c r="QPT127"/>
      <c r="QPU127"/>
      <c r="QPV127"/>
      <c r="QPW127"/>
      <c r="QPX127"/>
      <c r="QPY127"/>
      <c r="QPZ127"/>
      <c r="QQA127"/>
      <c r="QQB127"/>
      <c r="QQC127"/>
      <c r="QQD127"/>
      <c r="QQE127"/>
      <c r="QQF127"/>
      <c r="QQG127"/>
      <c r="QQH127"/>
      <c r="QQI127"/>
      <c r="QQJ127"/>
      <c r="QQK127"/>
      <c r="QQL127"/>
      <c r="QQM127"/>
      <c r="QQN127"/>
      <c r="QQO127"/>
      <c r="QQP127"/>
      <c r="QQQ127"/>
      <c r="QQR127"/>
      <c r="QQS127"/>
      <c r="QQT127"/>
      <c r="QQU127"/>
      <c r="QQV127"/>
      <c r="QQW127"/>
      <c r="QQX127"/>
      <c r="QQY127"/>
      <c r="QQZ127"/>
      <c r="QRA127"/>
      <c r="QRB127"/>
      <c r="QRC127"/>
      <c r="QRD127"/>
      <c r="QRE127"/>
      <c r="QRF127"/>
      <c r="QRG127"/>
      <c r="QRH127"/>
      <c r="QRI127"/>
      <c r="QRJ127"/>
      <c r="QRK127"/>
      <c r="QRL127"/>
      <c r="QRM127"/>
      <c r="QRN127"/>
      <c r="QRO127"/>
      <c r="QRP127"/>
      <c r="QRQ127"/>
      <c r="QRR127"/>
      <c r="QRS127"/>
      <c r="QRT127"/>
      <c r="QRU127"/>
      <c r="QRV127"/>
      <c r="QRW127"/>
      <c r="QRX127"/>
      <c r="QRY127"/>
      <c r="QRZ127"/>
      <c r="QSA127"/>
      <c r="QSB127"/>
      <c r="QSC127"/>
      <c r="QSD127"/>
      <c r="QSE127"/>
      <c r="QSF127"/>
      <c r="QSG127"/>
      <c r="QSH127"/>
      <c r="QSI127"/>
      <c r="QSJ127"/>
      <c r="QSK127"/>
      <c r="QSL127"/>
      <c r="QSM127"/>
      <c r="QSN127"/>
      <c r="QSO127"/>
      <c r="QSP127"/>
      <c r="QSQ127"/>
      <c r="QSR127"/>
      <c r="QSS127"/>
      <c r="QST127"/>
      <c r="QSU127"/>
      <c r="QSV127"/>
      <c r="QSW127"/>
      <c r="QSX127"/>
      <c r="QSY127"/>
      <c r="QSZ127"/>
      <c r="QTA127"/>
      <c r="QTB127"/>
      <c r="QTC127"/>
      <c r="QTD127"/>
      <c r="QTE127"/>
      <c r="QTF127"/>
      <c r="QTG127"/>
      <c r="QTH127"/>
      <c r="QTI127"/>
      <c r="QTJ127"/>
      <c r="QTK127"/>
      <c r="QTL127"/>
      <c r="QTM127"/>
      <c r="QTN127"/>
      <c r="QTO127"/>
      <c r="QTP127"/>
      <c r="QTQ127"/>
      <c r="QTR127"/>
      <c r="QTS127"/>
      <c r="QTT127"/>
      <c r="QTU127"/>
      <c r="QTV127"/>
      <c r="QTW127"/>
      <c r="QTX127"/>
      <c r="QTY127"/>
      <c r="QTZ127"/>
      <c r="QUA127"/>
      <c r="QUB127"/>
      <c r="QUC127"/>
      <c r="QUD127"/>
      <c r="QUE127"/>
      <c r="QUF127"/>
      <c r="QUG127"/>
      <c r="QUH127"/>
      <c r="QUI127"/>
      <c r="QUJ127"/>
      <c r="QUK127"/>
      <c r="QUL127"/>
      <c r="QUM127"/>
      <c r="QUN127"/>
      <c r="QUO127"/>
      <c r="QUP127"/>
      <c r="QUQ127"/>
      <c r="QUR127"/>
      <c r="QUS127"/>
      <c r="QUT127"/>
      <c r="QUU127"/>
      <c r="QUV127"/>
      <c r="QUW127"/>
      <c r="QUX127"/>
      <c r="QUY127"/>
      <c r="QUZ127"/>
      <c r="QVA127"/>
      <c r="QVB127"/>
      <c r="QVC127"/>
      <c r="QVD127"/>
      <c r="QVE127"/>
      <c r="QVF127"/>
      <c r="QVG127"/>
      <c r="QVH127"/>
      <c r="QVI127"/>
      <c r="QVJ127"/>
      <c r="QVK127"/>
      <c r="QVL127"/>
      <c r="QVM127"/>
      <c r="QVN127"/>
      <c r="QVO127"/>
      <c r="QVP127"/>
      <c r="QVQ127"/>
      <c r="QVR127"/>
      <c r="QVS127"/>
      <c r="QVT127"/>
      <c r="QVU127"/>
      <c r="QVV127"/>
      <c r="QVW127"/>
      <c r="QVX127"/>
      <c r="QVY127"/>
      <c r="QVZ127"/>
      <c r="QWA127"/>
      <c r="QWB127"/>
      <c r="QWC127"/>
      <c r="QWD127"/>
      <c r="QWE127"/>
      <c r="QWF127"/>
      <c r="QWG127"/>
      <c r="QWH127"/>
      <c r="QWI127"/>
      <c r="QWJ127"/>
      <c r="QWK127"/>
      <c r="QWL127"/>
      <c r="QWM127"/>
      <c r="QWN127"/>
      <c r="QWO127"/>
      <c r="QWP127"/>
      <c r="QWQ127"/>
      <c r="QWR127"/>
      <c r="QWS127"/>
      <c r="QWT127"/>
      <c r="QWU127"/>
      <c r="QWV127"/>
      <c r="QWW127"/>
      <c r="QWX127"/>
      <c r="QWY127"/>
      <c r="QWZ127"/>
      <c r="QXA127"/>
      <c r="QXB127"/>
      <c r="QXC127"/>
      <c r="QXD127"/>
      <c r="QXE127"/>
      <c r="QXF127"/>
      <c r="QXG127"/>
      <c r="QXH127"/>
      <c r="QXI127"/>
      <c r="QXJ127"/>
      <c r="QXK127"/>
      <c r="QXL127"/>
      <c r="QXM127"/>
      <c r="QXN127"/>
      <c r="QXO127"/>
      <c r="QXP127"/>
      <c r="QXQ127"/>
      <c r="QXR127"/>
      <c r="QXS127"/>
      <c r="QXT127"/>
      <c r="QXU127"/>
      <c r="QXV127"/>
      <c r="QXW127"/>
      <c r="QXX127"/>
      <c r="QXY127"/>
      <c r="QXZ127"/>
      <c r="QYA127"/>
      <c r="QYB127"/>
      <c r="QYC127"/>
      <c r="QYD127"/>
      <c r="QYE127"/>
      <c r="QYF127"/>
      <c r="QYG127"/>
      <c r="QYH127"/>
      <c r="QYI127"/>
      <c r="QYJ127"/>
      <c r="QYK127"/>
      <c r="QYL127"/>
      <c r="QYM127"/>
      <c r="QYN127"/>
      <c r="QYO127"/>
      <c r="QYP127"/>
      <c r="QYQ127"/>
      <c r="QYR127"/>
      <c r="QYS127"/>
      <c r="QYT127"/>
      <c r="QYU127"/>
      <c r="QYV127"/>
      <c r="QYW127"/>
      <c r="QYX127"/>
      <c r="QYY127"/>
      <c r="QYZ127"/>
      <c r="QZA127"/>
      <c r="QZB127"/>
      <c r="QZC127"/>
      <c r="QZD127"/>
      <c r="QZE127"/>
      <c r="QZF127"/>
      <c r="QZG127"/>
      <c r="QZH127"/>
      <c r="QZI127"/>
      <c r="QZJ127"/>
      <c r="QZK127"/>
      <c r="QZL127"/>
      <c r="QZM127"/>
      <c r="QZN127"/>
      <c r="QZO127"/>
      <c r="QZP127"/>
      <c r="QZQ127"/>
      <c r="QZR127"/>
      <c r="QZS127"/>
      <c r="QZT127"/>
      <c r="QZU127"/>
      <c r="QZV127"/>
      <c r="QZW127"/>
      <c r="QZX127"/>
      <c r="QZY127"/>
      <c r="QZZ127"/>
      <c r="RAA127"/>
      <c r="RAB127"/>
      <c r="RAC127"/>
      <c r="RAD127"/>
      <c r="RAE127"/>
      <c r="RAF127"/>
      <c r="RAG127"/>
      <c r="RAH127"/>
      <c r="RAI127"/>
      <c r="RAJ127"/>
      <c r="RAK127"/>
      <c r="RAL127"/>
      <c r="RAM127"/>
      <c r="RAN127"/>
      <c r="RAO127"/>
      <c r="RAP127"/>
      <c r="RAQ127"/>
      <c r="RAR127"/>
      <c r="RAS127"/>
      <c r="RAT127"/>
      <c r="RAU127"/>
      <c r="RAV127"/>
      <c r="RAW127"/>
      <c r="RAX127"/>
      <c r="RAY127"/>
      <c r="RAZ127"/>
      <c r="RBA127"/>
      <c r="RBB127"/>
      <c r="RBC127"/>
      <c r="RBD127"/>
      <c r="RBE127"/>
      <c r="RBF127"/>
      <c r="RBG127"/>
      <c r="RBH127"/>
      <c r="RBI127"/>
      <c r="RBJ127"/>
      <c r="RBK127"/>
      <c r="RBL127"/>
      <c r="RBM127"/>
      <c r="RBN127"/>
      <c r="RBO127"/>
      <c r="RBP127"/>
      <c r="RBQ127"/>
      <c r="RBR127"/>
      <c r="RBS127"/>
      <c r="RBT127"/>
      <c r="RBU127"/>
      <c r="RBV127"/>
      <c r="RBW127"/>
      <c r="RBX127"/>
      <c r="RBY127"/>
      <c r="RBZ127"/>
      <c r="RCA127"/>
      <c r="RCB127"/>
      <c r="RCC127"/>
      <c r="RCD127"/>
      <c r="RCE127"/>
      <c r="RCF127"/>
      <c r="RCG127"/>
      <c r="RCH127"/>
      <c r="RCI127"/>
      <c r="RCJ127"/>
      <c r="RCK127"/>
      <c r="RCL127"/>
      <c r="RCM127"/>
      <c r="RCN127"/>
      <c r="RCO127"/>
      <c r="RCP127"/>
      <c r="RCQ127"/>
      <c r="RCR127"/>
      <c r="RCS127"/>
      <c r="RCT127"/>
      <c r="RCU127"/>
      <c r="RCV127"/>
      <c r="RCW127"/>
      <c r="RCX127"/>
      <c r="RCY127"/>
      <c r="RCZ127"/>
      <c r="RDA127"/>
      <c r="RDB127"/>
      <c r="RDC127"/>
      <c r="RDD127"/>
      <c r="RDE127"/>
      <c r="RDF127"/>
      <c r="RDG127"/>
      <c r="RDH127"/>
      <c r="RDI127"/>
      <c r="RDJ127"/>
      <c r="RDK127"/>
      <c r="RDL127"/>
      <c r="RDM127"/>
      <c r="RDN127"/>
      <c r="RDO127"/>
      <c r="RDP127"/>
      <c r="RDQ127"/>
      <c r="RDR127"/>
      <c r="RDS127"/>
      <c r="RDT127"/>
      <c r="RDU127"/>
      <c r="RDV127"/>
      <c r="RDW127"/>
      <c r="RDX127"/>
      <c r="RDY127"/>
      <c r="RDZ127"/>
      <c r="REA127"/>
      <c r="REB127"/>
      <c r="REC127"/>
      <c r="RED127"/>
      <c r="REE127"/>
      <c r="REF127"/>
      <c r="REG127"/>
      <c r="REH127"/>
      <c r="REI127"/>
      <c r="REJ127"/>
      <c r="REK127"/>
      <c r="REL127"/>
      <c r="REM127"/>
      <c r="REN127"/>
      <c r="REO127"/>
      <c r="REP127"/>
      <c r="REQ127"/>
      <c r="RER127"/>
      <c r="RES127"/>
      <c r="RET127"/>
      <c r="REU127"/>
      <c r="REV127"/>
      <c r="REW127"/>
      <c r="REX127"/>
      <c r="REY127"/>
      <c r="REZ127"/>
      <c r="RFA127"/>
      <c r="RFB127"/>
      <c r="RFC127"/>
      <c r="RFD127"/>
      <c r="RFE127"/>
      <c r="RFF127"/>
      <c r="RFG127"/>
      <c r="RFH127"/>
      <c r="RFI127"/>
      <c r="RFJ127"/>
      <c r="RFK127"/>
      <c r="RFL127"/>
      <c r="RFM127"/>
      <c r="RFN127"/>
      <c r="RFO127"/>
      <c r="RFP127"/>
      <c r="RFQ127"/>
      <c r="RFR127"/>
      <c r="RFS127"/>
      <c r="RFT127"/>
      <c r="RFU127"/>
      <c r="RFV127"/>
      <c r="RFW127"/>
      <c r="RFX127"/>
      <c r="RFY127"/>
      <c r="RFZ127"/>
      <c r="RGA127"/>
      <c r="RGB127"/>
      <c r="RGC127"/>
      <c r="RGD127"/>
      <c r="RGE127"/>
      <c r="RGF127"/>
      <c r="RGG127"/>
      <c r="RGH127"/>
      <c r="RGI127"/>
      <c r="RGJ127"/>
      <c r="RGK127"/>
      <c r="RGL127"/>
      <c r="RGM127"/>
      <c r="RGN127"/>
      <c r="RGO127"/>
      <c r="RGP127"/>
      <c r="RGQ127"/>
      <c r="RGR127"/>
      <c r="RGS127"/>
      <c r="RGT127"/>
      <c r="RGU127"/>
      <c r="RGV127"/>
      <c r="RGW127"/>
      <c r="RGX127"/>
      <c r="RGY127"/>
      <c r="RGZ127"/>
      <c r="RHA127"/>
      <c r="RHB127"/>
      <c r="RHC127"/>
      <c r="RHD127"/>
      <c r="RHE127"/>
      <c r="RHF127"/>
      <c r="RHG127"/>
      <c r="RHH127"/>
      <c r="RHI127"/>
      <c r="RHJ127"/>
      <c r="RHK127"/>
      <c r="RHL127"/>
      <c r="RHM127"/>
      <c r="RHN127"/>
      <c r="RHO127"/>
      <c r="RHP127"/>
      <c r="RHQ127"/>
      <c r="RHR127"/>
      <c r="RHS127"/>
      <c r="RHT127"/>
      <c r="RHU127"/>
      <c r="RHV127"/>
      <c r="RHW127"/>
      <c r="RHX127"/>
      <c r="RHY127"/>
      <c r="RHZ127"/>
      <c r="RIA127"/>
      <c r="RIB127"/>
      <c r="RIC127"/>
      <c r="RID127"/>
      <c r="RIE127"/>
      <c r="RIF127"/>
      <c r="RIG127"/>
      <c r="RIH127"/>
      <c r="RII127"/>
      <c r="RIJ127"/>
      <c r="RIK127"/>
      <c r="RIL127"/>
      <c r="RIM127"/>
      <c r="RIN127"/>
      <c r="RIO127"/>
      <c r="RIP127"/>
      <c r="RIQ127"/>
      <c r="RIR127"/>
      <c r="RIS127"/>
      <c r="RIT127"/>
      <c r="RIU127"/>
      <c r="RIV127"/>
      <c r="RIW127"/>
      <c r="RIX127"/>
      <c r="RIY127"/>
      <c r="RIZ127"/>
      <c r="RJA127"/>
      <c r="RJB127"/>
      <c r="RJC127"/>
      <c r="RJD127"/>
      <c r="RJE127"/>
      <c r="RJF127"/>
      <c r="RJG127"/>
      <c r="RJH127"/>
      <c r="RJI127"/>
      <c r="RJJ127"/>
      <c r="RJK127"/>
      <c r="RJL127"/>
      <c r="RJM127"/>
      <c r="RJN127"/>
      <c r="RJO127"/>
      <c r="RJP127"/>
      <c r="RJQ127"/>
      <c r="RJR127"/>
      <c r="RJS127"/>
      <c r="RJT127"/>
      <c r="RJU127"/>
      <c r="RJV127"/>
      <c r="RJW127"/>
      <c r="RJX127"/>
      <c r="RJY127"/>
      <c r="RJZ127"/>
      <c r="RKA127"/>
      <c r="RKB127"/>
      <c r="RKC127"/>
      <c r="RKD127"/>
      <c r="RKE127"/>
      <c r="RKF127"/>
      <c r="RKG127"/>
      <c r="RKH127"/>
      <c r="RKI127"/>
      <c r="RKJ127"/>
      <c r="RKK127"/>
      <c r="RKL127"/>
      <c r="RKM127"/>
      <c r="RKN127"/>
      <c r="RKO127"/>
      <c r="RKP127"/>
      <c r="RKQ127"/>
      <c r="RKR127"/>
      <c r="RKS127"/>
      <c r="RKT127"/>
      <c r="RKU127"/>
      <c r="RKV127"/>
      <c r="RKW127"/>
      <c r="RKX127"/>
      <c r="RKY127"/>
      <c r="RKZ127"/>
      <c r="RLA127"/>
      <c r="RLB127"/>
      <c r="RLC127"/>
      <c r="RLD127"/>
      <c r="RLE127"/>
      <c r="RLF127"/>
      <c r="RLG127"/>
      <c r="RLH127"/>
      <c r="RLI127"/>
      <c r="RLJ127"/>
      <c r="RLK127"/>
      <c r="RLL127"/>
      <c r="RLM127"/>
      <c r="RLN127"/>
      <c r="RLO127"/>
      <c r="RLP127"/>
      <c r="RLQ127"/>
      <c r="RLR127"/>
      <c r="RLS127"/>
      <c r="RLT127"/>
      <c r="RLU127"/>
      <c r="RLV127"/>
      <c r="RLW127"/>
      <c r="RLX127"/>
      <c r="RLY127"/>
      <c r="RLZ127"/>
      <c r="RMA127"/>
      <c r="RMB127"/>
      <c r="RMC127"/>
      <c r="RMD127"/>
      <c r="RME127"/>
      <c r="RMF127"/>
      <c r="RMG127"/>
      <c r="RMH127"/>
      <c r="RMI127"/>
      <c r="RMJ127"/>
      <c r="RMK127"/>
      <c r="RML127"/>
      <c r="RMM127"/>
      <c r="RMN127"/>
      <c r="RMO127"/>
      <c r="RMP127"/>
      <c r="RMQ127"/>
      <c r="RMR127"/>
      <c r="RMS127"/>
      <c r="RMT127"/>
      <c r="RMU127"/>
      <c r="RMV127"/>
      <c r="RMW127"/>
      <c r="RMX127"/>
      <c r="RMY127"/>
      <c r="RMZ127"/>
      <c r="RNA127"/>
      <c r="RNB127"/>
      <c r="RNC127"/>
      <c r="RND127"/>
      <c r="RNE127"/>
      <c r="RNF127"/>
      <c r="RNG127"/>
      <c r="RNH127"/>
      <c r="RNI127"/>
      <c r="RNJ127"/>
      <c r="RNK127"/>
      <c r="RNL127"/>
      <c r="RNM127"/>
      <c r="RNN127"/>
      <c r="RNO127"/>
      <c r="RNP127"/>
      <c r="RNQ127"/>
      <c r="RNR127"/>
      <c r="RNS127"/>
      <c r="RNT127"/>
      <c r="RNU127"/>
      <c r="RNV127"/>
      <c r="RNW127"/>
      <c r="RNX127"/>
      <c r="RNY127"/>
      <c r="RNZ127"/>
      <c r="ROA127"/>
      <c r="ROB127"/>
      <c r="ROC127"/>
      <c r="ROD127"/>
      <c r="ROE127"/>
      <c r="ROF127"/>
      <c r="ROG127"/>
      <c r="ROH127"/>
      <c r="ROI127"/>
      <c r="ROJ127"/>
      <c r="ROK127"/>
      <c r="ROL127"/>
      <c r="ROM127"/>
      <c r="RON127"/>
      <c r="ROO127"/>
      <c r="ROP127"/>
      <c r="ROQ127"/>
      <c r="ROR127"/>
      <c r="ROS127"/>
      <c r="ROT127"/>
      <c r="ROU127"/>
      <c r="ROV127"/>
      <c r="ROW127"/>
      <c r="ROX127"/>
      <c r="ROY127"/>
      <c r="ROZ127"/>
      <c r="RPA127"/>
      <c r="RPB127"/>
      <c r="RPC127"/>
      <c r="RPD127"/>
      <c r="RPE127"/>
      <c r="RPF127"/>
      <c r="RPG127"/>
      <c r="RPH127"/>
      <c r="RPI127"/>
      <c r="RPJ127"/>
      <c r="RPK127"/>
      <c r="RPL127"/>
      <c r="RPM127"/>
      <c r="RPN127"/>
      <c r="RPO127"/>
      <c r="RPP127"/>
      <c r="RPQ127"/>
      <c r="RPR127"/>
      <c r="RPS127"/>
      <c r="RPT127"/>
      <c r="RPU127"/>
      <c r="RPV127"/>
      <c r="RPW127"/>
      <c r="RPX127"/>
      <c r="RPY127"/>
      <c r="RPZ127"/>
      <c r="RQA127"/>
      <c r="RQB127"/>
      <c r="RQC127"/>
      <c r="RQD127"/>
      <c r="RQE127"/>
      <c r="RQF127"/>
      <c r="RQG127"/>
      <c r="RQH127"/>
      <c r="RQI127"/>
      <c r="RQJ127"/>
      <c r="RQK127"/>
      <c r="RQL127"/>
      <c r="RQM127"/>
      <c r="RQN127"/>
      <c r="RQO127"/>
      <c r="RQP127"/>
      <c r="RQQ127"/>
      <c r="RQR127"/>
      <c r="RQS127"/>
      <c r="RQT127"/>
      <c r="RQU127"/>
      <c r="RQV127"/>
      <c r="RQW127"/>
      <c r="RQX127"/>
      <c r="RQY127"/>
      <c r="RQZ127"/>
      <c r="RRA127"/>
      <c r="RRB127"/>
      <c r="RRC127"/>
      <c r="RRD127"/>
      <c r="RRE127"/>
      <c r="RRF127"/>
      <c r="RRG127"/>
      <c r="RRH127"/>
      <c r="RRI127"/>
      <c r="RRJ127"/>
      <c r="RRK127"/>
      <c r="RRL127"/>
      <c r="RRM127"/>
      <c r="RRN127"/>
      <c r="RRO127"/>
      <c r="RRP127"/>
      <c r="RRQ127"/>
      <c r="RRR127"/>
      <c r="RRS127"/>
      <c r="RRT127"/>
      <c r="RRU127"/>
      <c r="RRV127"/>
      <c r="RRW127"/>
      <c r="RRX127"/>
      <c r="RRY127"/>
      <c r="RRZ127"/>
      <c r="RSA127"/>
      <c r="RSB127"/>
      <c r="RSC127"/>
      <c r="RSD127"/>
      <c r="RSE127"/>
      <c r="RSF127"/>
      <c r="RSG127"/>
      <c r="RSH127"/>
      <c r="RSI127"/>
      <c r="RSJ127"/>
      <c r="RSK127"/>
      <c r="RSL127"/>
      <c r="RSM127"/>
      <c r="RSN127"/>
      <c r="RSO127"/>
      <c r="RSP127"/>
      <c r="RSQ127"/>
      <c r="RSR127"/>
      <c r="RSS127"/>
      <c r="RST127"/>
      <c r="RSU127"/>
      <c r="RSV127"/>
      <c r="RSW127"/>
      <c r="RSX127"/>
      <c r="RSY127"/>
      <c r="RSZ127"/>
      <c r="RTA127"/>
      <c r="RTB127"/>
      <c r="RTC127"/>
      <c r="RTD127"/>
      <c r="RTE127"/>
      <c r="RTF127"/>
      <c r="RTG127"/>
      <c r="RTH127"/>
      <c r="RTI127"/>
      <c r="RTJ127"/>
      <c r="RTK127"/>
      <c r="RTL127"/>
      <c r="RTM127"/>
      <c r="RTN127"/>
      <c r="RTO127"/>
      <c r="RTP127"/>
      <c r="RTQ127"/>
      <c r="RTR127"/>
      <c r="RTS127"/>
      <c r="RTT127"/>
      <c r="RTU127"/>
      <c r="RTV127"/>
      <c r="RTW127"/>
      <c r="RTX127"/>
      <c r="RTY127"/>
      <c r="RTZ127"/>
      <c r="RUA127"/>
      <c r="RUB127"/>
      <c r="RUC127"/>
      <c r="RUD127"/>
      <c r="RUE127"/>
      <c r="RUF127"/>
      <c r="RUG127"/>
      <c r="RUH127"/>
      <c r="RUI127"/>
      <c r="RUJ127"/>
      <c r="RUK127"/>
      <c r="RUL127"/>
      <c r="RUM127"/>
      <c r="RUN127"/>
      <c r="RUO127"/>
      <c r="RUP127"/>
      <c r="RUQ127"/>
      <c r="RUR127"/>
      <c r="RUS127"/>
      <c r="RUT127"/>
      <c r="RUU127"/>
      <c r="RUV127"/>
      <c r="RUW127"/>
      <c r="RUX127"/>
      <c r="RUY127"/>
      <c r="RUZ127"/>
      <c r="RVA127"/>
      <c r="RVB127"/>
      <c r="RVC127"/>
      <c r="RVD127"/>
      <c r="RVE127"/>
      <c r="RVF127"/>
      <c r="RVG127"/>
      <c r="RVH127"/>
      <c r="RVI127"/>
      <c r="RVJ127"/>
      <c r="RVK127"/>
      <c r="RVL127"/>
      <c r="RVM127"/>
      <c r="RVN127"/>
      <c r="RVO127"/>
      <c r="RVP127"/>
      <c r="RVQ127"/>
      <c r="RVR127"/>
      <c r="RVS127"/>
      <c r="RVT127"/>
      <c r="RVU127"/>
      <c r="RVV127"/>
      <c r="RVW127"/>
      <c r="RVX127"/>
      <c r="RVY127"/>
      <c r="RVZ127"/>
      <c r="RWA127"/>
      <c r="RWB127"/>
      <c r="RWC127"/>
      <c r="RWD127"/>
      <c r="RWE127"/>
      <c r="RWF127"/>
      <c r="RWG127"/>
      <c r="RWH127"/>
      <c r="RWI127"/>
      <c r="RWJ127"/>
      <c r="RWK127"/>
      <c r="RWL127"/>
      <c r="RWM127"/>
      <c r="RWN127"/>
      <c r="RWO127"/>
      <c r="RWP127"/>
      <c r="RWQ127"/>
      <c r="RWR127"/>
      <c r="RWS127"/>
      <c r="RWT127"/>
      <c r="RWU127"/>
      <c r="RWV127"/>
      <c r="RWW127"/>
      <c r="RWX127"/>
      <c r="RWY127"/>
      <c r="RWZ127"/>
      <c r="RXA127"/>
      <c r="RXB127"/>
      <c r="RXC127"/>
      <c r="RXD127"/>
      <c r="RXE127"/>
      <c r="RXF127"/>
      <c r="RXG127"/>
      <c r="RXH127"/>
      <c r="RXI127"/>
      <c r="RXJ127"/>
      <c r="RXK127"/>
      <c r="RXL127"/>
      <c r="RXM127"/>
      <c r="RXN127"/>
      <c r="RXO127"/>
      <c r="RXP127"/>
      <c r="RXQ127"/>
      <c r="RXR127"/>
      <c r="RXS127"/>
      <c r="RXT127"/>
      <c r="RXU127"/>
      <c r="RXV127"/>
      <c r="RXW127"/>
      <c r="RXX127"/>
      <c r="RXY127"/>
      <c r="RXZ127"/>
      <c r="RYA127"/>
      <c r="RYB127"/>
      <c r="RYC127"/>
      <c r="RYD127"/>
      <c r="RYE127"/>
      <c r="RYF127"/>
      <c r="RYG127"/>
      <c r="RYH127"/>
      <c r="RYI127"/>
      <c r="RYJ127"/>
      <c r="RYK127"/>
      <c r="RYL127"/>
      <c r="RYM127"/>
      <c r="RYN127"/>
      <c r="RYO127"/>
      <c r="RYP127"/>
      <c r="RYQ127"/>
      <c r="RYR127"/>
      <c r="RYS127"/>
      <c r="RYT127"/>
      <c r="RYU127"/>
      <c r="RYV127"/>
      <c r="RYW127"/>
      <c r="RYX127"/>
      <c r="RYY127"/>
      <c r="RYZ127"/>
      <c r="RZA127"/>
      <c r="RZB127"/>
      <c r="RZC127"/>
      <c r="RZD127"/>
      <c r="RZE127"/>
      <c r="RZF127"/>
      <c r="RZG127"/>
      <c r="RZH127"/>
      <c r="RZI127"/>
      <c r="RZJ127"/>
      <c r="RZK127"/>
      <c r="RZL127"/>
      <c r="RZM127"/>
      <c r="RZN127"/>
      <c r="RZO127"/>
      <c r="RZP127"/>
      <c r="RZQ127"/>
      <c r="RZR127"/>
      <c r="RZS127"/>
      <c r="RZT127"/>
      <c r="RZU127"/>
      <c r="RZV127"/>
      <c r="RZW127"/>
      <c r="RZX127"/>
      <c r="RZY127"/>
      <c r="RZZ127"/>
      <c r="SAA127"/>
      <c r="SAB127"/>
      <c r="SAC127"/>
      <c r="SAD127"/>
      <c r="SAE127"/>
      <c r="SAF127"/>
      <c r="SAG127"/>
      <c r="SAH127"/>
      <c r="SAI127"/>
      <c r="SAJ127"/>
      <c r="SAK127"/>
      <c r="SAL127"/>
      <c r="SAM127"/>
      <c r="SAN127"/>
      <c r="SAO127"/>
      <c r="SAP127"/>
      <c r="SAQ127"/>
      <c r="SAR127"/>
      <c r="SAS127"/>
      <c r="SAT127"/>
      <c r="SAU127"/>
      <c r="SAV127"/>
      <c r="SAW127"/>
      <c r="SAX127"/>
      <c r="SAY127"/>
      <c r="SAZ127"/>
      <c r="SBA127"/>
      <c r="SBB127"/>
      <c r="SBC127"/>
      <c r="SBD127"/>
      <c r="SBE127"/>
      <c r="SBF127"/>
      <c r="SBG127"/>
      <c r="SBH127"/>
      <c r="SBI127"/>
      <c r="SBJ127"/>
      <c r="SBK127"/>
      <c r="SBL127"/>
      <c r="SBM127"/>
      <c r="SBN127"/>
      <c r="SBO127"/>
      <c r="SBP127"/>
      <c r="SBQ127"/>
      <c r="SBR127"/>
      <c r="SBS127"/>
      <c r="SBT127"/>
      <c r="SBU127"/>
      <c r="SBV127"/>
      <c r="SBW127"/>
      <c r="SBX127"/>
      <c r="SBY127"/>
      <c r="SBZ127"/>
      <c r="SCA127"/>
      <c r="SCB127"/>
      <c r="SCC127"/>
      <c r="SCD127"/>
      <c r="SCE127"/>
      <c r="SCF127"/>
      <c r="SCG127"/>
      <c r="SCH127"/>
      <c r="SCI127"/>
      <c r="SCJ127"/>
      <c r="SCK127"/>
      <c r="SCL127"/>
      <c r="SCM127"/>
      <c r="SCN127"/>
      <c r="SCO127"/>
      <c r="SCP127"/>
      <c r="SCQ127"/>
      <c r="SCR127"/>
      <c r="SCS127"/>
      <c r="SCT127"/>
      <c r="SCU127"/>
      <c r="SCV127"/>
      <c r="SCW127"/>
      <c r="SCX127"/>
      <c r="SCY127"/>
      <c r="SCZ127"/>
      <c r="SDA127"/>
      <c r="SDB127"/>
      <c r="SDC127"/>
      <c r="SDD127"/>
      <c r="SDE127"/>
      <c r="SDF127"/>
      <c r="SDG127"/>
      <c r="SDH127"/>
      <c r="SDI127"/>
      <c r="SDJ127"/>
      <c r="SDK127"/>
      <c r="SDL127"/>
      <c r="SDM127"/>
      <c r="SDN127"/>
      <c r="SDO127"/>
      <c r="SDP127"/>
      <c r="SDQ127"/>
      <c r="SDR127"/>
      <c r="SDS127"/>
      <c r="SDT127"/>
      <c r="SDU127"/>
      <c r="SDV127"/>
      <c r="SDW127"/>
      <c r="SDX127"/>
      <c r="SDY127"/>
      <c r="SDZ127"/>
      <c r="SEA127"/>
      <c r="SEB127"/>
      <c r="SEC127"/>
      <c r="SED127"/>
      <c r="SEE127"/>
      <c r="SEF127"/>
      <c r="SEG127"/>
      <c r="SEH127"/>
      <c r="SEI127"/>
      <c r="SEJ127"/>
      <c r="SEK127"/>
      <c r="SEL127"/>
      <c r="SEM127"/>
      <c r="SEN127"/>
      <c r="SEO127"/>
      <c r="SEP127"/>
      <c r="SEQ127"/>
      <c r="SER127"/>
      <c r="SES127"/>
      <c r="SET127"/>
      <c r="SEU127"/>
      <c r="SEV127"/>
      <c r="SEW127"/>
      <c r="SEX127"/>
      <c r="SEY127"/>
      <c r="SEZ127"/>
      <c r="SFA127"/>
      <c r="SFB127"/>
      <c r="SFC127"/>
      <c r="SFD127"/>
      <c r="SFE127"/>
      <c r="SFF127"/>
      <c r="SFG127"/>
      <c r="SFH127"/>
      <c r="SFI127"/>
      <c r="SFJ127"/>
      <c r="SFK127"/>
      <c r="SFL127"/>
      <c r="SFM127"/>
      <c r="SFN127"/>
      <c r="SFO127"/>
      <c r="SFP127"/>
      <c r="SFQ127"/>
      <c r="SFR127"/>
      <c r="SFS127"/>
      <c r="SFT127"/>
      <c r="SFU127"/>
      <c r="SFV127"/>
      <c r="SFW127"/>
      <c r="SFX127"/>
      <c r="SFY127"/>
      <c r="SFZ127"/>
      <c r="SGA127"/>
      <c r="SGB127"/>
      <c r="SGC127"/>
      <c r="SGD127"/>
      <c r="SGE127"/>
      <c r="SGF127"/>
      <c r="SGG127"/>
      <c r="SGH127"/>
      <c r="SGI127"/>
      <c r="SGJ127"/>
      <c r="SGK127"/>
      <c r="SGL127"/>
      <c r="SGM127"/>
      <c r="SGN127"/>
      <c r="SGO127"/>
      <c r="SGP127"/>
      <c r="SGQ127"/>
      <c r="SGR127"/>
      <c r="SGS127"/>
      <c r="SGT127"/>
      <c r="SGU127"/>
      <c r="SGV127"/>
      <c r="SGW127"/>
      <c r="SGX127"/>
      <c r="SGY127"/>
      <c r="SGZ127"/>
      <c r="SHA127"/>
      <c r="SHB127"/>
      <c r="SHC127"/>
      <c r="SHD127"/>
      <c r="SHE127"/>
      <c r="SHF127"/>
      <c r="SHG127"/>
      <c r="SHH127"/>
      <c r="SHI127"/>
      <c r="SHJ127"/>
      <c r="SHK127"/>
      <c r="SHL127"/>
      <c r="SHM127"/>
      <c r="SHN127"/>
      <c r="SHO127"/>
      <c r="SHP127"/>
      <c r="SHQ127"/>
      <c r="SHR127"/>
      <c r="SHS127"/>
      <c r="SHT127"/>
      <c r="SHU127"/>
      <c r="SHV127"/>
      <c r="SHW127"/>
      <c r="SHX127"/>
      <c r="SHY127"/>
      <c r="SHZ127"/>
      <c r="SIA127"/>
      <c r="SIB127"/>
      <c r="SIC127"/>
      <c r="SID127"/>
      <c r="SIE127"/>
      <c r="SIF127"/>
      <c r="SIG127"/>
      <c r="SIH127"/>
      <c r="SII127"/>
      <c r="SIJ127"/>
      <c r="SIK127"/>
      <c r="SIL127"/>
      <c r="SIM127"/>
      <c r="SIN127"/>
      <c r="SIO127"/>
      <c r="SIP127"/>
      <c r="SIQ127"/>
      <c r="SIR127"/>
      <c r="SIS127"/>
      <c r="SIT127"/>
      <c r="SIU127"/>
      <c r="SIV127"/>
      <c r="SIW127"/>
      <c r="SIX127"/>
      <c r="SIY127"/>
      <c r="SIZ127"/>
      <c r="SJA127"/>
      <c r="SJB127"/>
      <c r="SJC127"/>
      <c r="SJD127"/>
      <c r="SJE127"/>
      <c r="SJF127"/>
      <c r="SJG127"/>
      <c r="SJH127"/>
      <c r="SJI127"/>
      <c r="SJJ127"/>
      <c r="SJK127"/>
      <c r="SJL127"/>
      <c r="SJM127"/>
      <c r="SJN127"/>
      <c r="SJO127"/>
      <c r="SJP127"/>
      <c r="SJQ127"/>
      <c r="SJR127"/>
      <c r="SJS127"/>
      <c r="SJT127"/>
      <c r="SJU127"/>
      <c r="SJV127"/>
      <c r="SJW127"/>
      <c r="SJX127"/>
      <c r="SJY127"/>
      <c r="SJZ127"/>
      <c r="SKA127"/>
      <c r="SKB127"/>
      <c r="SKC127"/>
      <c r="SKD127"/>
      <c r="SKE127"/>
      <c r="SKF127"/>
      <c r="SKG127"/>
      <c r="SKH127"/>
      <c r="SKI127"/>
      <c r="SKJ127"/>
      <c r="SKK127"/>
      <c r="SKL127"/>
      <c r="SKM127"/>
      <c r="SKN127"/>
      <c r="SKO127"/>
      <c r="SKP127"/>
      <c r="SKQ127"/>
      <c r="SKR127"/>
      <c r="SKS127"/>
      <c r="SKT127"/>
      <c r="SKU127"/>
      <c r="SKV127"/>
      <c r="SKW127"/>
      <c r="SKX127"/>
      <c r="SKY127"/>
      <c r="SKZ127"/>
      <c r="SLA127"/>
      <c r="SLB127"/>
      <c r="SLC127"/>
      <c r="SLD127"/>
      <c r="SLE127"/>
      <c r="SLF127"/>
      <c r="SLG127"/>
      <c r="SLH127"/>
      <c r="SLI127"/>
      <c r="SLJ127"/>
      <c r="SLK127"/>
      <c r="SLL127"/>
      <c r="SLM127"/>
      <c r="SLN127"/>
      <c r="SLO127"/>
      <c r="SLP127"/>
      <c r="SLQ127"/>
      <c r="SLR127"/>
      <c r="SLS127"/>
      <c r="SLT127"/>
      <c r="SLU127"/>
      <c r="SLV127"/>
      <c r="SLW127"/>
      <c r="SLX127"/>
      <c r="SLY127"/>
      <c r="SLZ127"/>
      <c r="SMA127"/>
      <c r="SMB127"/>
      <c r="SMC127"/>
      <c r="SMD127"/>
      <c r="SME127"/>
      <c r="SMF127"/>
      <c r="SMG127"/>
      <c r="SMH127"/>
      <c r="SMI127"/>
      <c r="SMJ127"/>
      <c r="SMK127"/>
      <c r="SML127"/>
      <c r="SMM127"/>
      <c r="SMN127"/>
      <c r="SMO127"/>
      <c r="SMP127"/>
      <c r="SMQ127"/>
      <c r="SMR127"/>
      <c r="SMS127"/>
      <c r="SMT127"/>
      <c r="SMU127"/>
      <c r="SMV127"/>
      <c r="SMW127"/>
      <c r="SMX127"/>
      <c r="SMY127"/>
      <c r="SMZ127"/>
      <c r="SNA127"/>
      <c r="SNB127"/>
      <c r="SNC127"/>
      <c r="SND127"/>
      <c r="SNE127"/>
      <c r="SNF127"/>
      <c r="SNG127"/>
      <c r="SNH127"/>
      <c r="SNI127"/>
      <c r="SNJ127"/>
      <c r="SNK127"/>
      <c r="SNL127"/>
      <c r="SNM127"/>
      <c r="SNN127"/>
      <c r="SNO127"/>
      <c r="SNP127"/>
      <c r="SNQ127"/>
      <c r="SNR127"/>
      <c r="SNS127"/>
      <c r="SNT127"/>
      <c r="SNU127"/>
      <c r="SNV127"/>
      <c r="SNW127"/>
      <c r="SNX127"/>
      <c r="SNY127"/>
      <c r="SNZ127"/>
      <c r="SOA127"/>
      <c r="SOB127"/>
      <c r="SOC127"/>
      <c r="SOD127"/>
      <c r="SOE127"/>
      <c r="SOF127"/>
      <c r="SOG127"/>
      <c r="SOH127"/>
      <c r="SOI127"/>
      <c r="SOJ127"/>
      <c r="SOK127"/>
      <c r="SOL127"/>
      <c r="SOM127"/>
      <c r="SON127"/>
      <c r="SOO127"/>
      <c r="SOP127"/>
      <c r="SOQ127"/>
      <c r="SOR127"/>
      <c r="SOS127"/>
      <c r="SOT127"/>
      <c r="SOU127"/>
      <c r="SOV127"/>
      <c r="SOW127"/>
      <c r="SOX127"/>
      <c r="SOY127"/>
      <c r="SOZ127"/>
      <c r="SPA127"/>
      <c r="SPB127"/>
      <c r="SPC127"/>
      <c r="SPD127"/>
      <c r="SPE127"/>
      <c r="SPF127"/>
      <c r="SPG127"/>
      <c r="SPH127"/>
      <c r="SPI127"/>
      <c r="SPJ127"/>
      <c r="SPK127"/>
      <c r="SPL127"/>
      <c r="SPM127"/>
      <c r="SPN127"/>
      <c r="SPO127"/>
      <c r="SPP127"/>
      <c r="SPQ127"/>
      <c r="SPR127"/>
      <c r="SPS127"/>
      <c r="SPT127"/>
      <c r="SPU127"/>
      <c r="SPV127"/>
      <c r="SPW127"/>
      <c r="SPX127"/>
      <c r="SPY127"/>
      <c r="SPZ127"/>
      <c r="SQA127"/>
      <c r="SQB127"/>
      <c r="SQC127"/>
      <c r="SQD127"/>
      <c r="SQE127"/>
      <c r="SQF127"/>
      <c r="SQG127"/>
      <c r="SQH127"/>
      <c r="SQI127"/>
      <c r="SQJ127"/>
      <c r="SQK127"/>
      <c r="SQL127"/>
      <c r="SQM127"/>
      <c r="SQN127"/>
      <c r="SQO127"/>
      <c r="SQP127"/>
      <c r="SQQ127"/>
      <c r="SQR127"/>
      <c r="SQS127"/>
      <c r="SQT127"/>
      <c r="SQU127"/>
      <c r="SQV127"/>
      <c r="SQW127"/>
      <c r="SQX127"/>
      <c r="SQY127"/>
      <c r="SQZ127"/>
      <c r="SRA127"/>
      <c r="SRB127"/>
      <c r="SRC127"/>
      <c r="SRD127"/>
      <c r="SRE127"/>
      <c r="SRF127"/>
      <c r="SRG127"/>
      <c r="SRH127"/>
      <c r="SRI127"/>
      <c r="SRJ127"/>
      <c r="SRK127"/>
      <c r="SRL127"/>
      <c r="SRM127"/>
      <c r="SRN127"/>
      <c r="SRO127"/>
      <c r="SRP127"/>
      <c r="SRQ127"/>
      <c r="SRR127"/>
      <c r="SRS127"/>
      <c r="SRT127"/>
      <c r="SRU127"/>
      <c r="SRV127"/>
      <c r="SRW127"/>
      <c r="SRX127"/>
      <c r="SRY127"/>
      <c r="SRZ127"/>
      <c r="SSA127"/>
      <c r="SSB127"/>
      <c r="SSC127"/>
      <c r="SSD127"/>
      <c r="SSE127"/>
      <c r="SSF127"/>
      <c r="SSG127"/>
      <c r="SSH127"/>
      <c r="SSI127"/>
      <c r="SSJ127"/>
      <c r="SSK127"/>
      <c r="SSL127"/>
      <c r="SSM127"/>
      <c r="SSN127"/>
      <c r="SSO127"/>
      <c r="SSP127"/>
      <c r="SSQ127"/>
      <c r="SSR127"/>
      <c r="SSS127"/>
      <c r="SST127"/>
      <c r="SSU127"/>
      <c r="SSV127"/>
      <c r="SSW127"/>
      <c r="SSX127"/>
      <c r="SSY127"/>
      <c r="SSZ127"/>
      <c r="STA127"/>
      <c r="STB127"/>
      <c r="STC127"/>
      <c r="STD127"/>
      <c r="STE127"/>
      <c r="STF127"/>
      <c r="STG127"/>
      <c r="STH127"/>
      <c r="STI127"/>
      <c r="STJ127"/>
      <c r="STK127"/>
      <c r="STL127"/>
      <c r="STM127"/>
      <c r="STN127"/>
      <c r="STO127"/>
      <c r="STP127"/>
      <c r="STQ127"/>
      <c r="STR127"/>
      <c r="STS127"/>
      <c r="STT127"/>
      <c r="STU127"/>
      <c r="STV127"/>
      <c r="STW127"/>
      <c r="STX127"/>
      <c r="STY127"/>
      <c r="STZ127"/>
      <c r="SUA127"/>
      <c r="SUB127"/>
      <c r="SUC127"/>
      <c r="SUD127"/>
      <c r="SUE127"/>
      <c r="SUF127"/>
      <c r="SUG127"/>
      <c r="SUH127"/>
      <c r="SUI127"/>
      <c r="SUJ127"/>
      <c r="SUK127"/>
      <c r="SUL127"/>
      <c r="SUM127"/>
      <c r="SUN127"/>
      <c r="SUO127"/>
      <c r="SUP127"/>
      <c r="SUQ127"/>
      <c r="SUR127"/>
      <c r="SUS127"/>
      <c r="SUT127"/>
      <c r="SUU127"/>
      <c r="SUV127"/>
      <c r="SUW127"/>
      <c r="SUX127"/>
      <c r="SUY127"/>
      <c r="SUZ127"/>
      <c r="SVA127"/>
      <c r="SVB127"/>
      <c r="SVC127"/>
      <c r="SVD127"/>
      <c r="SVE127"/>
      <c r="SVF127"/>
      <c r="SVG127"/>
      <c r="SVH127"/>
      <c r="SVI127"/>
      <c r="SVJ127"/>
      <c r="SVK127"/>
      <c r="SVL127"/>
      <c r="SVM127"/>
      <c r="SVN127"/>
      <c r="SVO127"/>
      <c r="SVP127"/>
      <c r="SVQ127"/>
      <c r="SVR127"/>
      <c r="SVS127"/>
      <c r="SVT127"/>
      <c r="SVU127"/>
      <c r="SVV127"/>
      <c r="SVW127"/>
      <c r="SVX127"/>
      <c r="SVY127"/>
      <c r="SVZ127"/>
      <c r="SWA127"/>
      <c r="SWB127"/>
      <c r="SWC127"/>
      <c r="SWD127"/>
      <c r="SWE127"/>
      <c r="SWF127"/>
      <c r="SWG127"/>
      <c r="SWH127"/>
      <c r="SWI127"/>
      <c r="SWJ127"/>
      <c r="SWK127"/>
      <c r="SWL127"/>
      <c r="SWM127"/>
      <c r="SWN127"/>
      <c r="SWO127"/>
      <c r="SWP127"/>
      <c r="SWQ127"/>
      <c r="SWR127"/>
      <c r="SWS127"/>
      <c r="SWT127"/>
      <c r="SWU127"/>
      <c r="SWV127"/>
      <c r="SWW127"/>
      <c r="SWX127"/>
      <c r="SWY127"/>
      <c r="SWZ127"/>
      <c r="SXA127"/>
      <c r="SXB127"/>
      <c r="SXC127"/>
      <c r="SXD127"/>
      <c r="SXE127"/>
      <c r="SXF127"/>
      <c r="SXG127"/>
      <c r="SXH127"/>
      <c r="SXI127"/>
      <c r="SXJ127"/>
      <c r="SXK127"/>
      <c r="SXL127"/>
      <c r="SXM127"/>
      <c r="SXN127"/>
      <c r="SXO127"/>
      <c r="SXP127"/>
      <c r="SXQ127"/>
      <c r="SXR127"/>
      <c r="SXS127"/>
      <c r="SXT127"/>
      <c r="SXU127"/>
      <c r="SXV127"/>
      <c r="SXW127"/>
      <c r="SXX127"/>
      <c r="SXY127"/>
      <c r="SXZ127"/>
      <c r="SYA127"/>
      <c r="SYB127"/>
      <c r="SYC127"/>
      <c r="SYD127"/>
      <c r="SYE127"/>
      <c r="SYF127"/>
      <c r="SYG127"/>
      <c r="SYH127"/>
      <c r="SYI127"/>
      <c r="SYJ127"/>
      <c r="SYK127"/>
      <c r="SYL127"/>
      <c r="SYM127"/>
      <c r="SYN127"/>
      <c r="SYO127"/>
      <c r="SYP127"/>
      <c r="SYQ127"/>
      <c r="SYR127"/>
      <c r="SYS127"/>
      <c r="SYT127"/>
      <c r="SYU127"/>
      <c r="SYV127"/>
      <c r="SYW127"/>
      <c r="SYX127"/>
      <c r="SYY127"/>
      <c r="SYZ127"/>
      <c r="SZA127"/>
      <c r="SZB127"/>
      <c r="SZC127"/>
      <c r="SZD127"/>
      <c r="SZE127"/>
      <c r="SZF127"/>
      <c r="SZG127"/>
      <c r="SZH127"/>
      <c r="SZI127"/>
      <c r="SZJ127"/>
      <c r="SZK127"/>
      <c r="SZL127"/>
      <c r="SZM127"/>
      <c r="SZN127"/>
      <c r="SZO127"/>
      <c r="SZP127"/>
      <c r="SZQ127"/>
      <c r="SZR127"/>
      <c r="SZS127"/>
      <c r="SZT127"/>
      <c r="SZU127"/>
      <c r="SZV127"/>
      <c r="SZW127"/>
      <c r="SZX127"/>
      <c r="SZY127"/>
      <c r="SZZ127"/>
      <c r="TAA127"/>
      <c r="TAB127"/>
      <c r="TAC127"/>
      <c r="TAD127"/>
      <c r="TAE127"/>
      <c r="TAF127"/>
      <c r="TAG127"/>
      <c r="TAH127"/>
      <c r="TAI127"/>
      <c r="TAJ127"/>
      <c r="TAK127"/>
      <c r="TAL127"/>
      <c r="TAM127"/>
      <c r="TAN127"/>
      <c r="TAO127"/>
      <c r="TAP127"/>
      <c r="TAQ127"/>
      <c r="TAR127"/>
      <c r="TAS127"/>
      <c r="TAT127"/>
      <c r="TAU127"/>
      <c r="TAV127"/>
      <c r="TAW127"/>
      <c r="TAX127"/>
      <c r="TAY127"/>
      <c r="TAZ127"/>
      <c r="TBA127"/>
      <c r="TBB127"/>
      <c r="TBC127"/>
      <c r="TBD127"/>
      <c r="TBE127"/>
      <c r="TBF127"/>
      <c r="TBG127"/>
      <c r="TBH127"/>
      <c r="TBI127"/>
      <c r="TBJ127"/>
      <c r="TBK127"/>
      <c r="TBL127"/>
      <c r="TBM127"/>
      <c r="TBN127"/>
      <c r="TBO127"/>
      <c r="TBP127"/>
      <c r="TBQ127"/>
      <c r="TBR127"/>
      <c r="TBS127"/>
      <c r="TBT127"/>
      <c r="TBU127"/>
      <c r="TBV127"/>
      <c r="TBW127"/>
      <c r="TBX127"/>
      <c r="TBY127"/>
      <c r="TBZ127"/>
      <c r="TCA127"/>
      <c r="TCB127"/>
      <c r="TCC127"/>
      <c r="TCD127"/>
      <c r="TCE127"/>
      <c r="TCF127"/>
      <c r="TCG127"/>
      <c r="TCH127"/>
      <c r="TCI127"/>
      <c r="TCJ127"/>
      <c r="TCK127"/>
      <c r="TCL127"/>
      <c r="TCM127"/>
      <c r="TCN127"/>
      <c r="TCO127"/>
      <c r="TCP127"/>
      <c r="TCQ127"/>
      <c r="TCR127"/>
      <c r="TCS127"/>
      <c r="TCT127"/>
      <c r="TCU127"/>
      <c r="TCV127"/>
      <c r="TCW127"/>
      <c r="TCX127"/>
      <c r="TCY127"/>
      <c r="TCZ127"/>
      <c r="TDA127"/>
      <c r="TDB127"/>
      <c r="TDC127"/>
      <c r="TDD127"/>
      <c r="TDE127"/>
      <c r="TDF127"/>
      <c r="TDG127"/>
      <c r="TDH127"/>
      <c r="TDI127"/>
      <c r="TDJ127"/>
      <c r="TDK127"/>
      <c r="TDL127"/>
      <c r="TDM127"/>
      <c r="TDN127"/>
      <c r="TDO127"/>
      <c r="TDP127"/>
      <c r="TDQ127"/>
      <c r="TDR127"/>
      <c r="TDS127"/>
      <c r="TDT127"/>
      <c r="TDU127"/>
      <c r="TDV127"/>
      <c r="TDW127"/>
      <c r="TDX127"/>
      <c r="TDY127"/>
      <c r="TDZ127"/>
      <c r="TEA127"/>
      <c r="TEB127"/>
      <c r="TEC127"/>
      <c r="TED127"/>
      <c r="TEE127"/>
      <c r="TEF127"/>
      <c r="TEG127"/>
      <c r="TEH127"/>
      <c r="TEI127"/>
      <c r="TEJ127"/>
      <c r="TEK127"/>
      <c r="TEL127"/>
      <c r="TEM127"/>
      <c r="TEN127"/>
      <c r="TEO127"/>
      <c r="TEP127"/>
      <c r="TEQ127"/>
      <c r="TER127"/>
      <c r="TES127"/>
      <c r="TET127"/>
      <c r="TEU127"/>
      <c r="TEV127"/>
      <c r="TEW127"/>
      <c r="TEX127"/>
      <c r="TEY127"/>
      <c r="TEZ127"/>
      <c r="TFA127"/>
      <c r="TFB127"/>
      <c r="TFC127"/>
      <c r="TFD127"/>
      <c r="TFE127"/>
      <c r="TFF127"/>
      <c r="TFG127"/>
      <c r="TFH127"/>
      <c r="TFI127"/>
      <c r="TFJ127"/>
      <c r="TFK127"/>
      <c r="TFL127"/>
      <c r="TFM127"/>
      <c r="TFN127"/>
      <c r="TFO127"/>
      <c r="TFP127"/>
      <c r="TFQ127"/>
      <c r="TFR127"/>
      <c r="TFS127"/>
      <c r="TFT127"/>
      <c r="TFU127"/>
      <c r="TFV127"/>
      <c r="TFW127"/>
      <c r="TFX127"/>
      <c r="TFY127"/>
      <c r="TFZ127"/>
      <c r="TGA127"/>
      <c r="TGB127"/>
      <c r="TGC127"/>
      <c r="TGD127"/>
      <c r="TGE127"/>
      <c r="TGF127"/>
      <c r="TGG127"/>
      <c r="TGH127"/>
      <c r="TGI127"/>
      <c r="TGJ127"/>
      <c r="TGK127"/>
      <c r="TGL127"/>
      <c r="TGM127"/>
      <c r="TGN127"/>
      <c r="TGO127"/>
      <c r="TGP127"/>
      <c r="TGQ127"/>
      <c r="TGR127"/>
      <c r="TGS127"/>
      <c r="TGT127"/>
      <c r="TGU127"/>
      <c r="TGV127"/>
      <c r="TGW127"/>
      <c r="TGX127"/>
      <c r="TGY127"/>
      <c r="TGZ127"/>
      <c r="THA127"/>
      <c r="THB127"/>
      <c r="THC127"/>
      <c r="THD127"/>
      <c r="THE127"/>
      <c r="THF127"/>
      <c r="THG127"/>
      <c r="THH127"/>
      <c r="THI127"/>
      <c r="THJ127"/>
      <c r="THK127"/>
      <c r="THL127"/>
      <c r="THM127"/>
      <c r="THN127"/>
      <c r="THO127"/>
      <c r="THP127"/>
      <c r="THQ127"/>
      <c r="THR127"/>
      <c r="THS127"/>
      <c r="THT127"/>
      <c r="THU127"/>
      <c r="THV127"/>
      <c r="THW127"/>
      <c r="THX127"/>
      <c r="THY127"/>
      <c r="THZ127"/>
      <c r="TIA127"/>
      <c r="TIB127"/>
      <c r="TIC127"/>
      <c r="TID127"/>
      <c r="TIE127"/>
      <c r="TIF127"/>
      <c r="TIG127"/>
      <c r="TIH127"/>
      <c r="TII127"/>
      <c r="TIJ127"/>
      <c r="TIK127"/>
      <c r="TIL127"/>
      <c r="TIM127"/>
      <c r="TIN127"/>
      <c r="TIO127"/>
      <c r="TIP127"/>
      <c r="TIQ127"/>
      <c r="TIR127"/>
      <c r="TIS127"/>
      <c r="TIT127"/>
      <c r="TIU127"/>
      <c r="TIV127"/>
      <c r="TIW127"/>
      <c r="TIX127"/>
      <c r="TIY127"/>
      <c r="TIZ127"/>
      <c r="TJA127"/>
      <c r="TJB127"/>
      <c r="TJC127"/>
      <c r="TJD127"/>
      <c r="TJE127"/>
      <c r="TJF127"/>
      <c r="TJG127"/>
      <c r="TJH127"/>
      <c r="TJI127"/>
      <c r="TJJ127"/>
      <c r="TJK127"/>
      <c r="TJL127"/>
      <c r="TJM127"/>
      <c r="TJN127"/>
      <c r="TJO127"/>
      <c r="TJP127"/>
      <c r="TJQ127"/>
      <c r="TJR127"/>
      <c r="TJS127"/>
      <c r="TJT127"/>
      <c r="TJU127"/>
      <c r="TJV127"/>
      <c r="TJW127"/>
      <c r="TJX127"/>
      <c r="TJY127"/>
      <c r="TJZ127"/>
      <c r="TKA127"/>
      <c r="TKB127"/>
      <c r="TKC127"/>
      <c r="TKD127"/>
      <c r="TKE127"/>
      <c r="TKF127"/>
      <c r="TKG127"/>
      <c r="TKH127"/>
      <c r="TKI127"/>
      <c r="TKJ127"/>
      <c r="TKK127"/>
      <c r="TKL127"/>
      <c r="TKM127"/>
      <c r="TKN127"/>
      <c r="TKO127"/>
      <c r="TKP127"/>
      <c r="TKQ127"/>
      <c r="TKR127"/>
      <c r="TKS127"/>
      <c r="TKT127"/>
      <c r="TKU127"/>
      <c r="TKV127"/>
      <c r="TKW127"/>
      <c r="TKX127"/>
      <c r="TKY127"/>
      <c r="TKZ127"/>
      <c r="TLA127"/>
      <c r="TLB127"/>
      <c r="TLC127"/>
      <c r="TLD127"/>
      <c r="TLE127"/>
      <c r="TLF127"/>
      <c r="TLG127"/>
      <c r="TLH127"/>
      <c r="TLI127"/>
      <c r="TLJ127"/>
      <c r="TLK127"/>
      <c r="TLL127"/>
      <c r="TLM127"/>
      <c r="TLN127"/>
      <c r="TLO127"/>
      <c r="TLP127"/>
      <c r="TLQ127"/>
      <c r="TLR127"/>
      <c r="TLS127"/>
      <c r="TLT127"/>
      <c r="TLU127"/>
      <c r="TLV127"/>
      <c r="TLW127"/>
      <c r="TLX127"/>
      <c r="TLY127"/>
      <c r="TLZ127"/>
      <c r="TMA127"/>
      <c r="TMB127"/>
      <c r="TMC127"/>
      <c r="TMD127"/>
      <c r="TME127"/>
      <c r="TMF127"/>
      <c r="TMG127"/>
      <c r="TMH127"/>
      <c r="TMI127"/>
      <c r="TMJ127"/>
      <c r="TMK127"/>
      <c r="TML127"/>
      <c r="TMM127"/>
      <c r="TMN127"/>
      <c r="TMO127"/>
      <c r="TMP127"/>
      <c r="TMQ127"/>
      <c r="TMR127"/>
      <c r="TMS127"/>
      <c r="TMT127"/>
      <c r="TMU127"/>
      <c r="TMV127"/>
      <c r="TMW127"/>
      <c r="TMX127"/>
      <c r="TMY127"/>
      <c r="TMZ127"/>
      <c r="TNA127"/>
      <c r="TNB127"/>
      <c r="TNC127"/>
      <c r="TND127"/>
      <c r="TNE127"/>
      <c r="TNF127"/>
      <c r="TNG127"/>
      <c r="TNH127"/>
      <c r="TNI127"/>
      <c r="TNJ127"/>
      <c r="TNK127"/>
      <c r="TNL127"/>
      <c r="TNM127"/>
      <c r="TNN127"/>
      <c r="TNO127"/>
      <c r="TNP127"/>
      <c r="TNQ127"/>
      <c r="TNR127"/>
      <c r="TNS127"/>
      <c r="TNT127"/>
      <c r="TNU127"/>
      <c r="TNV127"/>
      <c r="TNW127"/>
      <c r="TNX127"/>
      <c r="TNY127"/>
      <c r="TNZ127"/>
      <c r="TOA127"/>
      <c r="TOB127"/>
      <c r="TOC127"/>
      <c r="TOD127"/>
      <c r="TOE127"/>
      <c r="TOF127"/>
      <c r="TOG127"/>
      <c r="TOH127"/>
      <c r="TOI127"/>
      <c r="TOJ127"/>
      <c r="TOK127"/>
      <c r="TOL127"/>
      <c r="TOM127"/>
      <c r="TON127"/>
      <c r="TOO127"/>
      <c r="TOP127"/>
      <c r="TOQ127"/>
      <c r="TOR127"/>
      <c r="TOS127"/>
      <c r="TOT127"/>
      <c r="TOU127"/>
      <c r="TOV127"/>
      <c r="TOW127"/>
      <c r="TOX127"/>
      <c r="TOY127"/>
      <c r="TOZ127"/>
      <c r="TPA127"/>
      <c r="TPB127"/>
      <c r="TPC127"/>
      <c r="TPD127"/>
      <c r="TPE127"/>
      <c r="TPF127"/>
      <c r="TPG127"/>
      <c r="TPH127"/>
      <c r="TPI127"/>
      <c r="TPJ127"/>
      <c r="TPK127"/>
      <c r="TPL127"/>
      <c r="TPM127"/>
      <c r="TPN127"/>
      <c r="TPO127"/>
      <c r="TPP127"/>
      <c r="TPQ127"/>
      <c r="TPR127"/>
      <c r="TPS127"/>
      <c r="TPT127"/>
      <c r="TPU127"/>
      <c r="TPV127"/>
      <c r="TPW127"/>
      <c r="TPX127"/>
      <c r="TPY127"/>
      <c r="TPZ127"/>
      <c r="TQA127"/>
      <c r="TQB127"/>
      <c r="TQC127"/>
      <c r="TQD127"/>
      <c r="TQE127"/>
      <c r="TQF127"/>
      <c r="TQG127"/>
      <c r="TQH127"/>
      <c r="TQI127"/>
      <c r="TQJ127"/>
      <c r="TQK127"/>
      <c r="TQL127"/>
      <c r="TQM127"/>
      <c r="TQN127"/>
      <c r="TQO127"/>
      <c r="TQP127"/>
      <c r="TQQ127"/>
      <c r="TQR127"/>
      <c r="TQS127"/>
      <c r="TQT127"/>
      <c r="TQU127"/>
      <c r="TQV127"/>
      <c r="TQW127"/>
      <c r="TQX127"/>
      <c r="TQY127"/>
      <c r="TQZ127"/>
      <c r="TRA127"/>
      <c r="TRB127"/>
      <c r="TRC127"/>
      <c r="TRD127"/>
      <c r="TRE127"/>
      <c r="TRF127"/>
      <c r="TRG127"/>
      <c r="TRH127"/>
      <c r="TRI127"/>
      <c r="TRJ127"/>
      <c r="TRK127"/>
      <c r="TRL127"/>
      <c r="TRM127"/>
      <c r="TRN127"/>
      <c r="TRO127"/>
      <c r="TRP127"/>
      <c r="TRQ127"/>
      <c r="TRR127"/>
      <c r="TRS127"/>
      <c r="TRT127"/>
      <c r="TRU127"/>
      <c r="TRV127"/>
      <c r="TRW127"/>
      <c r="TRX127"/>
      <c r="TRY127"/>
      <c r="TRZ127"/>
      <c r="TSA127"/>
      <c r="TSB127"/>
      <c r="TSC127"/>
      <c r="TSD127"/>
      <c r="TSE127"/>
      <c r="TSF127"/>
      <c r="TSG127"/>
      <c r="TSH127"/>
      <c r="TSI127"/>
      <c r="TSJ127"/>
      <c r="TSK127"/>
      <c r="TSL127"/>
      <c r="TSM127"/>
      <c r="TSN127"/>
      <c r="TSO127"/>
      <c r="TSP127"/>
      <c r="TSQ127"/>
      <c r="TSR127"/>
      <c r="TSS127"/>
      <c r="TST127"/>
      <c r="TSU127"/>
      <c r="TSV127"/>
      <c r="TSW127"/>
      <c r="TSX127"/>
      <c r="TSY127"/>
      <c r="TSZ127"/>
      <c r="TTA127"/>
      <c r="TTB127"/>
      <c r="TTC127"/>
      <c r="TTD127"/>
      <c r="TTE127"/>
      <c r="TTF127"/>
      <c r="TTG127"/>
      <c r="TTH127"/>
      <c r="TTI127"/>
      <c r="TTJ127"/>
      <c r="TTK127"/>
      <c r="TTL127"/>
      <c r="TTM127"/>
      <c r="TTN127"/>
      <c r="TTO127"/>
      <c r="TTP127"/>
      <c r="TTQ127"/>
      <c r="TTR127"/>
      <c r="TTS127"/>
      <c r="TTT127"/>
      <c r="TTU127"/>
      <c r="TTV127"/>
      <c r="TTW127"/>
      <c r="TTX127"/>
      <c r="TTY127"/>
      <c r="TTZ127"/>
      <c r="TUA127"/>
      <c r="TUB127"/>
      <c r="TUC127"/>
      <c r="TUD127"/>
      <c r="TUE127"/>
      <c r="TUF127"/>
      <c r="TUG127"/>
      <c r="TUH127"/>
      <c r="TUI127"/>
      <c r="TUJ127"/>
      <c r="TUK127"/>
      <c r="TUL127"/>
      <c r="TUM127"/>
      <c r="TUN127"/>
      <c r="TUO127"/>
      <c r="TUP127"/>
      <c r="TUQ127"/>
      <c r="TUR127"/>
      <c r="TUS127"/>
      <c r="TUT127"/>
      <c r="TUU127"/>
      <c r="TUV127"/>
      <c r="TUW127"/>
      <c r="TUX127"/>
      <c r="TUY127"/>
      <c r="TUZ127"/>
      <c r="TVA127"/>
      <c r="TVB127"/>
      <c r="TVC127"/>
      <c r="TVD127"/>
      <c r="TVE127"/>
      <c r="TVF127"/>
      <c r="TVG127"/>
      <c r="TVH127"/>
      <c r="TVI127"/>
      <c r="TVJ127"/>
      <c r="TVK127"/>
      <c r="TVL127"/>
      <c r="TVM127"/>
      <c r="TVN127"/>
      <c r="TVO127"/>
      <c r="TVP127"/>
      <c r="TVQ127"/>
      <c r="TVR127"/>
      <c r="TVS127"/>
      <c r="TVT127"/>
      <c r="TVU127"/>
      <c r="TVV127"/>
      <c r="TVW127"/>
      <c r="TVX127"/>
      <c r="TVY127"/>
      <c r="TVZ127"/>
      <c r="TWA127"/>
      <c r="TWB127"/>
      <c r="TWC127"/>
      <c r="TWD127"/>
      <c r="TWE127"/>
      <c r="TWF127"/>
      <c r="TWG127"/>
      <c r="TWH127"/>
      <c r="TWI127"/>
      <c r="TWJ127"/>
      <c r="TWK127"/>
      <c r="TWL127"/>
      <c r="TWM127"/>
      <c r="TWN127"/>
      <c r="TWO127"/>
      <c r="TWP127"/>
      <c r="TWQ127"/>
      <c r="TWR127"/>
      <c r="TWS127"/>
      <c r="TWT127"/>
      <c r="TWU127"/>
      <c r="TWV127"/>
      <c r="TWW127"/>
      <c r="TWX127"/>
      <c r="TWY127"/>
      <c r="TWZ127"/>
      <c r="TXA127"/>
      <c r="TXB127"/>
      <c r="TXC127"/>
      <c r="TXD127"/>
      <c r="TXE127"/>
      <c r="TXF127"/>
      <c r="TXG127"/>
      <c r="TXH127"/>
      <c r="TXI127"/>
      <c r="TXJ127"/>
      <c r="TXK127"/>
      <c r="TXL127"/>
      <c r="TXM127"/>
      <c r="TXN127"/>
      <c r="TXO127"/>
      <c r="TXP127"/>
      <c r="TXQ127"/>
      <c r="TXR127"/>
      <c r="TXS127"/>
      <c r="TXT127"/>
      <c r="TXU127"/>
      <c r="TXV127"/>
      <c r="TXW127"/>
      <c r="TXX127"/>
      <c r="TXY127"/>
      <c r="TXZ127"/>
      <c r="TYA127"/>
      <c r="TYB127"/>
      <c r="TYC127"/>
      <c r="TYD127"/>
      <c r="TYE127"/>
      <c r="TYF127"/>
      <c r="TYG127"/>
      <c r="TYH127"/>
      <c r="TYI127"/>
      <c r="TYJ127"/>
      <c r="TYK127"/>
      <c r="TYL127"/>
      <c r="TYM127"/>
      <c r="TYN127"/>
      <c r="TYO127"/>
      <c r="TYP127"/>
      <c r="TYQ127"/>
      <c r="TYR127"/>
      <c r="TYS127"/>
      <c r="TYT127"/>
      <c r="TYU127"/>
      <c r="TYV127"/>
      <c r="TYW127"/>
      <c r="TYX127"/>
      <c r="TYY127"/>
      <c r="TYZ127"/>
      <c r="TZA127"/>
      <c r="TZB127"/>
      <c r="TZC127"/>
      <c r="TZD127"/>
      <c r="TZE127"/>
      <c r="TZF127"/>
      <c r="TZG127"/>
      <c r="TZH127"/>
      <c r="TZI127"/>
      <c r="TZJ127"/>
      <c r="TZK127"/>
      <c r="TZL127"/>
      <c r="TZM127"/>
      <c r="TZN127"/>
      <c r="TZO127"/>
      <c r="TZP127"/>
      <c r="TZQ127"/>
      <c r="TZR127"/>
      <c r="TZS127"/>
      <c r="TZT127"/>
      <c r="TZU127"/>
      <c r="TZV127"/>
      <c r="TZW127"/>
      <c r="TZX127"/>
      <c r="TZY127"/>
      <c r="TZZ127"/>
      <c r="UAA127"/>
      <c r="UAB127"/>
      <c r="UAC127"/>
      <c r="UAD127"/>
      <c r="UAE127"/>
      <c r="UAF127"/>
      <c r="UAG127"/>
      <c r="UAH127"/>
      <c r="UAI127"/>
      <c r="UAJ127"/>
      <c r="UAK127"/>
      <c r="UAL127"/>
      <c r="UAM127"/>
      <c r="UAN127"/>
      <c r="UAO127"/>
      <c r="UAP127"/>
      <c r="UAQ127"/>
      <c r="UAR127"/>
      <c r="UAS127"/>
      <c r="UAT127"/>
      <c r="UAU127"/>
      <c r="UAV127"/>
      <c r="UAW127"/>
      <c r="UAX127"/>
      <c r="UAY127"/>
      <c r="UAZ127"/>
      <c r="UBA127"/>
      <c r="UBB127"/>
      <c r="UBC127"/>
      <c r="UBD127"/>
      <c r="UBE127"/>
      <c r="UBF127"/>
      <c r="UBG127"/>
      <c r="UBH127"/>
      <c r="UBI127"/>
      <c r="UBJ127"/>
      <c r="UBK127"/>
      <c r="UBL127"/>
      <c r="UBM127"/>
      <c r="UBN127"/>
      <c r="UBO127"/>
      <c r="UBP127"/>
      <c r="UBQ127"/>
      <c r="UBR127"/>
      <c r="UBS127"/>
      <c r="UBT127"/>
      <c r="UBU127"/>
      <c r="UBV127"/>
      <c r="UBW127"/>
      <c r="UBX127"/>
      <c r="UBY127"/>
      <c r="UBZ127"/>
      <c r="UCA127"/>
      <c r="UCB127"/>
      <c r="UCC127"/>
      <c r="UCD127"/>
      <c r="UCE127"/>
      <c r="UCF127"/>
      <c r="UCG127"/>
      <c r="UCH127"/>
      <c r="UCI127"/>
      <c r="UCJ127"/>
      <c r="UCK127"/>
      <c r="UCL127"/>
      <c r="UCM127"/>
      <c r="UCN127"/>
      <c r="UCO127"/>
      <c r="UCP127"/>
      <c r="UCQ127"/>
      <c r="UCR127"/>
      <c r="UCS127"/>
      <c r="UCT127"/>
      <c r="UCU127"/>
      <c r="UCV127"/>
      <c r="UCW127"/>
      <c r="UCX127"/>
      <c r="UCY127"/>
      <c r="UCZ127"/>
      <c r="UDA127"/>
      <c r="UDB127"/>
      <c r="UDC127"/>
      <c r="UDD127"/>
      <c r="UDE127"/>
      <c r="UDF127"/>
      <c r="UDG127"/>
      <c r="UDH127"/>
      <c r="UDI127"/>
      <c r="UDJ127"/>
      <c r="UDK127"/>
      <c r="UDL127"/>
      <c r="UDM127"/>
      <c r="UDN127"/>
      <c r="UDO127"/>
      <c r="UDP127"/>
      <c r="UDQ127"/>
      <c r="UDR127"/>
      <c r="UDS127"/>
      <c r="UDT127"/>
      <c r="UDU127"/>
      <c r="UDV127"/>
      <c r="UDW127"/>
      <c r="UDX127"/>
      <c r="UDY127"/>
      <c r="UDZ127"/>
      <c r="UEA127"/>
      <c r="UEB127"/>
      <c r="UEC127"/>
      <c r="UED127"/>
      <c r="UEE127"/>
      <c r="UEF127"/>
      <c r="UEG127"/>
      <c r="UEH127"/>
      <c r="UEI127"/>
      <c r="UEJ127"/>
      <c r="UEK127"/>
      <c r="UEL127"/>
      <c r="UEM127"/>
      <c r="UEN127"/>
      <c r="UEO127"/>
      <c r="UEP127"/>
      <c r="UEQ127"/>
      <c r="UER127"/>
      <c r="UES127"/>
      <c r="UET127"/>
      <c r="UEU127"/>
      <c r="UEV127"/>
      <c r="UEW127"/>
      <c r="UEX127"/>
      <c r="UEY127"/>
      <c r="UEZ127"/>
      <c r="UFA127"/>
      <c r="UFB127"/>
      <c r="UFC127"/>
      <c r="UFD127"/>
      <c r="UFE127"/>
      <c r="UFF127"/>
      <c r="UFG127"/>
      <c r="UFH127"/>
      <c r="UFI127"/>
      <c r="UFJ127"/>
      <c r="UFK127"/>
      <c r="UFL127"/>
      <c r="UFM127"/>
      <c r="UFN127"/>
      <c r="UFO127"/>
      <c r="UFP127"/>
      <c r="UFQ127"/>
      <c r="UFR127"/>
      <c r="UFS127"/>
      <c r="UFT127"/>
      <c r="UFU127"/>
      <c r="UFV127"/>
      <c r="UFW127"/>
      <c r="UFX127"/>
      <c r="UFY127"/>
      <c r="UFZ127"/>
      <c r="UGA127"/>
      <c r="UGB127"/>
      <c r="UGC127"/>
      <c r="UGD127"/>
      <c r="UGE127"/>
      <c r="UGF127"/>
      <c r="UGG127"/>
      <c r="UGH127"/>
      <c r="UGI127"/>
      <c r="UGJ127"/>
      <c r="UGK127"/>
      <c r="UGL127"/>
      <c r="UGM127"/>
      <c r="UGN127"/>
      <c r="UGO127"/>
      <c r="UGP127"/>
      <c r="UGQ127"/>
      <c r="UGR127"/>
      <c r="UGS127"/>
      <c r="UGT127"/>
      <c r="UGU127"/>
      <c r="UGV127"/>
      <c r="UGW127"/>
      <c r="UGX127"/>
      <c r="UGY127"/>
      <c r="UGZ127"/>
      <c r="UHA127"/>
      <c r="UHB127"/>
      <c r="UHC127"/>
      <c r="UHD127"/>
      <c r="UHE127"/>
      <c r="UHF127"/>
      <c r="UHG127"/>
      <c r="UHH127"/>
      <c r="UHI127"/>
      <c r="UHJ127"/>
      <c r="UHK127"/>
      <c r="UHL127"/>
      <c r="UHM127"/>
      <c r="UHN127"/>
      <c r="UHO127"/>
      <c r="UHP127"/>
      <c r="UHQ127"/>
      <c r="UHR127"/>
      <c r="UHS127"/>
      <c r="UHT127"/>
      <c r="UHU127"/>
      <c r="UHV127"/>
      <c r="UHW127"/>
      <c r="UHX127"/>
      <c r="UHY127"/>
      <c r="UHZ127"/>
      <c r="UIA127"/>
      <c r="UIB127"/>
      <c r="UIC127"/>
      <c r="UID127"/>
      <c r="UIE127"/>
      <c r="UIF127"/>
      <c r="UIG127"/>
      <c r="UIH127"/>
      <c r="UII127"/>
      <c r="UIJ127"/>
      <c r="UIK127"/>
      <c r="UIL127"/>
      <c r="UIM127"/>
      <c r="UIN127"/>
      <c r="UIO127"/>
      <c r="UIP127"/>
      <c r="UIQ127"/>
      <c r="UIR127"/>
      <c r="UIS127"/>
      <c r="UIT127"/>
      <c r="UIU127"/>
      <c r="UIV127"/>
      <c r="UIW127"/>
      <c r="UIX127"/>
      <c r="UIY127"/>
      <c r="UIZ127"/>
      <c r="UJA127"/>
      <c r="UJB127"/>
      <c r="UJC127"/>
      <c r="UJD127"/>
      <c r="UJE127"/>
      <c r="UJF127"/>
      <c r="UJG127"/>
      <c r="UJH127"/>
      <c r="UJI127"/>
      <c r="UJJ127"/>
      <c r="UJK127"/>
      <c r="UJL127"/>
      <c r="UJM127"/>
      <c r="UJN127"/>
      <c r="UJO127"/>
      <c r="UJP127"/>
      <c r="UJQ127"/>
      <c r="UJR127"/>
      <c r="UJS127"/>
      <c r="UJT127"/>
      <c r="UJU127"/>
      <c r="UJV127"/>
      <c r="UJW127"/>
      <c r="UJX127"/>
      <c r="UJY127"/>
      <c r="UJZ127"/>
      <c r="UKA127"/>
      <c r="UKB127"/>
      <c r="UKC127"/>
      <c r="UKD127"/>
      <c r="UKE127"/>
      <c r="UKF127"/>
      <c r="UKG127"/>
      <c r="UKH127"/>
      <c r="UKI127"/>
      <c r="UKJ127"/>
      <c r="UKK127"/>
      <c r="UKL127"/>
      <c r="UKM127"/>
      <c r="UKN127"/>
      <c r="UKO127"/>
      <c r="UKP127"/>
      <c r="UKQ127"/>
      <c r="UKR127"/>
      <c r="UKS127"/>
      <c r="UKT127"/>
      <c r="UKU127"/>
      <c r="UKV127"/>
      <c r="UKW127"/>
      <c r="UKX127"/>
      <c r="UKY127"/>
      <c r="UKZ127"/>
      <c r="ULA127"/>
      <c r="ULB127"/>
      <c r="ULC127"/>
      <c r="ULD127"/>
      <c r="ULE127"/>
      <c r="ULF127"/>
      <c r="ULG127"/>
      <c r="ULH127"/>
      <c r="ULI127"/>
      <c r="ULJ127"/>
      <c r="ULK127"/>
      <c r="ULL127"/>
      <c r="ULM127"/>
      <c r="ULN127"/>
      <c r="ULO127"/>
      <c r="ULP127"/>
      <c r="ULQ127"/>
      <c r="ULR127"/>
      <c r="ULS127"/>
      <c r="ULT127"/>
      <c r="ULU127"/>
      <c r="ULV127"/>
      <c r="ULW127"/>
      <c r="ULX127"/>
      <c r="ULY127"/>
      <c r="ULZ127"/>
      <c r="UMA127"/>
      <c r="UMB127"/>
      <c r="UMC127"/>
      <c r="UMD127"/>
      <c r="UME127"/>
      <c r="UMF127"/>
      <c r="UMG127"/>
      <c r="UMH127"/>
      <c r="UMI127"/>
      <c r="UMJ127"/>
      <c r="UMK127"/>
      <c r="UML127"/>
      <c r="UMM127"/>
      <c r="UMN127"/>
      <c r="UMO127"/>
      <c r="UMP127"/>
      <c r="UMQ127"/>
      <c r="UMR127"/>
      <c r="UMS127"/>
      <c r="UMT127"/>
      <c r="UMU127"/>
      <c r="UMV127"/>
      <c r="UMW127"/>
      <c r="UMX127"/>
      <c r="UMY127"/>
      <c r="UMZ127"/>
      <c r="UNA127"/>
      <c r="UNB127"/>
      <c r="UNC127"/>
      <c r="UND127"/>
      <c r="UNE127"/>
      <c r="UNF127"/>
      <c r="UNG127"/>
      <c r="UNH127"/>
      <c r="UNI127"/>
      <c r="UNJ127"/>
      <c r="UNK127"/>
      <c r="UNL127"/>
      <c r="UNM127"/>
      <c r="UNN127"/>
      <c r="UNO127"/>
      <c r="UNP127"/>
      <c r="UNQ127"/>
      <c r="UNR127"/>
      <c r="UNS127"/>
      <c r="UNT127"/>
      <c r="UNU127"/>
      <c r="UNV127"/>
      <c r="UNW127"/>
      <c r="UNX127"/>
      <c r="UNY127"/>
      <c r="UNZ127"/>
      <c r="UOA127"/>
      <c r="UOB127"/>
      <c r="UOC127"/>
      <c r="UOD127"/>
      <c r="UOE127"/>
      <c r="UOF127"/>
      <c r="UOG127"/>
      <c r="UOH127"/>
      <c r="UOI127"/>
      <c r="UOJ127"/>
      <c r="UOK127"/>
      <c r="UOL127"/>
      <c r="UOM127"/>
      <c r="UON127"/>
      <c r="UOO127"/>
      <c r="UOP127"/>
      <c r="UOQ127"/>
      <c r="UOR127"/>
      <c r="UOS127"/>
      <c r="UOT127"/>
      <c r="UOU127"/>
      <c r="UOV127"/>
      <c r="UOW127"/>
      <c r="UOX127"/>
      <c r="UOY127"/>
      <c r="UOZ127"/>
      <c r="UPA127"/>
      <c r="UPB127"/>
      <c r="UPC127"/>
      <c r="UPD127"/>
      <c r="UPE127"/>
      <c r="UPF127"/>
      <c r="UPG127"/>
      <c r="UPH127"/>
      <c r="UPI127"/>
      <c r="UPJ127"/>
      <c r="UPK127"/>
      <c r="UPL127"/>
      <c r="UPM127"/>
      <c r="UPN127"/>
      <c r="UPO127"/>
      <c r="UPP127"/>
      <c r="UPQ127"/>
      <c r="UPR127"/>
      <c r="UPS127"/>
      <c r="UPT127"/>
      <c r="UPU127"/>
      <c r="UPV127"/>
      <c r="UPW127"/>
      <c r="UPX127"/>
      <c r="UPY127"/>
      <c r="UPZ127"/>
      <c r="UQA127"/>
      <c r="UQB127"/>
      <c r="UQC127"/>
      <c r="UQD127"/>
      <c r="UQE127"/>
      <c r="UQF127"/>
      <c r="UQG127"/>
      <c r="UQH127"/>
      <c r="UQI127"/>
      <c r="UQJ127"/>
      <c r="UQK127"/>
      <c r="UQL127"/>
      <c r="UQM127"/>
      <c r="UQN127"/>
      <c r="UQO127"/>
      <c r="UQP127"/>
      <c r="UQQ127"/>
      <c r="UQR127"/>
      <c r="UQS127"/>
      <c r="UQT127"/>
      <c r="UQU127"/>
      <c r="UQV127"/>
      <c r="UQW127"/>
      <c r="UQX127"/>
      <c r="UQY127"/>
      <c r="UQZ127"/>
      <c r="URA127"/>
      <c r="URB127"/>
      <c r="URC127"/>
      <c r="URD127"/>
      <c r="URE127"/>
      <c r="URF127"/>
      <c r="URG127"/>
      <c r="URH127"/>
      <c r="URI127"/>
      <c r="URJ127"/>
      <c r="URK127"/>
      <c r="URL127"/>
      <c r="URM127"/>
      <c r="URN127"/>
      <c r="URO127"/>
      <c r="URP127"/>
      <c r="URQ127"/>
      <c r="URR127"/>
      <c r="URS127"/>
      <c r="URT127"/>
      <c r="URU127"/>
      <c r="URV127"/>
      <c r="URW127"/>
      <c r="URX127"/>
      <c r="URY127"/>
      <c r="URZ127"/>
      <c r="USA127"/>
      <c r="USB127"/>
      <c r="USC127"/>
      <c r="USD127"/>
      <c r="USE127"/>
      <c r="USF127"/>
      <c r="USG127"/>
      <c r="USH127"/>
      <c r="USI127"/>
      <c r="USJ127"/>
      <c r="USK127"/>
      <c r="USL127"/>
      <c r="USM127"/>
      <c r="USN127"/>
      <c r="USO127"/>
      <c r="USP127"/>
      <c r="USQ127"/>
      <c r="USR127"/>
      <c r="USS127"/>
      <c r="UST127"/>
      <c r="USU127"/>
      <c r="USV127"/>
      <c r="USW127"/>
      <c r="USX127"/>
      <c r="USY127"/>
      <c r="USZ127"/>
      <c r="UTA127"/>
      <c r="UTB127"/>
      <c r="UTC127"/>
      <c r="UTD127"/>
      <c r="UTE127"/>
      <c r="UTF127"/>
      <c r="UTG127"/>
      <c r="UTH127"/>
      <c r="UTI127"/>
      <c r="UTJ127"/>
      <c r="UTK127"/>
      <c r="UTL127"/>
      <c r="UTM127"/>
      <c r="UTN127"/>
      <c r="UTO127"/>
      <c r="UTP127"/>
      <c r="UTQ127"/>
      <c r="UTR127"/>
      <c r="UTS127"/>
      <c r="UTT127"/>
      <c r="UTU127"/>
      <c r="UTV127"/>
      <c r="UTW127"/>
      <c r="UTX127"/>
      <c r="UTY127"/>
      <c r="UTZ127"/>
      <c r="UUA127"/>
      <c r="UUB127"/>
      <c r="UUC127"/>
      <c r="UUD127"/>
      <c r="UUE127"/>
      <c r="UUF127"/>
      <c r="UUG127"/>
      <c r="UUH127"/>
      <c r="UUI127"/>
      <c r="UUJ127"/>
      <c r="UUK127"/>
      <c r="UUL127"/>
      <c r="UUM127"/>
      <c r="UUN127"/>
      <c r="UUO127"/>
      <c r="UUP127"/>
      <c r="UUQ127"/>
      <c r="UUR127"/>
      <c r="UUS127"/>
      <c r="UUT127"/>
      <c r="UUU127"/>
      <c r="UUV127"/>
      <c r="UUW127"/>
      <c r="UUX127"/>
      <c r="UUY127"/>
      <c r="UUZ127"/>
      <c r="UVA127"/>
      <c r="UVB127"/>
      <c r="UVC127"/>
      <c r="UVD127"/>
      <c r="UVE127"/>
      <c r="UVF127"/>
      <c r="UVG127"/>
      <c r="UVH127"/>
      <c r="UVI127"/>
      <c r="UVJ127"/>
      <c r="UVK127"/>
      <c r="UVL127"/>
      <c r="UVM127"/>
      <c r="UVN127"/>
      <c r="UVO127"/>
      <c r="UVP127"/>
      <c r="UVQ127"/>
      <c r="UVR127"/>
      <c r="UVS127"/>
      <c r="UVT127"/>
      <c r="UVU127"/>
      <c r="UVV127"/>
      <c r="UVW127"/>
      <c r="UVX127"/>
      <c r="UVY127"/>
      <c r="UVZ127"/>
      <c r="UWA127"/>
      <c r="UWB127"/>
      <c r="UWC127"/>
      <c r="UWD127"/>
      <c r="UWE127"/>
      <c r="UWF127"/>
      <c r="UWG127"/>
      <c r="UWH127"/>
      <c r="UWI127"/>
      <c r="UWJ127"/>
      <c r="UWK127"/>
      <c r="UWL127"/>
      <c r="UWM127"/>
      <c r="UWN127"/>
      <c r="UWO127"/>
      <c r="UWP127"/>
      <c r="UWQ127"/>
      <c r="UWR127"/>
      <c r="UWS127"/>
      <c r="UWT127"/>
      <c r="UWU127"/>
      <c r="UWV127"/>
      <c r="UWW127"/>
      <c r="UWX127"/>
      <c r="UWY127"/>
      <c r="UWZ127"/>
      <c r="UXA127"/>
      <c r="UXB127"/>
      <c r="UXC127"/>
      <c r="UXD127"/>
      <c r="UXE127"/>
      <c r="UXF127"/>
      <c r="UXG127"/>
      <c r="UXH127"/>
      <c r="UXI127"/>
      <c r="UXJ127"/>
      <c r="UXK127"/>
      <c r="UXL127"/>
      <c r="UXM127"/>
      <c r="UXN127"/>
      <c r="UXO127"/>
      <c r="UXP127"/>
      <c r="UXQ127"/>
      <c r="UXR127"/>
      <c r="UXS127"/>
      <c r="UXT127"/>
      <c r="UXU127"/>
      <c r="UXV127"/>
      <c r="UXW127"/>
      <c r="UXX127"/>
      <c r="UXY127"/>
      <c r="UXZ127"/>
      <c r="UYA127"/>
      <c r="UYB127"/>
      <c r="UYC127"/>
      <c r="UYD127"/>
      <c r="UYE127"/>
      <c r="UYF127"/>
      <c r="UYG127"/>
      <c r="UYH127"/>
      <c r="UYI127"/>
      <c r="UYJ127"/>
      <c r="UYK127"/>
      <c r="UYL127"/>
      <c r="UYM127"/>
      <c r="UYN127"/>
      <c r="UYO127"/>
      <c r="UYP127"/>
      <c r="UYQ127"/>
      <c r="UYR127"/>
      <c r="UYS127"/>
      <c r="UYT127"/>
      <c r="UYU127"/>
      <c r="UYV127"/>
      <c r="UYW127"/>
      <c r="UYX127"/>
      <c r="UYY127"/>
      <c r="UYZ127"/>
      <c r="UZA127"/>
      <c r="UZB127"/>
      <c r="UZC127"/>
      <c r="UZD127"/>
      <c r="UZE127"/>
      <c r="UZF127"/>
      <c r="UZG127"/>
      <c r="UZH127"/>
      <c r="UZI127"/>
      <c r="UZJ127"/>
      <c r="UZK127"/>
      <c r="UZL127"/>
      <c r="UZM127"/>
      <c r="UZN127"/>
      <c r="UZO127"/>
      <c r="UZP127"/>
      <c r="UZQ127"/>
      <c r="UZR127"/>
      <c r="UZS127"/>
      <c r="UZT127"/>
      <c r="UZU127"/>
      <c r="UZV127"/>
      <c r="UZW127"/>
      <c r="UZX127"/>
      <c r="UZY127"/>
      <c r="UZZ127"/>
      <c r="VAA127"/>
      <c r="VAB127"/>
      <c r="VAC127"/>
      <c r="VAD127"/>
      <c r="VAE127"/>
      <c r="VAF127"/>
      <c r="VAG127"/>
      <c r="VAH127"/>
      <c r="VAI127"/>
      <c r="VAJ127"/>
      <c r="VAK127"/>
      <c r="VAL127"/>
      <c r="VAM127"/>
      <c r="VAN127"/>
      <c r="VAO127"/>
      <c r="VAP127"/>
      <c r="VAQ127"/>
      <c r="VAR127"/>
      <c r="VAS127"/>
      <c r="VAT127"/>
      <c r="VAU127"/>
      <c r="VAV127"/>
      <c r="VAW127"/>
      <c r="VAX127"/>
      <c r="VAY127"/>
      <c r="VAZ127"/>
      <c r="VBA127"/>
      <c r="VBB127"/>
      <c r="VBC127"/>
      <c r="VBD127"/>
      <c r="VBE127"/>
      <c r="VBF127"/>
      <c r="VBG127"/>
      <c r="VBH127"/>
      <c r="VBI127"/>
      <c r="VBJ127"/>
      <c r="VBK127"/>
      <c r="VBL127"/>
      <c r="VBM127"/>
      <c r="VBN127"/>
      <c r="VBO127"/>
      <c r="VBP127"/>
      <c r="VBQ127"/>
      <c r="VBR127"/>
      <c r="VBS127"/>
      <c r="VBT127"/>
      <c r="VBU127"/>
      <c r="VBV127"/>
      <c r="VBW127"/>
      <c r="VBX127"/>
      <c r="VBY127"/>
      <c r="VBZ127"/>
      <c r="VCA127"/>
      <c r="VCB127"/>
      <c r="VCC127"/>
      <c r="VCD127"/>
      <c r="VCE127"/>
      <c r="VCF127"/>
      <c r="VCG127"/>
      <c r="VCH127"/>
      <c r="VCI127"/>
      <c r="VCJ127"/>
      <c r="VCK127"/>
      <c r="VCL127"/>
      <c r="VCM127"/>
      <c r="VCN127"/>
      <c r="VCO127"/>
      <c r="VCP127"/>
      <c r="VCQ127"/>
      <c r="VCR127"/>
      <c r="VCS127"/>
      <c r="VCT127"/>
      <c r="VCU127"/>
      <c r="VCV127"/>
      <c r="VCW127"/>
      <c r="VCX127"/>
      <c r="VCY127"/>
      <c r="VCZ127"/>
      <c r="VDA127"/>
      <c r="VDB127"/>
      <c r="VDC127"/>
      <c r="VDD127"/>
      <c r="VDE127"/>
      <c r="VDF127"/>
      <c r="VDG127"/>
      <c r="VDH127"/>
      <c r="VDI127"/>
      <c r="VDJ127"/>
      <c r="VDK127"/>
      <c r="VDL127"/>
      <c r="VDM127"/>
      <c r="VDN127"/>
      <c r="VDO127"/>
      <c r="VDP127"/>
      <c r="VDQ127"/>
      <c r="VDR127"/>
      <c r="VDS127"/>
      <c r="VDT127"/>
      <c r="VDU127"/>
      <c r="VDV127"/>
      <c r="VDW127"/>
      <c r="VDX127"/>
      <c r="VDY127"/>
      <c r="VDZ127"/>
      <c r="VEA127"/>
      <c r="VEB127"/>
      <c r="VEC127"/>
      <c r="VED127"/>
      <c r="VEE127"/>
      <c r="VEF127"/>
      <c r="VEG127"/>
      <c r="VEH127"/>
      <c r="VEI127"/>
      <c r="VEJ127"/>
      <c r="VEK127"/>
      <c r="VEL127"/>
      <c r="VEM127"/>
      <c r="VEN127"/>
      <c r="VEO127"/>
      <c r="VEP127"/>
      <c r="VEQ127"/>
      <c r="VER127"/>
      <c r="VES127"/>
      <c r="VET127"/>
      <c r="VEU127"/>
      <c r="VEV127"/>
      <c r="VEW127"/>
      <c r="VEX127"/>
      <c r="VEY127"/>
      <c r="VEZ127"/>
      <c r="VFA127"/>
      <c r="VFB127"/>
      <c r="VFC127"/>
      <c r="VFD127"/>
      <c r="VFE127"/>
      <c r="VFF127"/>
      <c r="VFG127"/>
      <c r="VFH127"/>
      <c r="VFI127"/>
      <c r="VFJ127"/>
      <c r="VFK127"/>
      <c r="VFL127"/>
      <c r="VFM127"/>
      <c r="VFN127"/>
      <c r="VFO127"/>
      <c r="VFP127"/>
      <c r="VFQ127"/>
      <c r="VFR127"/>
      <c r="VFS127"/>
      <c r="VFT127"/>
      <c r="VFU127"/>
      <c r="VFV127"/>
      <c r="VFW127"/>
      <c r="VFX127"/>
      <c r="VFY127"/>
      <c r="VFZ127"/>
      <c r="VGA127"/>
      <c r="VGB127"/>
      <c r="VGC127"/>
      <c r="VGD127"/>
      <c r="VGE127"/>
      <c r="VGF127"/>
      <c r="VGG127"/>
      <c r="VGH127"/>
      <c r="VGI127"/>
      <c r="VGJ127"/>
      <c r="VGK127"/>
      <c r="VGL127"/>
      <c r="VGM127"/>
      <c r="VGN127"/>
      <c r="VGO127"/>
      <c r="VGP127"/>
      <c r="VGQ127"/>
      <c r="VGR127"/>
      <c r="VGS127"/>
      <c r="VGT127"/>
      <c r="VGU127"/>
      <c r="VGV127"/>
      <c r="VGW127"/>
      <c r="VGX127"/>
      <c r="VGY127"/>
      <c r="VGZ127"/>
      <c r="VHA127"/>
      <c r="VHB127"/>
      <c r="VHC127"/>
      <c r="VHD127"/>
      <c r="VHE127"/>
      <c r="VHF127"/>
      <c r="VHG127"/>
      <c r="VHH127"/>
      <c r="VHI127"/>
      <c r="VHJ127"/>
      <c r="VHK127"/>
      <c r="VHL127"/>
      <c r="VHM127"/>
      <c r="VHN127"/>
      <c r="VHO127"/>
      <c r="VHP127"/>
      <c r="VHQ127"/>
      <c r="VHR127"/>
      <c r="VHS127"/>
      <c r="VHT127"/>
      <c r="VHU127"/>
      <c r="VHV127"/>
      <c r="VHW127"/>
      <c r="VHX127"/>
      <c r="VHY127"/>
      <c r="VHZ127"/>
      <c r="VIA127"/>
      <c r="VIB127"/>
      <c r="VIC127"/>
      <c r="VID127"/>
      <c r="VIE127"/>
      <c r="VIF127"/>
      <c r="VIG127"/>
      <c r="VIH127"/>
      <c r="VII127"/>
      <c r="VIJ127"/>
      <c r="VIK127"/>
      <c r="VIL127"/>
      <c r="VIM127"/>
      <c r="VIN127"/>
      <c r="VIO127"/>
      <c r="VIP127"/>
      <c r="VIQ127"/>
      <c r="VIR127"/>
      <c r="VIS127"/>
      <c r="VIT127"/>
      <c r="VIU127"/>
      <c r="VIV127"/>
      <c r="VIW127"/>
      <c r="VIX127"/>
      <c r="VIY127"/>
      <c r="VIZ127"/>
      <c r="VJA127"/>
      <c r="VJB127"/>
      <c r="VJC127"/>
      <c r="VJD127"/>
      <c r="VJE127"/>
      <c r="VJF127"/>
      <c r="VJG127"/>
      <c r="VJH127"/>
      <c r="VJI127"/>
      <c r="VJJ127"/>
      <c r="VJK127"/>
      <c r="VJL127"/>
      <c r="VJM127"/>
      <c r="VJN127"/>
      <c r="VJO127"/>
      <c r="VJP127"/>
      <c r="VJQ127"/>
      <c r="VJR127"/>
      <c r="VJS127"/>
      <c r="VJT127"/>
      <c r="VJU127"/>
      <c r="VJV127"/>
      <c r="VJW127"/>
      <c r="VJX127"/>
      <c r="VJY127"/>
      <c r="VJZ127"/>
      <c r="VKA127"/>
      <c r="VKB127"/>
      <c r="VKC127"/>
      <c r="VKD127"/>
      <c r="VKE127"/>
      <c r="VKF127"/>
      <c r="VKG127"/>
      <c r="VKH127"/>
      <c r="VKI127"/>
      <c r="VKJ127"/>
      <c r="VKK127"/>
      <c r="VKL127"/>
      <c r="VKM127"/>
      <c r="VKN127"/>
      <c r="VKO127"/>
      <c r="VKP127"/>
      <c r="VKQ127"/>
      <c r="VKR127"/>
      <c r="VKS127"/>
      <c r="VKT127"/>
      <c r="VKU127"/>
      <c r="VKV127"/>
      <c r="VKW127"/>
      <c r="VKX127"/>
      <c r="VKY127"/>
      <c r="VKZ127"/>
      <c r="VLA127"/>
      <c r="VLB127"/>
      <c r="VLC127"/>
      <c r="VLD127"/>
      <c r="VLE127"/>
      <c r="VLF127"/>
      <c r="VLG127"/>
      <c r="VLH127"/>
      <c r="VLI127"/>
      <c r="VLJ127"/>
      <c r="VLK127"/>
      <c r="VLL127"/>
      <c r="VLM127"/>
      <c r="VLN127"/>
      <c r="VLO127"/>
      <c r="VLP127"/>
      <c r="VLQ127"/>
      <c r="VLR127"/>
      <c r="VLS127"/>
      <c r="VLT127"/>
      <c r="VLU127"/>
      <c r="VLV127"/>
      <c r="VLW127"/>
      <c r="VLX127"/>
      <c r="VLY127"/>
      <c r="VLZ127"/>
      <c r="VMA127"/>
      <c r="VMB127"/>
      <c r="VMC127"/>
      <c r="VMD127"/>
      <c r="VME127"/>
      <c r="VMF127"/>
      <c r="VMG127"/>
      <c r="VMH127"/>
      <c r="VMI127"/>
      <c r="VMJ127"/>
      <c r="VMK127"/>
      <c r="VML127"/>
      <c r="VMM127"/>
      <c r="VMN127"/>
      <c r="VMO127"/>
      <c r="VMP127"/>
      <c r="VMQ127"/>
      <c r="VMR127"/>
      <c r="VMS127"/>
      <c r="VMT127"/>
      <c r="VMU127"/>
      <c r="VMV127"/>
      <c r="VMW127"/>
      <c r="VMX127"/>
      <c r="VMY127"/>
      <c r="VMZ127"/>
      <c r="VNA127"/>
      <c r="VNB127"/>
      <c r="VNC127"/>
      <c r="VND127"/>
      <c r="VNE127"/>
      <c r="VNF127"/>
      <c r="VNG127"/>
      <c r="VNH127"/>
      <c r="VNI127"/>
      <c r="VNJ127"/>
      <c r="VNK127"/>
      <c r="VNL127"/>
      <c r="VNM127"/>
      <c r="VNN127"/>
      <c r="VNO127"/>
      <c r="VNP127"/>
      <c r="VNQ127"/>
      <c r="VNR127"/>
      <c r="VNS127"/>
      <c r="VNT127"/>
      <c r="VNU127"/>
      <c r="VNV127"/>
      <c r="VNW127"/>
      <c r="VNX127"/>
      <c r="VNY127"/>
      <c r="VNZ127"/>
      <c r="VOA127"/>
      <c r="VOB127"/>
      <c r="VOC127"/>
      <c r="VOD127"/>
      <c r="VOE127"/>
      <c r="VOF127"/>
      <c r="VOG127"/>
      <c r="VOH127"/>
      <c r="VOI127"/>
      <c r="VOJ127"/>
      <c r="VOK127"/>
      <c r="VOL127"/>
      <c r="VOM127"/>
      <c r="VON127"/>
      <c r="VOO127"/>
      <c r="VOP127"/>
      <c r="VOQ127"/>
      <c r="VOR127"/>
      <c r="VOS127"/>
      <c r="VOT127"/>
      <c r="VOU127"/>
      <c r="VOV127"/>
      <c r="VOW127"/>
      <c r="VOX127"/>
      <c r="VOY127"/>
      <c r="VOZ127"/>
      <c r="VPA127"/>
      <c r="VPB127"/>
      <c r="VPC127"/>
      <c r="VPD127"/>
      <c r="VPE127"/>
      <c r="VPF127"/>
      <c r="VPG127"/>
      <c r="VPH127"/>
      <c r="VPI127"/>
      <c r="VPJ127"/>
      <c r="VPK127"/>
      <c r="VPL127"/>
      <c r="VPM127"/>
      <c r="VPN127"/>
      <c r="VPO127"/>
      <c r="VPP127"/>
      <c r="VPQ127"/>
      <c r="VPR127"/>
      <c r="VPS127"/>
      <c r="VPT127"/>
      <c r="VPU127"/>
      <c r="VPV127"/>
      <c r="VPW127"/>
      <c r="VPX127"/>
      <c r="VPY127"/>
      <c r="VPZ127"/>
      <c r="VQA127"/>
      <c r="VQB127"/>
      <c r="VQC127"/>
      <c r="VQD127"/>
      <c r="VQE127"/>
      <c r="VQF127"/>
      <c r="VQG127"/>
      <c r="VQH127"/>
      <c r="VQI127"/>
      <c r="VQJ127"/>
      <c r="VQK127"/>
      <c r="VQL127"/>
      <c r="VQM127"/>
      <c r="VQN127"/>
      <c r="VQO127"/>
      <c r="VQP127"/>
      <c r="VQQ127"/>
      <c r="VQR127"/>
      <c r="VQS127"/>
      <c r="VQT127"/>
      <c r="VQU127"/>
      <c r="VQV127"/>
      <c r="VQW127"/>
      <c r="VQX127"/>
      <c r="VQY127"/>
      <c r="VQZ127"/>
      <c r="VRA127"/>
      <c r="VRB127"/>
      <c r="VRC127"/>
      <c r="VRD127"/>
      <c r="VRE127"/>
      <c r="VRF127"/>
      <c r="VRG127"/>
      <c r="VRH127"/>
      <c r="VRI127"/>
      <c r="VRJ127"/>
      <c r="VRK127"/>
      <c r="VRL127"/>
      <c r="VRM127"/>
      <c r="VRN127"/>
      <c r="VRO127"/>
      <c r="VRP127"/>
      <c r="VRQ127"/>
      <c r="VRR127"/>
      <c r="VRS127"/>
      <c r="VRT127"/>
      <c r="VRU127"/>
      <c r="VRV127"/>
      <c r="VRW127"/>
      <c r="VRX127"/>
      <c r="VRY127"/>
      <c r="VRZ127"/>
      <c r="VSA127"/>
      <c r="VSB127"/>
      <c r="VSC127"/>
      <c r="VSD127"/>
      <c r="VSE127"/>
      <c r="VSF127"/>
      <c r="VSG127"/>
      <c r="VSH127"/>
      <c r="VSI127"/>
      <c r="VSJ127"/>
      <c r="VSK127"/>
      <c r="VSL127"/>
      <c r="VSM127"/>
      <c r="VSN127"/>
      <c r="VSO127"/>
      <c r="VSP127"/>
      <c r="VSQ127"/>
      <c r="VSR127"/>
      <c r="VSS127"/>
      <c r="VST127"/>
      <c r="VSU127"/>
      <c r="VSV127"/>
      <c r="VSW127"/>
      <c r="VSX127"/>
      <c r="VSY127"/>
      <c r="VSZ127"/>
      <c r="VTA127"/>
      <c r="VTB127"/>
      <c r="VTC127"/>
      <c r="VTD127"/>
      <c r="VTE127"/>
      <c r="VTF127"/>
      <c r="VTG127"/>
      <c r="VTH127"/>
      <c r="VTI127"/>
      <c r="VTJ127"/>
      <c r="VTK127"/>
      <c r="VTL127"/>
      <c r="VTM127"/>
      <c r="VTN127"/>
      <c r="VTO127"/>
      <c r="VTP127"/>
      <c r="VTQ127"/>
      <c r="VTR127"/>
      <c r="VTS127"/>
      <c r="VTT127"/>
      <c r="VTU127"/>
      <c r="VTV127"/>
      <c r="VTW127"/>
      <c r="VTX127"/>
      <c r="VTY127"/>
      <c r="VTZ127"/>
      <c r="VUA127"/>
      <c r="VUB127"/>
      <c r="VUC127"/>
      <c r="VUD127"/>
      <c r="VUE127"/>
      <c r="VUF127"/>
      <c r="VUG127"/>
      <c r="VUH127"/>
      <c r="VUI127"/>
      <c r="VUJ127"/>
      <c r="VUK127"/>
      <c r="VUL127"/>
      <c r="VUM127"/>
      <c r="VUN127"/>
      <c r="VUO127"/>
      <c r="VUP127"/>
      <c r="VUQ127"/>
      <c r="VUR127"/>
      <c r="VUS127"/>
      <c r="VUT127"/>
      <c r="VUU127"/>
      <c r="VUV127"/>
      <c r="VUW127"/>
      <c r="VUX127"/>
      <c r="VUY127"/>
      <c r="VUZ127"/>
      <c r="VVA127"/>
      <c r="VVB127"/>
      <c r="VVC127"/>
      <c r="VVD127"/>
      <c r="VVE127"/>
      <c r="VVF127"/>
      <c r="VVG127"/>
      <c r="VVH127"/>
      <c r="VVI127"/>
      <c r="VVJ127"/>
      <c r="VVK127"/>
      <c r="VVL127"/>
      <c r="VVM127"/>
      <c r="VVN127"/>
      <c r="VVO127"/>
      <c r="VVP127"/>
      <c r="VVQ127"/>
      <c r="VVR127"/>
      <c r="VVS127"/>
      <c r="VVT127"/>
      <c r="VVU127"/>
      <c r="VVV127"/>
      <c r="VVW127"/>
      <c r="VVX127"/>
      <c r="VVY127"/>
      <c r="VVZ127"/>
      <c r="VWA127"/>
      <c r="VWB127"/>
      <c r="VWC127"/>
      <c r="VWD127"/>
      <c r="VWE127"/>
      <c r="VWF127"/>
      <c r="VWG127"/>
      <c r="VWH127"/>
      <c r="VWI127"/>
      <c r="VWJ127"/>
      <c r="VWK127"/>
      <c r="VWL127"/>
      <c r="VWM127"/>
      <c r="VWN127"/>
      <c r="VWO127"/>
      <c r="VWP127"/>
      <c r="VWQ127"/>
      <c r="VWR127"/>
      <c r="VWS127"/>
      <c r="VWT127"/>
      <c r="VWU127"/>
      <c r="VWV127"/>
      <c r="VWW127"/>
      <c r="VWX127"/>
      <c r="VWY127"/>
      <c r="VWZ127"/>
      <c r="VXA127"/>
      <c r="VXB127"/>
      <c r="VXC127"/>
      <c r="VXD127"/>
      <c r="VXE127"/>
      <c r="VXF127"/>
      <c r="VXG127"/>
      <c r="VXH127"/>
      <c r="VXI127"/>
      <c r="VXJ127"/>
      <c r="VXK127"/>
      <c r="VXL127"/>
      <c r="VXM127"/>
      <c r="VXN127"/>
      <c r="VXO127"/>
      <c r="VXP127"/>
      <c r="VXQ127"/>
      <c r="VXR127"/>
      <c r="VXS127"/>
      <c r="VXT127"/>
      <c r="VXU127"/>
      <c r="VXV127"/>
      <c r="VXW127"/>
      <c r="VXX127"/>
      <c r="VXY127"/>
      <c r="VXZ127"/>
      <c r="VYA127"/>
      <c r="VYB127"/>
      <c r="VYC127"/>
      <c r="VYD127"/>
      <c r="VYE127"/>
      <c r="VYF127"/>
      <c r="VYG127"/>
      <c r="VYH127"/>
      <c r="VYI127"/>
      <c r="VYJ127"/>
      <c r="VYK127"/>
      <c r="VYL127"/>
      <c r="VYM127"/>
      <c r="VYN127"/>
      <c r="VYO127"/>
      <c r="VYP127"/>
      <c r="VYQ127"/>
      <c r="VYR127"/>
      <c r="VYS127"/>
      <c r="VYT127"/>
      <c r="VYU127"/>
      <c r="VYV127"/>
      <c r="VYW127"/>
      <c r="VYX127"/>
      <c r="VYY127"/>
      <c r="VYZ127"/>
      <c r="VZA127"/>
      <c r="VZB127"/>
      <c r="VZC127"/>
      <c r="VZD127"/>
      <c r="VZE127"/>
      <c r="VZF127"/>
      <c r="VZG127"/>
      <c r="VZH127"/>
      <c r="VZI127"/>
      <c r="VZJ127"/>
      <c r="VZK127"/>
      <c r="VZL127"/>
      <c r="VZM127"/>
      <c r="VZN127"/>
      <c r="VZO127"/>
      <c r="VZP127"/>
      <c r="VZQ127"/>
      <c r="VZR127"/>
      <c r="VZS127"/>
      <c r="VZT127"/>
      <c r="VZU127"/>
      <c r="VZV127"/>
      <c r="VZW127"/>
      <c r="VZX127"/>
      <c r="VZY127"/>
      <c r="VZZ127"/>
      <c r="WAA127"/>
      <c r="WAB127"/>
      <c r="WAC127"/>
      <c r="WAD127"/>
      <c r="WAE127"/>
      <c r="WAF127"/>
      <c r="WAG127"/>
      <c r="WAH127"/>
      <c r="WAI127"/>
      <c r="WAJ127"/>
      <c r="WAK127"/>
      <c r="WAL127"/>
      <c r="WAM127"/>
      <c r="WAN127"/>
      <c r="WAO127"/>
      <c r="WAP127"/>
      <c r="WAQ127"/>
      <c r="WAR127"/>
      <c r="WAS127"/>
      <c r="WAT127"/>
      <c r="WAU127"/>
      <c r="WAV127"/>
      <c r="WAW127"/>
      <c r="WAX127"/>
      <c r="WAY127"/>
      <c r="WAZ127"/>
      <c r="WBA127"/>
      <c r="WBB127"/>
      <c r="WBC127"/>
      <c r="WBD127"/>
      <c r="WBE127"/>
      <c r="WBF127"/>
      <c r="WBG127"/>
      <c r="WBH127"/>
      <c r="WBI127"/>
      <c r="WBJ127"/>
      <c r="WBK127"/>
      <c r="WBL127"/>
      <c r="WBM127"/>
      <c r="WBN127"/>
      <c r="WBO127"/>
      <c r="WBP127"/>
      <c r="WBQ127"/>
      <c r="WBR127"/>
      <c r="WBS127"/>
      <c r="WBT127"/>
      <c r="WBU127"/>
      <c r="WBV127"/>
      <c r="WBW127"/>
      <c r="WBX127"/>
      <c r="WBY127"/>
      <c r="WBZ127"/>
      <c r="WCA127"/>
      <c r="WCB127"/>
      <c r="WCC127"/>
      <c r="WCD127"/>
      <c r="WCE127"/>
      <c r="WCF127"/>
      <c r="WCG127"/>
      <c r="WCH127"/>
      <c r="WCI127"/>
      <c r="WCJ127"/>
      <c r="WCK127"/>
      <c r="WCL127"/>
      <c r="WCM127"/>
      <c r="WCN127"/>
      <c r="WCO127"/>
      <c r="WCP127"/>
      <c r="WCQ127"/>
      <c r="WCR127"/>
      <c r="WCS127"/>
      <c r="WCT127"/>
      <c r="WCU127"/>
      <c r="WCV127"/>
      <c r="WCW127"/>
      <c r="WCX127"/>
      <c r="WCY127"/>
      <c r="WCZ127"/>
      <c r="WDA127"/>
      <c r="WDB127"/>
      <c r="WDC127"/>
      <c r="WDD127"/>
      <c r="WDE127"/>
      <c r="WDF127"/>
      <c r="WDG127"/>
      <c r="WDH127"/>
      <c r="WDI127"/>
      <c r="WDJ127"/>
      <c r="WDK127"/>
      <c r="WDL127"/>
      <c r="WDM127"/>
      <c r="WDN127"/>
      <c r="WDO127"/>
      <c r="WDP127"/>
      <c r="WDQ127"/>
      <c r="WDR127"/>
      <c r="WDS127"/>
      <c r="WDT127"/>
      <c r="WDU127"/>
      <c r="WDV127"/>
      <c r="WDW127"/>
      <c r="WDX127"/>
      <c r="WDY127"/>
      <c r="WDZ127"/>
      <c r="WEA127"/>
      <c r="WEB127"/>
      <c r="WEC127"/>
      <c r="WED127"/>
      <c r="WEE127"/>
      <c r="WEF127"/>
      <c r="WEG127"/>
      <c r="WEH127"/>
      <c r="WEI127"/>
      <c r="WEJ127"/>
      <c r="WEK127"/>
      <c r="WEL127"/>
      <c r="WEM127"/>
      <c r="WEN127"/>
      <c r="WEO127"/>
      <c r="WEP127"/>
      <c r="WEQ127"/>
      <c r="WER127"/>
      <c r="WES127"/>
      <c r="WET127"/>
      <c r="WEU127"/>
      <c r="WEV127"/>
      <c r="WEW127"/>
      <c r="WEX127"/>
      <c r="WEY127"/>
      <c r="WEZ127"/>
      <c r="WFA127"/>
      <c r="WFB127"/>
      <c r="WFC127"/>
      <c r="WFD127"/>
      <c r="WFE127"/>
      <c r="WFF127"/>
      <c r="WFG127"/>
      <c r="WFH127"/>
      <c r="WFI127"/>
      <c r="WFJ127"/>
      <c r="WFK127"/>
      <c r="WFL127"/>
      <c r="WFM127"/>
      <c r="WFN127"/>
      <c r="WFO127"/>
      <c r="WFP127"/>
      <c r="WFQ127"/>
      <c r="WFR127"/>
      <c r="WFS127"/>
      <c r="WFT127"/>
      <c r="WFU127"/>
      <c r="WFV127"/>
      <c r="WFW127"/>
      <c r="WFX127"/>
      <c r="WFY127"/>
      <c r="WFZ127"/>
      <c r="WGA127"/>
      <c r="WGB127"/>
      <c r="WGC127"/>
      <c r="WGD127"/>
      <c r="WGE127"/>
      <c r="WGF127"/>
      <c r="WGG127"/>
      <c r="WGH127"/>
      <c r="WGI127"/>
      <c r="WGJ127"/>
      <c r="WGK127"/>
      <c r="WGL127"/>
      <c r="WGM127"/>
      <c r="WGN127"/>
      <c r="WGO127"/>
      <c r="WGP127"/>
      <c r="WGQ127"/>
      <c r="WGR127"/>
      <c r="WGS127"/>
      <c r="WGT127"/>
      <c r="WGU127"/>
      <c r="WGV127"/>
      <c r="WGW127"/>
      <c r="WGX127"/>
      <c r="WGY127"/>
      <c r="WGZ127"/>
      <c r="WHA127"/>
      <c r="WHB127"/>
      <c r="WHC127"/>
      <c r="WHD127"/>
      <c r="WHE127"/>
      <c r="WHF127"/>
      <c r="WHG127"/>
      <c r="WHH127"/>
      <c r="WHI127"/>
      <c r="WHJ127"/>
      <c r="WHK127"/>
      <c r="WHL127"/>
      <c r="WHM127"/>
      <c r="WHN127"/>
      <c r="WHO127"/>
      <c r="WHP127"/>
      <c r="WHQ127"/>
      <c r="WHR127"/>
      <c r="WHS127"/>
      <c r="WHT127"/>
      <c r="WHU127"/>
      <c r="WHV127"/>
      <c r="WHW127"/>
      <c r="WHX127"/>
      <c r="WHY127"/>
      <c r="WHZ127"/>
      <c r="WIA127"/>
      <c r="WIB127"/>
      <c r="WIC127"/>
      <c r="WID127"/>
      <c r="WIE127"/>
      <c r="WIF127"/>
      <c r="WIG127"/>
      <c r="WIH127"/>
      <c r="WII127"/>
      <c r="WIJ127"/>
      <c r="WIK127"/>
      <c r="WIL127"/>
      <c r="WIM127"/>
      <c r="WIN127"/>
      <c r="WIO127"/>
      <c r="WIP127"/>
      <c r="WIQ127"/>
      <c r="WIR127"/>
      <c r="WIS127"/>
      <c r="WIT127"/>
      <c r="WIU127"/>
      <c r="WIV127"/>
      <c r="WIW127"/>
      <c r="WIX127"/>
      <c r="WIY127"/>
      <c r="WIZ127"/>
      <c r="WJA127"/>
      <c r="WJB127"/>
      <c r="WJC127"/>
      <c r="WJD127"/>
      <c r="WJE127"/>
      <c r="WJF127"/>
      <c r="WJG127"/>
      <c r="WJH127"/>
      <c r="WJI127"/>
      <c r="WJJ127"/>
      <c r="WJK127"/>
      <c r="WJL127"/>
      <c r="WJM127"/>
      <c r="WJN127"/>
      <c r="WJO127"/>
      <c r="WJP127"/>
      <c r="WJQ127"/>
      <c r="WJR127"/>
      <c r="WJS127"/>
      <c r="WJT127"/>
      <c r="WJU127"/>
      <c r="WJV127"/>
      <c r="WJW127"/>
      <c r="WJX127"/>
      <c r="WJY127"/>
      <c r="WJZ127"/>
      <c r="WKA127"/>
      <c r="WKB127"/>
      <c r="WKC127"/>
      <c r="WKD127"/>
      <c r="WKE127"/>
      <c r="WKF127"/>
      <c r="WKG127"/>
      <c r="WKH127"/>
      <c r="WKI127"/>
      <c r="WKJ127"/>
      <c r="WKK127"/>
      <c r="WKL127"/>
      <c r="WKM127"/>
      <c r="WKN127"/>
      <c r="WKO127"/>
      <c r="WKP127"/>
      <c r="WKQ127"/>
      <c r="WKR127"/>
      <c r="WKS127"/>
      <c r="WKT127"/>
      <c r="WKU127"/>
      <c r="WKV127"/>
      <c r="WKW127"/>
      <c r="WKX127"/>
      <c r="WKY127"/>
      <c r="WKZ127"/>
      <c r="WLA127"/>
      <c r="WLB127"/>
      <c r="WLC127"/>
      <c r="WLD127"/>
      <c r="WLE127"/>
      <c r="WLF127"/>
      <c r="WLG127"/>
      <c r="WLH127"/>
      <c r="WLI127"/>
      <c r="WLJ127"/>
      <c r="WLK127"/>
      <c r="WLL127"/>
      <c r="WLM127"/>
      <c r="WLN127"/>
      <c r="WLO127"/>
      <c r="WLP127"/>
      <c r="WLQ127"/>
      <c r="WLR127"/>
      <c r="WLS127"/>
      <c r="WLT127"/>
      <c r="WLU127"/>
      <c r="WLV127"/>
      <c r="WLW127"/>
      <c r="WLX127"/>
      <c r="WLY127"/>
      <c r="WLZ127"/>
      <c r="WMA127"/>
      <c r="WMB127"/>
      <c r="WMC127"/>
      <c r="WMD127"/>
      <c r="WME127"/>
      <c r="WMF127"/>
      <c r="WMG127"/>
      <c r="WMH127"/>
      <c r="WMI127"/>
      <c r="WMJ127"/>
      <c r="WMK127"/>
      <c r="WML127"/>
      <c r="WMM127"/>
      <c r="WMN127"/>
      <c r="WMO127"/>
      <c r="WMP127"/>
      <c r="WMQ127"/>
      <c r="WMR127"/>
      <c r="WMS127"/>
      <c r="WMT127"/>
      <c r="WMU127"/>
      <c r="WMV127"/>
      <c r="WMW127"/>
      <c r="WMX127"/>
      <c r="WMY127"/>
      <c r="WMZ127"/>
      <c r="WNA127"/>
      <c r="WNB127"/>
      <c r="WNC127"/>
      <c r="WND127"/>
      <c r="WNE127"/>
      <c r="WNF127"/>
      <c r="WNG127"/>
      <c r="WNH127"/>
      <c r="WNI127"/>
      <c r="WNJ127"/>
      <c r="WNK127"/>
      <c r="WNL127"/>
      <c r="WNM127"/>
      <c r="WNN127"/>
      <c r="WNO127"/>
      <c r="WNP127"/>
      <c r="WNQ127"/>
      <c r="WNR127"/>
      <c r="WNS127"/>
      <c r="WNT127"/>
      <c r="WNU127"/>
      <c r="WNV127"/>
      <c r="WNW127"/>
      <c r="WNX127"/>
      <c r="WNY127"/>
      <c r="WNZ127"/>
      <c r="WOA127"/>
      <c r="WOB127"/>
      <c r="WOC127"/>
      <c r="WOD127"/>
      <c r="WOE127"/>
      <c r="WOF127"/>
      <c r="WOG127"/>
      <c r="WOH127"/>
      <c r="WOI127"/>
      <c r="WOJ127"/>
      <c r="WOK127"/>
      <c r="WOL127"/>
      <c r="WOM127"/>
      <c r="WON127"/>
      <c r="WOO127"/>
      <c r="WOP127"/>
      <c r="WOQ127"/>
      <c r="WOR127"/>
      <c r="WOS127"/>
      <c r="WOT127"/>
      <c r="WOU127"/>
      <c r="WOV127"/>
      <c r="WOW127"/>
      <c r="WOX127"/>
      <c r="WOY127"/>
      <c r="WOZ127"/>
      <c r="WPA127"/>
      <c r="WPB127"/>
      <c r="WPC127"/>
      <c r="WPD127"/>
      <c r="WPE127"/>
      <c r="WPF127"/>
      <c r="WPG127"/>
      <c r="WPH127"/>
      <c r="WPI127"/>
      <c r="WPJ127"/>
      <c r="WPK127"/>
      <c r="WPL127"/>
      <c r="WPM127"/>
      <c r="WPN127"/>
      <c r="WPO127"/>
      <c r="WPP127"/>
      <c r="WPQ127"/>
      <c r="WPR127"/>
      <c r="WPS127"/>
      <c r="WPT127"/>
      <c r="WPU127"/>
      <c r="WPV127"/>
      <c r="WPW127"/>
      <c r="WPX127"/>
      <c r="WPY127"/>
      <c r="WPZ127"/>
      <c r="WQA127"/>
      <c r="WQB127"/>
      <c r="WQC127"/>
      <c r="WQD127"/>
      <c r="WQE127"/>
      <c r="WQF127"/>
      <c r="WQG127"/>
      <c r="WQH127"/>
      <c r="WQI127"/>
      <c r="WQJ127"/>
      <c r="WQK127"/>
      <c r="WQL127"/>
      <c r="WQM127"/>
      <c r="WQN127"/>
      <c r="WQO127"/>
      <c r="WQP127"/>
      <c r="WQQ127"/>
      <c r="WQR127"/>
      <c r="WQS127"/>
      <c r="WQT127"/>
      <c r="WQU127"/>
      <c r="WQV127"/>
      <c r="WQW127"/>
      <c r="WQX127"/>
      <c r="WQY127"/>
      <c r="WQZ127"/>
      <c r="WRA127"/>
      <c r="WRB127"/>
      <c r="WRC127"/>
      <c r="WRD127"/>
      <c r="WRE127"/>
      <c r="WRF127"/>
      <c r="WRG127"/>
      <c r="WRH127"/>
      <c r="WRI127"/>
      <c r="WRJ127"/>
      <c r="WRK127"/>
      <c r="WRL127"/>
      <c r="WRM127"/>
      <c r="WRN127"/>
      <c r="WRO127"/>
      <c r="WRP127"/>
      <c r="WRQ127"/>
      <c r="WRR127"/>
      <c r="WRS127"/>
      <c r="WRT127"/>
      <c r="WRU127"/>
      <c r="WRV127"/>
      <c r="WRW127"/>
      <c r="WRX127"/>
      <c r="WRY127"/>
      <c r="WRZ127"/>
      <c r="WSA127"/>
      <c r="WSB127"/>
      <c r="WSC127"/>
      <c r="WSD127"/>
      <c r="WSE127"/>
      <c r="WSF127"/>
      <c r="WSG127"/>
      <c r="WSH127"/>
      <c r="WSI127"/>
      <c r="WSJ127"/>
      <c r="WSK127"/>
      <c r="WSL127"/>
      <c r="WSM127"/>
      <c r="WSN127"/>
      <c r="WSO127"/>
      <c r="WSP127"/>
      <c r="WSQ127"/>
      <c r="WSR127"/>
      <c r="WSS127"/>
      <c r="WST127"/>
      <c r="WSU127"/>
      <c r="WSV127"/>
      <c r="WSW127"/>
      <c r="WSX127"/>
      <c r="WSY127"/>
      <c r="WSZ127"/>
      <c r="WTA127"/>
      <c r="WTB127"/>
      <c r="WTC127"/>
      <c r="WTD127"/>
      <c r="WTE127"/>
      <c r="WTF127"/>
      <c r="WTG127"/>
      <c r="WTH127"/>
      <c r="WTI127"/>
      <c r="WTJ127"/>
      <c r="WTK127"/>
      <c r="WTL127"/>
      <c r="WTM127"/>
      <c r="WTN127"/>
      <c r="WTO127"/>
      <c r="WTP127"/>
      <c r="WTQ127"/>
      <c r="WTR127"/>
      <c r="WTS127"/>
      <c r="WTT127"/>
      <c r="WTU127"/>
      <c r="WTV127"/>
      <c r="WTW127"/>
      <c r="WTX127"/>
      <c r="WTY127"/>
      <c r="WTZ127"/>
      <c r="WUA127"/>
      <c r="WUB127"/>
      <c r="WUC127"/>
      <c r="WUD127"/>
      <c r="WUE127"/>
      <c r="WUF127"/>
      <c r="WUG127"/>
      <c r="WUH127"/>
      <c r="WUI127"/>
      <c r="WUJ127"/>
      <c r="WUK127"/>
      <c r="WUL127"/>
      <c r="WUM127"/>
      <c r="WUN127"/>
      <c r="WUO127"/>
      <c r="WUP127"/>
      <c r="WUQ127"/>
      <c r="WUR127"/>
      <c r="WUS127"/>
      <c r="WUT127"/>
      <c r="WUU127"/>
      <c r="WUV127"/>
      <c r="WUW127"/>
      <c r="WUX127"/>
      <c r="WUY127"/>
      <c r="WUZ127"/>
      <c r="WVA127"/>
      <c r="WVB127"/>
      <c r="WVC127"/>
      <c r="WVD127"/>
      <c r="WVE127"/>
      <c r="WVF127"/>
      <c r="WVG127"/>
      <c r="WVH127"/>
      <c r="WVI127"/>
      <c r="WVJ127"/>
      <c r="WVK127"/>
      <c r="WVL127"/>
      <c r="WVM127"/>
      <c r="WVN127"/>
      <c r="WVO127"/>
      <c r="WVP127"/>
      <c r="WVQ127"/>
      <c r="WVR127"/>
      <c r="WVS127"/>
      <c r="WVT127"/>
      <c r="WVU127"/>
      <c r="WVV127"/>
      <c r="WVW127"/>
      <c r="WVX127"/>
      <c r="WVY127"/>
      <c r="WVZ127"/>
      <c r="WWA127"/>
      <c r="WWB127"/>
      <c r="WWC127"/>
      <c r="WWD127"/>
      <c r="WWE127"/>
      <c r="WWF127"/>
      <c r="WWG127"/>
      <c r="WWH127"/>
      <c r="WWI127"/>
      <c r="WWJ127"/>
      <c r="WWK127"/>
      <c r="WWL127"/>
      <c r="WWM127"/>
      <c r="WWN127"/>
      <c r="WWO127"/>
      <c r="WWP127"/>
      <c r="WWQ127"/>
      <c r="WWR127"/>
      <c r="WWS127"/>
      <c r="WWT127"/>
      <c r="WWU127"/>
      <c r="WWV127"/>
      <c r="WWW127"/>
      <c r="WWX127"/>
      <c r="WWY127"/>
      <c r="WWZ127"/>
      <c r="WXA127"/>
      <c r="WXB127"/>
      <c r="WXC127"/>
      <c r="WXD127"/>
      <c r="WXE127"/>
      <c r="WXF127"/>
      <c r="WXG127"/>
      <c r="WXH127"/>
      <c r="WXI127"/>
      <c r="WXJ127"/>
      <c r="WXK127"/>
      <c r="WXL127"/>
      <c r="WXM127"/>
      <c r="WXN127"/>
      <c r="WXO127"/>
      <c r="WXP127"/>
      <c r="WXQ127"/>
      <c r="WXR127"/>
      <c r="WXS127"/>
      <c r="WXT127"/>
      <c r="WXU127"/>
      <c r="WXV127"/>
      <c r="WXW127"/>
      <c r="WXX127"/>
      <c r="WXY127"/>
      <c r="WXZ127"/>
      <c r="WYA127"/>
      <c r="WYB127"/>
      <c r="WYC127"/>
      <c r="WYD127"/>
      <c r="WYE127"/>
      <c r="WYF127"/>
      <c r="WYG127"/>
      <c r="WYH127"/>
      <c r="WYI127"/>
      <c r="WYJ127"/>
      <c r="WYK127"/>
      <c r="WYL127"/>
      <c r="WYM127"/>
      <c r="WYN127"/>
      <c r="WYO127"/>
      <c r="WYP127"/>
      <c r="WYQ127"/>
      <c r="WYR127"/>
      <c r="WYS127"/>
      <c r="WYT127"/>
      <c r="WYU127"/>
      <c r="WYV127"/>
      <c r="WYW127"/>
      <c r="WYX127"/>
      <c r="WYY127"/>
      <c r="WYZ127"/>
      <c r="WZA127"/>
      <c r="WZB127"/>
      <c r="WZC127"/>
      <c r="WZD127"/>
      <c r="WZE127"/>
      <c r="WZF127"/>
      <c r="WZG127"/>
      <c r="WZH127"/>
      <c r="WZI127"/>
      <c r="WZJ127"/>
      <c r="WZK127"/>
      <c r="WZL127"/>
      <c r="WZM127"/>
      <c r="WZN127"/>
      <c r="WZO127"/>
      <c r="WZP127"/>
      <c r="WZQ127"/>
      <c r="WZR127"/>
      <c r="WZS127"/>
      <c r="WZT127"/>
      <c r="WZU127"/>
      <c r="WZV127"/>
      <c r="WZW127"/>
      <c r="WZX127"/>
      <c r="WZY127"/>
      <c r="WZZ127"/>
      <c r="XAA127"/>
      <c r="XAB127"/>
      <c r="XAC127"/>
      <c r="XAD127"/>
      <c r="XAE127"/>
      <c r="XAF127"/>
      <c r="XAG127"/>
      <c r="XAH127"/>
      <c r="XAI127"/>
      <c r="XAJ127"/>
      <c r="XAK127"/>
      <c r="XAL127"/>
      <c r="XAM127"/>
      <c r="XAN127"/>
      <c r="XAO127"/>
      <c r="XAP127"/>
      <c r="XAQ127"/>
      <c r="XAR127"/>
      <c r="XAS127"/>
      <c r="XAT127"/>
      <c r="XAU127"/>
      <c r="XAV127"/>
      <c r="XAW127"/>
      <c r="XAX127"/>
      <c r="XAY127"/>
      <c r="XAZ127"/>
      <c r="XBA127"/>
      <c r="XBB127"/>
      <c r="XBC127"/>
      <c r="XBD127"/>
      <c r="XBE127"/>
      <c r="XBF127"/>
      <c r="XBG127"/>
      <c r="XBH127"/>
      <c r="XBI127"/>
      <c r="XBJ127"/>
      <c r="XBK127"/>
      <c r="XBL127"/>
      <c r="XBM127"/>
      <c r="XBN127"/>
      <c r="XBO127"/>
      <c r="XBP127"/>
      <c r="XBQ127"/>
      <c r="XBR127"/>
      <c r="XBS127"/>
      <c r="XBT127"/>
      <c r="XBU127"/>
      <c r="XBV127"/>
      <c r="XBW127"/>
      <c r="XBX127"/>
      <c r="XBY127"/>
      <c r="XBZ127"/>
      <c r="XCA127"/>
      <c r="XCB127"/>
      <c r="XCC127"/>
      <c r="XCD127"/>
      <c r="XCE127"/>
      <c r="XCF127"/>
      <c r="XCG127"/>
      <c r="XCH127"/>
      <c r="XCI127"/>
      <c r="XCJ127"/>
      <c r="XCK127"/>
      <c r="XCL127"/>
      <c r="XCM127"/>
      <c r="XCN127"/>
      <c r="XCO127"/>
      <c r="XCP127"/>
      <c r="XCQ127"/>
      <c r="XCR127"/>
      <c r="XCS127"/>
      <c r="XCT127"/>
      <c r="XCU127"/>
      <c r="XCV127"/>
      <c r="XCW127"/>
      <c r="XCX127"/>
      <c r="XCY127"/>
      <c r="XCZ127"/>
      <c r="XDA127"/>
      <c r="XDB127"/>
      <c r="XDC127"/>
      <c r="XDD127"/>
      <c r="XDE127"/>
      <c r="XDF127"/>
      <c r="XDG127"/>
      <c r="XDH127"/>
      <c r="XDI127"/>
      <c r="XDJ127"/>
      <c r="XDK127"/>
      <c r="XDL127"/>
      <c r="XDM127"/>
      <c r="XDN127"/>
      <c r="XDO127"/>
      <c r="XDP127"/>
      <c r="XDQ127"/>
      <c r="XDR127"/>
      <c r="XDS127"/>
      <c r="XDT127"/>
      <c r="XDU127"/>
      <c r="XDV127"/>
      <c r="XDW127"/>
      <c r="XDX127"/>
      <c r="XDY127"/>
      <c r="XDZ127"/>
      <c r="XEA127"/>
      <c r="XEB127"/>
      <c r="XEC127"/>
      <c r="XED127"/>
      <c r="XEE127"/>
      <c r="XEF127"/>
      <c r="XEG127"/>
      <c r="XEH127"/>
      <c r="XEI127"/>
      <c r="XEJ127"/>
      <c r="XEK127"/>
      <c r="XEL127"/>
      <c r="XEM127"/>
      <c r="XEN127"/>
      <c r="XEO127"/>
      <c r="XEP127"/>
      <c r="XEQ127"/>
      <c r="XER127"/>
      <c r="XES127"/>
      <c r="XET127"/>
      <c r="XEU127"/>
      <c r="XEV127"/>
      <c r="XEW127"/>
      <c r="XEX127"/>
      <c r="XEY127"/>
      <c r="XEZ127"/>
      <c r="XFA127"/>
      <c r="XFB127"/>
    </row>
    <row r="128" spans="2:16382" ht="30" customHeight="1" x14ac:dyDescent="0.3">
      <c r="B128" s="562"/>
      <c r="C128" s="563"/>
      <c r="D128" s="425"/>
      <c r="E128" s="250" t="str">
        <f t="shared" si="22"/>
        <v/>
      </c>
      <c r="F128" s="556"/>
      <c r="G128" s="252" t="str">
        <f>IFERROR(VLOOKUP(F128,'Data (hidden)'!N:O,2,FALSE),"")</f>
        <v/>
      </c>
      <c r="H128" s="557"/>
      <c r="I128" s="558"/>
      <c r="J128" s="123">
        <f t="shared" si="17"/>
        <v>0</v>
      </c>
      <c r="K128" s="123" t="e">
        <f t="shared" si="18"/>
        <v>#VALUE!</v>
      </c>
      <c r="L128" s="123">
        <f t="shared" si="14"/>
        <v>0</v>
      </c>
      <c r="M128" s="124" t="str">
        <f>IFERROR(K128*I128,"")</f>
        <v/>
      </c>
      <c r="N128" s="112"/>
      <c r="O128" s="101"/>
      <c r="P128" s="101"/>
      <c r="Q128" s="101"/>
      <c r="R128" s="102"/>
      <c r="S128" s="102"/>
      <c r="T128" s="102"/>
      <c r="U128" s="103"/>
      <c r="V128" s="100"/>
      <c r="W128" s="101"/>
      <c r="X128" s="113"/>
      <c r="Y128" s="114"/>
      <c r="Z128" s="102"/>
      <c r="AA128" s="101"/>
      <c r="AB128" s="111"/>
      <c r="AE128" s="187"/>
      <c r="AF128" s="185"/>
      <c r="AG128" s="185" t="str">
        <f t="shared" si="19"/>
        <v/>
      </c>
      <c r="AH128" s="186" t="str">
        <f t="shared" si="20"/>
        <v/>
      </c>
      <c r="AI128" s="185"/>
      <c r="AJ128" s="188"/>
      <c r="CC128" s="562"/>
      <c r="CD128" s="425"/>
    </row>
    <row r="129" spans="2:82" ht="30" customHeight="1" x14ac:dyDescent="0.3">
      <c r="B129" s="562"/>
      <c r="C129" s="563"/>
      <c r="D129" s="425"/>
      <c r="E129" s="250" t="str">
        <f t="shared" si="22"/>
        <v/>
      </c>
      <c r="F129" s="556"/>
      <c r="G129" s="252" t="str">
        <f>IFERROR(VLOOKUP(F129,'Data (hidden)'!N:O,2,FALSE),"")</f>
        <v/>
      </c>
      <c r="H129" s="557"/>
      <c r="I129" s="558"/>
      <c r="J129" s="123">
        <f t="shared" si="17"/>
        <v>0</v>
      </c>
      <c r="K129" s="123" t="e">
        <f t="shared" si="18"/>
        <v>#VALUE!</v>
      </c>
      <c r="L129" s="123">
        <f t="shared" si="14"/>
        <v>0</v>
      </c>
      <c r="M129" s="124" t="str">
        <f t="shared" si="15"/>
        <v/>
      </c>
      <c r="N129" s="112"/>
      <c r="O129" s="101"/>
      <c r="P129" s="101"/>
      <c r="Q129" s="101"/>
      <c r="R129" s="102"/>
      <c r="S129" s="102"/>
      <c r="T129" s="102"/>
      <c r="U129" s="103"/>
      <c r="V129" s="100"/>
      <c r="W129" s="101"/>
      <c r="X129" s="113"/>
      <c r="Y129" s="114"/>
      <c r="Z129" s="102"/>
      <c r="AA129" s="101"/>
      <c r="AB129" s="111"/>
      <c r="AE129" s="187"/>
      <c r="AF129" s="185"/>
      <c r="AG129" s="185" t="str">
        <f t="shared" si="19"/>
        <v/>
      </c>
      <c r="AH129" s="186" t="str">
        <f t="shared" si="20"/>
        <v/>
      </c>
      <c r="AI129" s="185"/>
      <c r="AJ129" s="188"/>
      <c r="CC129" s="562"/>
      <c r="CD129" s="425"/>
    </row>
    <row r="130" spans="2:82" ht="30" customHeight="1" x14ac:dyDescent="0.3">
      <c r="B130" s="562"/>
      <c r="C130" s="563"/>
      <c r="D130" s="425"/>
      <c r="E130" s="250" t="str">
        <f t="shared" si="22"/>
        <v/>
      </c>
      <c r="F130" s="556"/>
      <c r="G130" s="252" t="str">
        <f>IFERROR(VLOOKUP(F130,'Data (hidden)'!N:O,2,FALSE),"")</f>
        <v/>
      </c>
      <c r="H130" s="557"/>
      <c r="I130" s="558"/>
      <c r="J130" s="123">
        <f t="shared" si="17"/>
        <v>0</v>
      </c>
      <c r="K130" s="123" t="e">
        <f t="shared" si="18"/>
        <v>#VALUE!</v>
      </c>
      <c r="L130" s="123">
        <f t="shared" si="14"/>
        <v>0</v>
      </c>
      <c r="M130" s="124" t="str">
        <f t="shared" si="15"/>
        <v/>
      </c>
      <c r="N130" s="112"/>
      <c r="O130" s="101"/>
      <c r="P130" s="101"/>
      <c r="Q130" s="101"/>
      <c r="R130" s="102"/>
      <c r="S130" s="102"/>
      <c r="T130" s="102"/>
      <c r="U130" s="103"/>
      <c r="V130" s="100"/>
      <c r="W130" s="101"/>
      <c r="X130" s="113"/>
      <c r="Y130" s="114"/>
      <c r="Z130" s="102"/>
      <c r="AA130" s="101"/>
      <c r="AB130" s="111"/>
      <c r="AE130" s="187"/>
      <c r="AF130" s="185"/>
      <c r="AG130" s="185" t="str">
        <f t="shared" si="19"/>
        <v/>
      </c>
      <c r="AH130" s="186" t="str">
        <f t="shared" si="20"/>
        <v/>
      </c>
      <c r="AI130" s="185"/>
      <c r="AJ130" s="188"/>
      <c r="CC130" s="562"/>
      <c r="CD130" s="425"/>
    </row>
    <row r="131" spans="2:82" ht="30" customHeight="1" x14ac:dyDescent="0.3">
      <c r="B131" s="562"/>
      <c r="C131" s="563"/>
      <c r="D131" s="425"/>
      <c r="E131" s="250" t="str">
        <f t="shared" si="22"/>
        <v/>
      </c>
      <c r="F131" s="556"/>
      <c r="G131" s="252" t="str">
        <f>IFERROR(VLOOKUP(F131,'Data (hidden)'!N:O,2,FALSE),"")</f>
        <v/>
      </c>
      <c r="H131" s="557"/>
      <c r="I131" s="558"/>
      <c r="J131" s="123">
        <f t="shared" si="17"/>
        <v>0</v>
      </c>
      <c r="K131" s="123" t="e">
        <f t="shared" si="18"/>
        <v>#VALUE!</v>
      </c>
      <c r="L131" s="123">
        <f t="shared" si="14"/>
        <v>0</v>
      </c>
      <c r="M131" s="124" t="str">
        <f t="shared" si="15"/>
        <v/>
      </c>
      <c r="N131" s="112"/>
      <c r="O131" s="101"/>
      <c r="P131" s="101"/>
      <c r="Q131" s="101"/>
      <c r="R131" s="102"/>
      <c r="S131" s="102"/>
      <c r="T131" s="102"/>
      <c r="U131" s="103"/>
      <c r="V131" s="100"/>
      <c r="W131" s="101"/>
      <c r="X131" s="113"/>
      <c r="Y131" s="114"/>
      <c r="Z131" s="102"/>
      <c r="AA131" s="101"/>
      <c r="AB131" s="111"/>
      <c r="AE131" s="187"/>
      <c r="AF131" s="185"/>
      <c r="AG131" s="185" t="str">
        <f t="shared" si="19"/>
        <v/>
      </c>
      <c r="AH131" s="186" t="str">
        <f t="shared" si="20"/>
        <v/>
      </c>
      <c r="AI131" s="185"/>
      <c r="AJ131" s="188"/>
      <c r="CC131" s="562"/>
      <c r="CD131" s="425"/>
    </row>
    <row r="132" spans="2:82" ht="30" customHeight="1" x14ac:dyDescent="0.3">
      <c r="B132" s="562"/>
      <c r="C132" s="563"/>
      <c r="D132" s="425"/>
      <c r="E132" s="250" t="str">
        <f t="shared" si="22"/>
        <v/>
      </c>
      <c r="F132" s="556"/>
      <c r="G132" s="252" t="str">
        <f>IFERROR(VLOOKUP(F132,'Data (hidden)'!N:O,2,FALSE),"")</f>
        <v/>
      </c>
      <c r="H132" s="557"/>
      <c r="I132" s="558"/>
      <c r="J132" s="123">
        <f t="shared" si="17"/>
        <v>0</v>
      </c>
      <c r="K132" s="123" t="e">
        <f t="shared" si="18"/>
        <v>#VALUE!</v>
      </c>
      <c r="L132" s="123">
        <f t="shared" si="14"/>
        <v>0</v>
      </c>
      <c r="M132" s="124" t="str">
        <f t="shared" si="15"/>
        <v/>
      </c>
      <c r="N132" s="112"/>
      <c r="O132" s="101"/>
      <c r="P132" s="101"/>
      <c r="Q132" s="101"/>
      <c r="R132" s="102"/>
      <c r="S132" s="102"/>
      <c r="T132" s="102"/>
      <c r="U132" s="103"/>
      <c r="V132" s="100"/>
      <c r="W132" s="101"/>
      <c r="X132" s="113"/>
      <c r="Y132" s="114"/>
      <c r="Z132" s="102"/>
      <c r="AA132" s="101"/>
      <c r="AB132" s="111"/>
      <c r="AE132" s="187"/>
      <c r="AF132" s="185"/>
      <c r="AG132" s="185" t="str">
        <f t="shared" si="19"/>
        <v/>
      </c>
      <c r="AH132" s="186" t="str">
        <f t="shared" si="20"/>
        <v/>
      </c>
      <c r="AI132" s="185"/>
      <c r="AJ132" s="188"/>
      <c r="CC132" s="562"/>
      <c r="CD132" s="425"/>
    </row>
    <row r="133" spans="2:82" ht="30" customHeight="1" x14ac:dyDescent="0.3">
      <c r="B133" s="562"/>
      <c r="C133" s="563"/>
      <c r="D133" s="425"/>
      <c r="E133" s="250" t="str">
        <f t="shared" si="22"/>
        <v/>
      </c>
      <c r="F133" s="556"/>
      <c r="G133" s="252" t="str">
        <f>IFERROR(VLOOKUP(F133,'Data (hidden)'!N:O,2,FALSE),"")</f>
        <v/>
      </c>
      <c r="H133" s="557"/>
      <c r="I133" s="558"/>
      <c r="J133" s="123">
        <f t="shared" si="17"/>
        <v>0</v>
      </c>
      <c r="K133" s="123" t="e">
        <f t="shared" si="18"/>
        <v>#VALUE!</v>
      </c>
      <c r="L133" s="123">
        <f t="shared" si="14"/>
        <v>0</v>
      </c>
      <c r="M133" s="124" t="str">
        <f t="shared" si="15"/>
        <v/>
      </c>
      <c r="N133" s="112"/>
      <c r="O133" s="101"/>
      <c r="P133" s="101"/>
      <c r="Q133" s="101"/>
      <c r="R133" s="102"/>
      <c r="S133" s="102"/>
      <c r="T133" s="102"/>
      <c r="U133" s="103"/>
      <c r="V133" s="100"/>
      <c r="W133" s="101"/>
      <c r="X133" s="113"/>
      <c r="Y133" s="114"/>
      <c r="Z133" s="102"/>
      <c r="AA133" s="101"/>
      <c r="AB133" s="111"/>
      <c r="AE133" s="187"/>
      <c r="AF133" s="185"/>
      <c r="AG133" s="185" t="str">
        <f t="shared" si="19"/>
        <v/>
      </c>
      <c r="AH133" s="186" t="str">
        <f t="shared" si="20"/>
        <v/>
      </c>
      <c r="AI133" s="185"/>
      <c r="AJ133" s="188"/>
      <c r="CC133" s="562"/>
      <c r="CD133" s="425"/>
    </row>
    <row r="134" spans="2:82" ht="30" customHeight="1" x14ac:dyDescent="0.3">
      <c r="B134" s="562"/>
      <c r="C134" s="563"/>
      <c r="D134" s="425"/>
      <c r="E134" s="250" t="str">
        <f t="shared" si="22"/>
        <v/>
      </c>
      <c r="F134" s="556"/>
      <c r="G134" s="252" t="str">
        <f>IFERROR(VLOOKUP(F134,'Data (hidden)'!N:O,2,FALSE),"")</f>
        <v/>
      </c>
      <c r="H134" s="557"/>
      <c r="I134" s="558"/>
      <c r="J134" s="123">
        <f t="shared" si="17"/>
        <v>0</v>
      </c>
      <c r="K134" s="123" t="e">
        <f t="shared" si="18"/>
        <v>#VALUE!</v>
      </c>
      <c r="L134" s="123">
        <f t="shared" si="14"/>
        <v>0</v>
      </c>
      <c r="M134" s="124" t="str">
        <f t="shared" si="15"/>
        <v/>
      </c>
      <c r="N134" s="112"/>
      <c r="O134" s="101"/>
      <c r="P134" s="101"/>
      <c r="Q134" s="101"/>
      <c r="R134" s="102"/>
      <c r="S134" s="102"/>
      <c r="T134" s="102"/>
      <c r="U134" s="103"/>
      <c r="V134" s="100"/>
      <c r="W134" s="101"/>
      <c r="X134" s="113"/>
      <c r="Y134" s="114"/>
      <c r="Z134" s="102"/>
      <c r="AA134" s="101"/>
      <c r="AB134" s="111"/>
      <c r="AE134" s="187"/>
      <c r="AF134" s="185"/>
      <c r="AG134" s="185" t="str">
        <f t="shared" si="19"/>
        <v/>
      </c>
      <c r="AH134" s="186" t="str">
        <f t="shared" si="20"/>
        <v/>
      </c>
      <c r="AI134" s="185"/>
      <c r="AJ134" s="188"/>
      <c r="CC134" s="562"/>
      <c r="CD134" s="425"/>
    </row>
    <row r="135" spans="2:82" ht="30" customHeight="1" x14ac:dyDescent="0.3">
      <c r="B135" s="562"/>
      <c r="C135" s="563"/>
      <c r="D135" s="425"/>
      <c r="E135" s="250" t="str">
        <f t="shared" si="22"/>
        <v/>
      </c>
      <c r="F135" s="556"/>
      <c r="G135" s="252" t="str">
        <f>IFERROR(VLOOKUP(F135,'Data (hidden)'!N:O,2,FALSE),"")</f>
        <v/>
      </c>
      <c r="H135" s="557"/>
      <c r="I135" s="558"/>
      <c r="J135" s="123">
        <f t="shared" si="17"/>
        <v>0</v>
      </c>
      <c r="K135" s="123" t="e">
        <f t="shared" si="18"/>
        <v>#VALUE!</v>
      </c>
      <c r="L135" s="123">
        <f t="shared" si="14"/>
        <v>0</v>
      </c>
      <c r="M135" s="124" t="str">
        <f t="shared" si="15"/>
        <v/>
      </c>
      <c r="N135" s="112"/>
      <c r="O135" s="101"/>
      <c r="P135" s="101"/>
      <c r="Q135" s="101"/>
      <c r="R135" s="102"/>
      <c r="S135" s="102"/>
      <c r="T135" s="102"/>
      <c r="U135" s="103"/>
      <c r="V135" s="100"/>
      <c r="W135" s="101"/>
      <c r="X135" s="113"/>
      <c r="Y135" s="114"/>
      <c r="Z135" s="102"/>
      <c r="AA135" s="101"/>
      <c r="AB135" s="111"/>
      <c r="AE135" s="187"/>
      <c r="AF135" s="185"/>
      <c r="AG135" s="185" t="str">
        <f t="shared" si="19"/>
        <v/>
      </c>
      <c r="AH135" s="186" t="str">
        <f t="shared" si="20"/>
        <v/>
      </c>
      <c r="AI135" s="185"/>
      <c r="AJ135" s="188"/>
      <c r="CC135" s="562"/>
      <c r="CD135" s="425"/>
    </row>
    <row r="136" spans="2:82" ht="30" customHeight="1" x14ac:dyDescent="0.3">
      <c r="B136" s="562"/>
      <c r="C136" s="563"/>
      <c r="D136" s="425"/>
      <c r="E136" s="250" t="str">
        <f t="shared" si="22"/>
        <v/>
      </c>
      <c r="F136" s="556"/>
      <c r="G136" s="252" t="str">
        <f>IFERROR(VLOOKUP(F136,'Data (hidden)'!N:O,2,FALSE),"")</f>
        <v/>
      </c>
      <c r="H136" s="557"/>
      <c r="I136" s="558"/>
      <c r="J136" s="123">
        <f t="shared" si="17"/>
        <v>0</v>
      </c>
      <c r="K136" s="123" t="e">
        <f t="shared" si="18"/>
        <v>#VALUE!</v>
      </c>
      <c r="L136" s="123">
        <f t="shared" si="14"/>
        <v>0</v>
      </c>
      <c r="M136" s="124" t="str">
        <f t="shared" si="15"/>
        <v/>
      </c>
      <c r="N136" s="112"/>
      <c r="O136" s="101"/>
      <c r="P136" s="101"/>
      <c r="Q136" s="101"/>
      <c r="R136" s="102"/>
      <c r="S136" s="102"/>
      <c r="T136" s="102"/>
      <c r="U136" s="103"/>
      <c r="V136" s="100"/>
      <c r="W136" s="101"/>
      <c r="X136" s="113"/>
      <c r="Y136" s="114"/>
      <c r="Z136" s="102"/>
      <c r="AA136" s="101"/>
      <c r="AB136" s="111"/>
      <c r="AE136" s="187"/>
      <c r="AF136" s="185"/>
      <c r="AG136" s="185" t="str">
        <f t="shared" si="19"/>
        <v/>
      </c>
      <c r="AH136" s="186" t="str">
        <f t="shared" si="20"/>
        <v/>
      </c>
      <c r="AI136" s="185"/>
      <c r="AJ136" s="188"/>
      <c r="CC136" s="562"/>
      <c r="CD136" s="425"/>
    </row>
    <row r="137" spans="2:82" ht="30" customHeight="1" x14ac:dyDescent="0.3">
      <c r="B137" s="562"/>
      <c r="C137" s="563"/>
      <c r="D137" s="425"/>
      <c r="E137" s="250" t="str">
        <f t="shared" si="22"/>
        <v/>
      </c>
      <c r="F137" s="556"/>
      <c r="G137" s="252" t="str">
        <f>IFERROR(VLOOKUP(F137,'Data (hidden)'!N:O,2,FALSE),"")</f>
        <v/>
      </c>
      <c r="H137" s="557"/>
      <c r="I137" s="558"/>
      <c r="J137" s="123">
        <f t="shared" si="17"/>
        <v>0</v>
      </c>
      <c r="K137" s="123" t="e">
        <f t="shared" si="18"/>
        <v>#VALUE!</v>
      </c>
      <c r="L137" s="123">
        <f t="shared" si="14"/>
        <v>0</v>
      </c>
      <c r="M137" s="124" t="str">
        <f t="shared" si="15"/>
        <v/>
      </c>
      <c r="N137" s="112"/>
      <c r="O137" s="101"/>
      <c r="P137" s="101"/>
      <c r="Q137" s="101"/>
      <c r="R137" s="102"/>
      <c r="S137" s="102"/>
      <c r="T137" s="102"/>
      <c r="U137" s="103"/>
      <c r="V137" s="100"/>
      <c r="W137" s="101"/>
      <c r="X137" s="113"/>
      <c r="Y137" s="114"/>
      <c r="Z137" s="102"/>
      <c r="AA137" s="101"/>
      <c r="AB137" s="111"/>
      <c r="AE137" s="187"/>
      <c r="AF137" s="185"/>
      <c r="AG137" s="185" t="str">
        <f t="shared" si="19"/>
        <v/>
      </c>
      <c r="AH137" s="186" t="str">
        <f t="shared" si="20"/>
        <v/>
      </c>
      <c r="AI137" s="185"/>
      <c r="AJ137" s="188"/>
      <c r="CC137" s="562"/>
      <c r="CD137" s="425"/>
    </row>
    <row r="138" spans="2:82" ht="30" customHeight="1" x14ac:dyDescent="0.3">
      <c r="B138" s="562"/>
      <c r="C138" s="563"/>
      <c r="D138" s="425"/>
      <c r="E138" s="250" t="str">
        <f t="shared" si="22"/>
        <v/>
      </c>
      <c r="F138" s="556"/>
      <c r="G138" s="252" t="str">
        <f>IFERROR(VLOOKUP(F138,'Data (hidden)'!N:O,2,FALSE),"")</f>
        <v/>
      </c>
      <c r="H138" s="557"/>
      <c r="I138" s="558"/>
      <c r="J138" s="123">
        <f t="shared" si="17"/>
        <v>0</v>
      </c>
      <c r="K138" s="123" t="e">
        <f t="shared" si="18"/>
        <v>#VALUE!</v>
      </c>
      <c r="L138" s="123">
        <f t="shared" si="14"/>
        <v>0</v>
      </c>
      <c r="M138" s="124" t="str">
        <f t="shared" si="15"/>
        <v/>
      </c>
      <c r="N138" s="112"/>
      <c r="O138" s="101"/>
      <c r="P138" s="101"/>
      <c r="Q138" s="101"/>
      <c r="R138" s="102"/>
      <c r="S138" s="102"/>
      <c r="T138" s="102"/>
      <c r="U138" s="103"/>
      <c r="V138" s="100"/>
      <c r="W138" s="101"/>
      <c r="X138" s="113"/>
      <c r="Y138" s="114"/>
      <c r="Z138" s="102"/>
      <c r="AA138" s="101"/>
      <c r="AB138" s="111"/>
      <c r="AE138" s="187"/>
      <c r="AF138" s="185"/>
      <c r="AG138" s="185" t="str">
        <f t="shared" si="19"/>
        <v/>
      </c>
      <c r="AH138" s="186" t="str">
        <f t="shared" si="20"/>
        <v/>
      </c>
      <c r="AI138" s="185"/>
      <c r="AJ138" s="188"/>
      <c r="CC138" s="562"/>
      <c r="CD138" s="425"/>
    </row>
    <row r="139" spans="2:82" ht="30" customHeight="1" x14ac:dyDescent="0.3">
      <c r="B139" s="562"/>
      <c r="C139" s="563"/>
      <c r="D139" s="425"/>
      <c r="E139" s="250" t="str">
        <f t="shared" si="22"/>
        <v/>
      </c>
      <c r="F139" s="556"/>
      <c r="G139" s="252" t="str">
        <f>IFERROR(VLOOKUP(F139,'Data (hidden)'!N:O,2,FALSE),"")</f>
        <v/>
      </c>
      <c r="H139" s="557"/>
      <c r="I139" s="558"/>
      <c r="J139" s="123">
        <f t="shared" si="17"/>
        <v>0</v>
      </c>
      <c r="K139" s="123" t="e">
        <f t="shared" si="18"/>
        <v>#VALUE!</v>
      </c>
      <c r="L139" s="123">
        <f t="shared" si="14"/>
        <v>0</v>
      </c>
      <c r="M139" s="124" t="str">
        <f t="shared" si="15"/>
        <v/>
      </c>
      <c r="N139" s="112"/>
      <c r="O139" s="101"/>
      <c r="P139" s="101"/>
      <c r="Q139" s="101"/>
      <c r="R139" s="102"/>
      <c r="S139" s="102"/>
      <c r="T139" s="102"/>
      <c r="U139" s="103"/>
      <c r="V139" s="100"/>
      <c r="W139" s="101"/>
      <c r="X139" s="113"/>
      <c r="Y139" s="114"/>
      <c r="Z139" s="102"/>
      <c r="AA139" s="101"/>
      <c r="AB139" s="111"/>
      <c r="AE139" s="187"/>
      <c r="AF139" s="185"/>
      <c r="AG139" s="185" t="str">
        <f t="shared" si="19"/>
        <v/>
      </c>
      <c r="AH139" s="186" t="str">
        <f t="shared" si="20"/>
        <v/>
      </c>
      <c r="AI139" s="185"/>
      <c r="AJ139" s="188"/>
      <c r="CC139" s="562"/>
      <c r="CD139" s="425"/>
    </row>
    <row r="140" spans="2:82" ht="30" customHeight="1" x14ac:dyDescent="0.3">
      <c r="B140" s="562"/>
      <c r="C140" s="563"/>
      <c r="D140" s="425"/>
      <c r="E140" s="250" t="str">
        <f t="shared" si="22"/>
        <v/>
      </c>
      <c r="F140" s="556"/>
      <c r="G140" s="252" t="str">
        <f>IFERROR(VLOOKUP(F140,'Data (hidden)'!N:O,2,FALSE),"")</f>
        <v/>
      </c>
      <c r="H140" s="557"/>
      <c r="I140" s="558"/>
      <c r="J140" s="123">
        <f t="shared" si="17"/>
        <v>0</v>
      </c>
      <c r="K140" s="123" t="e">
        <f t="shared" si="18"/>
        <v>#VALUE!</v>
      </c>
      <c r="L140" s="123">
        <f t="shared" si="14"/>
        <v>0</v>
      </c>
      <c r="M140" s="124" t="str">
        <f t="shared" si="15"/>
        <v/>
      </c>
      <c r="N140" s="112"/>
      <c r="O140" s="101"/>
      <c r="P140" s="101"/>
      <c r="Q140" s="101"/>
      <c r="R140" s="102"/>
      <c r="S140" s="102"/>
      <c r="T140" s="102"/>
      <c r="U140" s="103"/>
      <c r="V140" s="100"/>
      <c r="W140" s="101"/>
      <c r="X140" s="113"/>
      <c r="Y140" s="114"/>
      <c r="Z140" s="102"/>
      <c r="AA140" s="101"/>
      <c r="AB140" s="111"/>
      <c r="AE140" s="187"/>
      <c r="AF140" s="185"/>
      <c r="AG140" s="185" t="str">
        <f t="shared" si="19"/>
        <v/>
      </c>
      <c r="AH140" s="186" t="str">
        <f t="shared" si="20"/>
        <v/>
      </c>
      <c r="AI140" s="185"/>
      <c r="AJ140" s="188"/>
      <c r="CC140" s="562"/>
      <c r="CD140" s="425"/>
    </row>
    <row r="141" spans="2:82" ht="30" customHeight="1" x14ac:dyDescent="0.3">
      <c r="B141" s="562"/>
      <c r="C141" s="563"/>
      <c r="D141" s="425"/>
      <c r="E141" s="250" t="str">
        <f t="shared" si="22"/>
        <v/>
      </c>
      <c r="F141" s="556"/>
      <c r="G141" s="252" t="str">
        <f>IFERROR(VLOOKUP(F141,'Data (hidden)'!N:O,2,FALSE),"")</f>
        <v/>
      </c>
      <c r="H141" s="557"/>
      <c r="I141" s="558"/>
      <c r="J141" s="123">
        <f t="shared" si="17"/>
        <v>0</v>
      </c>
      <c r="K141" s="123" t="e">
        <f t="shared" si="18"/>
        <v>#VALUE!</v>
      </c>
      <c r="L141" s="123">
        <f t="shared" si="14"/>
        <v>0</v>
      </c>
      <c r="M141" s="124" t="str">
        <f t="shared" si="15"/>
        <v/>
      </c>
      <c r="N141" s="112"/>
      <c r="O141" s="101"/>
      <c r="P141" s="101"/>
      <c r="Q141" s="101"/>
      <c r="R141" s="102"/>
      <c r="S141" s="102"/>
      <c r="T141" s="102"/>
      <c r="U141" s="103"/>
      <c r="V141" s="100"/>
      <c r="W141" s="101"/>
      <c r="X141" s="113"/>
      <c r="Y141" s="114"/>
      <c r="Z141" s="102"/>
      <c r="AA141" s="101"/>
      <c r="AB141" s="111"/>
      <c r="AE141" s="187"/>
      <c r="AF141" s="185"/>
      <c r="AG141" s="185" t="str">
        <f t="shared" si="19"/>
        <v/>
      </c>
      <c r="AH141" s="186" t="str">
        <f t="shared" si="20"/>
        <v/>
      </c>
      <c r="AI141" s="185"/>
      <c r="AJ141" s="188"/>
      <c r="CC141" s="562"/>
      <c r="CD141" s="425"/>
    </row>
    <row r="142" spans="2:82" ht="30" customHeight="1" x14ac:dyDescent="0.3">
      <c r="B142" s="562"/>
      <c r="C142" s="563"/>
      <c r="D142" s="425"/>
      <c r="E142" s="250" t="str">
        <f t="shared" si="22"/>
        <v/>
      </c>
      <c r="F142" s="556"/>
      <c r="G142" s="252" t="str">
        <f>IFERROR(VLOOKUP(F142,'Data (hidden)'!N:O,2,FALSE),"")</f>
        <v/>
      </c>
      <c r="H142" s="557"/>
      <c r="I142" s="558"/>
      <c r="J142" s="123">
        <f t="shared" si="17"/>
        <v>0</v>
      </c>
      <c r="K142" s="123" t="e">
        <f t="shared" si="18"/>
        <v>#VALUE!</v>
      </c>
      <c r="L142" s="123">
        <f t="shared" si="14"/>
        <v>0</v>
      </c>
      <c r="M142" s="124" t="str">
        <f t="shared" si="15"/>
        <v/>
      </c>
      <c r="N142" s="112"/>
      <c r="O142" s="101"/>
      <c r="P142" s="101"/>
      <c r="Q142" s="101"/>
      <c r="R142" s="102"/>
      <c r="S142" s="102"/>
      <c r="T142" s="102"/>
      <c r="U142" s="103"/>
      <c r="V142" s="100"/>
      <c r="W142" s="101"/>
      <c r="X142" s="113"/>
      <c r="Y142" s="114"/>
      <c r="Z142" s="102"/>
      <c r="AA142" s="101"/>
      <c r="AB142" s="111"/>
      <c r="AE142" s="187"/>
      <c r="AF142" s="185"/>
      <c r="AG142" s="185" t="str">
        <f t="shared" si="19"/>
        <v/>
      </c>
      <c r="AH142" s="186" t="str">
        <f t="shared" si="20"/>
        <v/>
      </c>
      <c r="AI142" s="185"/>
      <c r="AJ142" s="188"/>
      <c r="CC142" s="562"/>
      <c r="CD142" s="425"/>
    </row>
    <row r="143" spans="2:82" ht="30" customHeight="1" x14ac:dyDescent="0.3">
      <c r="B143" s="562"/>
      <c r="C143" s="563"/>
      <c r="D143" s="425"/>
      <c r="E143" s="250" t="str">
        <f t="shared" si="22"/>
        <v/>
      </c>
      <c r="F143" s="556"/>
      <c r="G143" s="252" t="str">
        <f>IFERROR(VLOOKUP(F143,'Data (hidden)'!N:O,2,FALSE),"")</f>
        <v/>
      </c>
      <c r="H143" s="557"/>
      <c r="I143" s="558"/>
      <c r="J143" s="123">
        <f t="shared" si="17"/>
        <v>0</v>
      </c>
      <c r="K143" s="123" t="e">
        <f t="shared" si="18"/>
        <v>#VALUE!</v>
      </c>
      <c r="L143" s="123">
        <f t="shared" si="14"/>
        <v>0</v>
      </c>
      <c r="M143" s="124" t="str">
        <f t="shared" si="15"/>
        <v/>
      </c>
      <c r="N143" s="112"/>
      <c r="O143" s="101"/>
      <c r="P143" s="101"/>
      <c r="Q143" s="101"/>
      <c r="R143" s="102"/>
      <c r="S143" s="102"/>
      <c r="T143" s="102"/>
      <c r="U143" s="103"/>
      <c r="V143" s="100"/>
      <c r="W143" s="101"/>
      <c r="X143" s="113"/>
      <c r="Y143" s="114"/>
      <c r="Z143" s="102"/>
      <c r="AA143" s="101"/>
      <c r="AB143" s="111"/>
      <c r="AE143" s="187"/>
      <c r="AF143" s="185"/>
      <c r="AG143" s="185" t="str">
        <f t="shared" si="19"/>
        <v/>
      </c>
      <c r="AH143" s="186" t="str">
        <f t="shared" si="20"/>
        <v/>
      </c>
      <c r="AI143" s="185"/>
      <c r="AJ143" s="188"/>
      <c r="CC143" s="562"/>
      <c r="CD143" s="425"/>
    </row>
    <row r="144" spans="2:82" ht="30" customHeight="1" x14ac:dyDescent="0.3">
      <c r="B144" s="562"/>
      <c r="C144" s="563"/>
      <c r="D144" s="425"/>
      <c r="E144" s="250" t="str">
        <f t="shared" si="22"/>
        <v/>
      </c>
      <c r="F144" s="556"/>
      <c r="G144" s="252" t="str">
        <f>IFERROR(VLOOKUP(F144,'Data (hidden)'!N:O,2,FALSE),"")</f>
        <v/>
      </c>
      <c r="H144" s="557"/>
      <c r="I144" s="558"/>
      <c r="J144" s="123">
        <f t="shared" si="17"/>
        <v>0</v>
      </c>
      <c r="K144" s="123" t="e">
        <f t="shared" si="18"/>
        <v>#VALUE!</v>
      </c>
      <c r="L144" s="123">
        <f t="shared" si="14"/>
        <v>0</v>
      </c>
      <c r="M144" s="124" t="str">
        <f t="shared" si="15"/>
        <v/>
      </c>
      <c r="N144" s="112"/>
      <c r="O144" s="101"/>
      <c r="P144" s="101"/>
      <c r="Q144" s="101"/>
      <c r="R144" s="102"/>
      <c r="S144" s="102"/>
      <c r="T144" s="102"/>
      <c r="U144" s="103"/>
      <c r="V144" s="100"/>
      <c r="W144" s="101"/>
      <c r="X144" s="113"/>
      <c r="Y144" s="114"/>
      <c r="Z144" s="102"/>
      <c r="AA144" s="101"/>
      <c r="AB144" s="111"/>
      <c r="AE144" s="187"/>
      <c r="AF144" s="185"/>
      <c r="AG144" s="185" t="str">
        <f t="shared" si="19"/>
        <v/>
      </c>
      <c r="AH144" s="186" t="str">
        <f t="shared" si="20"/>
        <v/>
      </c>
      <c r="AI144" s="185"/>
      <c r="AJ144" s="188"/>
      <c r="CC144" s="562"/>
      <c r="CD144" s="425"/>
    </row>
    <row r="145" spans="2:82" ht="30" customHeight="1" x14ac:dyDescent="0.3">
      <c r="B145" s="562"/>
      <c r="C145" s="563"/>
      <c r="D145" s="425"/>
      <c r="E145" s="250" t="str">
        <f t="shared" si="22"/>
        <v/>
      </c>
      <c r="F145" s="556"/>
      <c r="G145" s="252" t="str">
        <f>IFERROR(VLOOKUP(F145,'Data (hidden)'!N:O,2,FALSE),"")</f>
        <v/>
      </c>
      <c r="H145" s="557"/>
      <c r="I145" s="558"/>
      <c r="J145" s="123">
        <f t="shared" si="17"/>
        <v>0</v>
      </c>
      <c r="K145" s="123" t="e">
        <f t="shared" si="18"/>
        <v>#VALUE!</v>
      </c>
      <c r="L145" s="123">
        <f t="shared" si="14"/>
        <v>0</v>
      </c>
      <c r="M145" s="124" t="str">
        <f t="shared" si="15"/>
        <v/>
      </c>
      <c r="N145" s="112"/>
      <c r="O145" s="101"/>
      <c r="P145" s="101"/>
      <c r="Q145" s="101"/>
      <c r="R145" s="102"/>
      <c r="S145" s="102"/>
      <c r="T145" s="102"/>
      <c r="U145" s="103"/>
      <c r="V145" s="100"/>
      <c r="W145" s="101"/>
      <c r="X145" s="113"/>
      <c r="Y145" s="114"/>
      <c r="Z145" s="102"/>
      <c r="AA145" s="101"/>
      <c r="AB145" s="111"/>
      <c r="AE145" s="187"/>
      <c r="AF145" s="185"/>
      <c r="AG145" s="185" t="str">
        <f t="shared" si="19"/>
        <v/>
      </c>
      <c r="AH145" s="186" t="str">
        <f t="shared" si="20"/>
        <v/>
      </c>
      <c r="AI145" s="185"/>
      <c r="AJ145" s="188"/>
      <c r="CC145" s="562"/>
      <c r="CD145" s="425"/>
    </row>
    <row r="146" spans="2:82" ht="30" customHeight="1" x14ac:dyDescent="0.3">
      <c r="B146" s="562"/>
      <c r="C146" s="563"/>
      <c r="D146" s="425"/>
      <c r="E146" s="250" t="str">
        <f t="shared" si="22"/>
        <v/>
      </c>
      <c r="F146" s="556"/>
      <c r="G146" s="252" t="str">
        <f>IFERROR(VLOOKUP(F146,'Data (hidden)'!N:O,2,FALSE),"")</f>
        <v/>
      </c>
      <c r="H146" s="557"/>
      <c r="I146" s="558"/>
      <c r="J146" s="123">
        <f t="shared" si="17"/>
        <v>0</v>
      </c>
      <c r="K146" s="123" t="e">
        <f t="shared" si="18"/>
        <v>#VALUE!</v>
      </c>
      <c r="L146" s="123">
        <f t="shared" si="14"/>
        <v>0</v>
      </c>
      <c r="M146" s="124" t="str">
        <f t="shared" si="15"/>
        <v/>
      </c>
      <c r="N146" s="112"/>
      <c r="O146" s="101"/>
      <c r="P146" s="101"/>
      <c r="Q146" s="101"/>
      <c r="R146" s="102"/>
      <c r="S146" s="102"/>
      <c r="T146" s="102"/>
      <c r="U146" s="103"/>
      <c r="V146" s="100"/>
      <c r="W146" s="101"/>
      <c r="X146" s="113"/>
      <c r="Y146" s="114"/>
      <c r="Z146" s="102"/>
      <c r="AA146" s="101"/>
      <c r="AB146" s="111"/>
      <c r="AE146" s="187"/>
      <c r="AF146" s="185"/>
      <c r="AG146" s="185" t="str">
        <f t="shared" si="19"/>
        <v/>
      </c>
      <c r="AH146" s="186" t="str">
        <f t="shared" si="20"/>
        <v/>
      </c>
      <c r="AI146" s="185"/>
      <c r="AJ146" s="188"/>
      <c r="CC146" s="562"/>
      <c r="CD146" s="425"/>
    </row>
    <row r="147" spans="2:82" ht="30" customHeight="1" x14ac:dyDescent="0.3">
      <c r="B147" s="562"/>
      <c r="C147" s="563"/>
      <c r="D147" s="425"/>
      <c r="E147" s="250" t="str">
        <f t="shared" si="22"/>
        <v/>
      </c>
      <c r="F147" s="556"/>
      <c r="G147" s="252" t="str">
        <f>IFERROR(VLOOKUP(F147,'Data (hidden)'!N:O,2,FALSE),"")</f>
        <v/>
      </c>
      <c r="H147" s="557"/>
      <c r="I147" s="558"/>
      <c r="J147" s="123">
        <f t="shared" si="17"/>
        <v>0</v>
      </c>
      <c r="K147" s="123" t="e">
        <f t="shared" si="18"/>
        <v>#VALUE!</v>
      </c>
      <c r="L147" s="123">
        <f t="shared" ref="L147:L210" si="29">D147*0.01</f>
        <v>0</v>
      </c>
      <c r="M147" s="124" t="str">
        <f t="shared" ref="M147:M210" si="30">IFERROR(K147*I147,"")</f>
        <v/>
      </c>
      <c r="N147" s="112"/>
      <c r="O147" s="101"/>
      <c r="P147" s="101"/>
      <c r="Q147" s="101"/>
      <c r="R147" s="102"/>
      <c r="S147" s="102"/>
      <c r="T147" s="102"/>
      <c r="U147" s="103"/>
      <c r="V147" s="100"/>
      <c r="W147" s="101"/>
      <c r="X147" s="113"/>
      <c r="Y147" s="114"/>
      <c r="Z147" s="102"/>
      <c r="AA147" s="101"/>
      <c r="AB147" s="111"/>
      <c r="AE147" s="187"/>
      <c r="AF147" s="185"/>
      <c r="AG147" s="185" t="str">
        <f t="shared" si="19"/>
        <v/>
      </c>
      <c r="AH147" s="186" t="str">
        <f t="shared" si="20"/>
        <v/>
      </c>
      <c r="AI147" s="185"/>
      <c r="AJ147" s="188"/>
      <c r="CC147" s="562"/>
      <c r="CD147" s="425"/>
    </row>
    <row r="148" spans="2:82" ht="30" customHeight="1" x14ac:dyDescent="0.3">
      <c r="B148" s="562"/>
      <c r="C148" s="563"/>
      <c r="D148" s="425"/>
      <c r="E148" s="250" t="str">
        <f t="shared" si="22"/>
        <v/>
      </c>
      <c r="F148" s="556"/>
      <c r="G148" s="252" t="str">
        <f>IFERROR(VLOOKUP(F148,'Data (hidden)'!N:O,2,FALSE),"")</f>
        <v/>
      </c>
      <c r="H148" s="557"/>
      <c r="I148" s="558"/>
      <c r="J148" s="123">
        <f t="shared" ref="J148:J211" si="31">H148*0.01</f>
        <v>0</v>
      </c>
      <c r="K148" s="123" t="e">
        <f t="shared" ref="K148:K211" si="32">E148*J148</f>
        <v>#VALUE!</v>
      </c>
      <c r="L148" s="123">
        <f t="shared" si="29"/>
        <v>0</v>
      </c>
      <c r="M148" s="124" t="str">
        <f t="shared" si="30"/>
        <v/>
      </c>
      <c r="N148" s="112"/>
      <c r="O148" s="101"/>
      <c r="P148" s="101"/>
      <c r="Q148" s="101"/>
      <c r="R148" s="102"/>
      <c r="S148" s="102"/>
      <c r="T148" s="102"/>
      <c r="U148" s="103"/>
      <c r="V148" s="100"/>
      <c r="W148" s="101"/>
      <c r="X148" s="113"/>
      <c r="Y148" s="114"/>
      <c r="Z148" s="102"/>
      <c r="AA148" s="101"/>
      <c r="AB148" s="111"/>
      <c r="AE148" s="187"/>
      <c r="AF148" s="185"/>
      <c r="AG148" s="185" t="str">
        <f t="shared" ref="AG148:AG211" si="33">IF(ISNUMBER(B148), B148, "")</f>
        <v/>
      </c>
      <c r="AH148" s="186" t="str">
        <f t="shared" ref="AH148:AH211" si="34">E148</f>
        <v/>
      </c>
      <c r="AI148" s="185"/>
      <c r="AJ148" s="188"/>
      <c r="CC148" s="562"/>
      <c r="CD148" s="425"/>
    </row>
    <row r="149" spans="2:82" ht="30" customHeight="1" x14ac:dyDescent="0.3">
      <c r="B149" s="562"/>
      <c r="C149" s="563"/>
      <c r="D149" s="425"/>
      <c r="E149" s="250" t="str">
        <f t="shared" si="22"/>
        <v/>
      </c>
      <c r="F149" s="556"/>
      <c r="G149" s="252" t="str">
        <f>IFERROR(VLOOKUP(F149,'Data (hidden)'!N:O,2,FALSE),"")</f>
        <v/>
      </c>
      <c r="H149" s="557"/>
      <c r="I149" s="558"/>
      <c r="J149" s="123">
        <f t="shared" si="31"/>
        <v>0</v>
      </c>
      <c r="K149" s="123" t="e">
        <f t="shared" si="32"/>
        <v>#VALUE!</v>
      </c>
      <c r="L149" s="123">
        <f t="shared" si="29"/>
        <v>0</v>
      </c>
      <c r="M149" s="124" t="str">
        <f t="shared" si="30"/>
        <v/>
      </c>
      <c r="N149" s="112"/>
      <c r="O149" s="101"/>
      <c r="P149" s="101"/>
      <c r="Q149" s="101"/>
      <c r="R149" s="102"/>
      <c r="S149" s="102"/>
      <c r="T149" s="102"/>
      <c r="U149" s="103"/>
      <c r="V149" s="100"/>
      <c r="W149" s="101"/>
      <c r="X149" s="113"/>
      <c r="Y149" s="114"/>
      <c r="Z149" s="102"/>
      <c r="AA149" s="101"/>
      <c r="AB149" s="111"/>
      <c r="AE149" s="187"/>
      <c r="AF149" s="185"/>
      <c r="AG149" s="185" t="str">
        <f t="shared" si="33"/>
        <v/>
      </c>
      <c r="AH149" s="186" t="str">
        <f t="shared" si="34"/>
        <v/>
      </c>
      <c r="AI149" s="185"/>
      <c r="AJ149" s="188"/>
      <c r="CC149" s="562"/>
      <c r="CD149" s="425"/>
    </row>
    <row r="150" spans="2:82" ht="30" customHeight="1" x14ac:dyDescent="0.3">
      <c r="B150" s="562"/>
      <c r="C150" s="563"/>
      <c r="D150" s="425"/>
      <c r="E150" s="250" t="str">
        <f t="shared" si="22"/>
        <v/>
      </c>
      <c r="F150" s="556"/>
      <c r="G150" s="252" t="str">
        <f>IFERROR(VLOOKUP(F150,'Data (hidden)'!N:O,2,FALSE),"")</f>
        <v/>
      </c>
      <c r="H150" s="557"/>
      <c r="I150" s="558"/>
      <c r="J150" s="123">
        <f t="shared" si="31"/>
        <v>0</v>
      </c>
      <c r="K150" s="123" t="e">
        <f t="shared" si="32"/>
        <v>#VALUE!</v>
      </c>
      <c r="L150" s="123">
        <f t="shared" si="29"/>
        <v>0</v>
      </c>
      <c r="M150" s="124" t="str">
        <f t="shared" si="30"/>
        <v/>
      </c>
      <c r="N150" s="112"/>
      <c r="O150" s="101"/>
      <c r="P150" s="101"/>
      <c r="Q150" s="101"/>
      <c r="R150" s="102"/>
      <c r="S150" s="102"/>
      <c r="T150" s="102"/>
      <c r="U150" s="103"/>
      <c r="V150" s="100"/>
      <c r="W150" s="101"/>
      <c r="X150" s="113"/>
      <c r="Y150" s="114"/>
      <c r="Z150" s="102"/>
      <c r="AA150" s="101"/>
      <c r="AB150" s="111"/>
      <c r="AE150" s="187"/>
      <c r="AF150" s="185"/>
      <c r="AG150" s="185" t="str">
        <f t="shared" si="33"/>
        <v/>
      </c>
      <c r="AH150" s="186" t="str">
        <f t="shared" si="34"/>
        <v/>
      </c>
      <c r="AI150" s="185"/>
      <c r="AJ150" s="188"/>
      <c r="CC150" s="562"/>
      <c r="CD150" s="425"/>
    </row>
    <row r="151" spans="2:82" ht="30" customHeight="1" x14ac:dyDescent="0.3">
      <c r="B151" s="562"/>
      <c r="C151" s="563"/>
      <c r="D151" s="425"/>
      <c r="E151" s="250" t="str">
        <f t="shared" si="22"/>
        <v/>
      </c>
      <c r="F151" s="556"/>
      <c r="G151" s="252" t="str">
        <f>IFERROR(VLOOKUP(F151,'Data (hidden)'!N:O,2,FALSE),"")</f>
        <v/>
      </c>
      <c r="H151" s="557"/>
      <c r="I151" s="558"/>
      <c r="J151" s="123">
        <f t="shared" si="31"/>
        <v>0</v>
      </c>
      <c r="K151" s="123" t="e">
        <f t="shared" si="32"/>
        <v>#VALUE!</v>
      </c>
      <c r="L151" s="123">
        <f t="shared" si="29"/>
        <v>0</v>
      </c>
      <c r="M151" s="124" t="str">
        <f t="shared" si="30"/>
        <v/>
      </c>
      <c r="N151" s="112"/>
      <c r="O151" s="101"/>
      <c r="P151" s="101"/>
      <c r="Q151" s="101"/>
      <c r="R151" s="102"/>
      <c r="S151" s="102"/>
      <c r="T151" s="102"/>
      <c r="U151" s="103"/>
      <c r="V151" s="100"/>
      <c r="W151" s="101"/>
      <c r="X151" s="113"/>
      <c r="Y151" s="114"/>
      <c r="Z151" s="102"/>
      <c r="AA151" s="101"/>
      <c r="AB151" s="111"/>
      <c r="AE151" s="187"/>
      <c r="AF151" s="185"/>
      <c r="AG151" s="185" t="str">
        <f t="shared" si="33"/>
        <v/>
      </c>
      <c r="AH151" s="186" t="str">
        <f t="shared" si="34"/>
        <v/>
      </c>
      <c r="AI151" s="185"/>
      <c r="AJ151" s="188"/>
      <c r="CC151" s="562"/>
      <c r="CD151" s="425"/>
    </row>
    <row r="152" spans="2:82" ht="30" customHeight="1" x14ac:dyDescent="0.3">
      <c r="B152" s="562"/>
      <c r="C152" s="563"/>
      <c r="D152" s="425"/>
      <c r="E152" s="250" t="str">
        <f t="shared" si="22"/>
        <v/>
      </c>
      <c r="F152" s="556"/>
      <c r="G152" s="252" t="str">
        <f>IFERROR(VLOOKUP(F152,'Data (hidden)'!N:O,2,FALSE),"")</f>
        <v/>
      </c>
      <c r="H152" s="557"/>
      <c r="I152" s="558"/>
      <c r="J152" s="123">
        <f t="shared" si="31"/>
        <v>0</v>
      </c>
      <c r="K152" s="123" t="e">
        <f t="shared" si="32"/>
        <v>#VALUE!</v>
      </c>
      <c r="L152" s="123">
        <f t="shared" si="29"/>
        <v>0</v>
      </c>
      <c r="M152" s="124" t="str">
        <f t="shared" si="30"/>
        <v/>
      </c>
      <c r="N152" s="112"/>
      <c r="O152" s="101"/>
      <c r="P152" s="101"/>
      <c r="Q152" s="101"/>
      <c r="R152" s="102"/>
      <c r="S152" s="102"/>
      <c r="T152" s="102"/>
      <c r="U152" s="103"/>
      <c r="V152" s="100"/>
      <c r="W152" s="101"/>
      <c r="X152" s="113"/>
      <c r="Y152" s="114"/>
      <c r="Z152" s="102"/>
      <c r="AA152" s="101"/>
      <c r="AB152" s="111"/>
      <c r="AE152" s="187"/>
      <c r="AF152" s="185"/>
      <c r="AG152" s="185" t="str">
        <f t="shared" si="33"/>
        <v/>
      </c>
      <c r="AH152" s="186" t="str">
        <f t="shared" si="34"/>
        <v/>
      </c>
      <c r="AI152" s="185"/>
      <c r="AJ152" s="188"/>
      <c r="CC152" s="562"/>
      <c r="CD152" s="425"/>
    </row>
    <row r="153" spans="2:82" ht="30" customHeight="1" x14ac:dyDescent="0.3">
      <c r="B153" s="562"/>
      <c r="C153" s="563"/>
      <c r="D153" s="425"/>
      <c r="E153" s="250" t="str">
        <f t="shared" si="22"/>
        <v/>
      </c>
      <c r="F153" s="556"/>
      <c r="G153" s="252" t="str">
        <f>IFERROR(VLOOKUP(F153,'Data (hidden)'!N:O,2,FALSE),"")</f>
        <v/>
      </c>
      <c r="H153" s="557"/>
      <c r="I153" s="558"/>
      <c r="J153" s="123">
        <f t="shared" si="31"/>
        <v>0</v>
      </c>
      <c r="K153" s="123" t="e">
        <f t="shared" si="32"/>
        <v>#VALUE!</v>
      </c>
      <c r="L153" s="123">
        <f t="shared" si="29"/>
        <v>0</v>
      </c>
      <c r="M153" s="124" t="str">
        <f t="shared" si="30"/>
        <v/>
      </c>
      <c r="N153" s="112"/>
      <c r="O153" s="101"/>
      <c r="P153" s="101"/>
      <c r="Q153" s="101"/>
      <c r="R153" s="102"/>
      <c r="S153" s="102"/>
      <c r="T153" s="102"/>
      <c r="U153" s="103"/>
      <c r="V153" s="100"/>
      <c r="W153" s="101"/>
      <c r="X153" s="113"/>
      <c r="Y153" s="114"/>
      <c r="Z153" s="102"/>
      <c r="AA153" s="101"/>
      <c r="AB153" s="111"/>
      <c r="AE153" s="187"/>
      <c r="AF153" s="185"/>
      <c r="AG153" s="185" t="str">
        <f t="shared" si="33"/>
        <v/>
      </c>
      <c r="AH153" s="186" t="str">
        <f t="shared" si="34"/>
        <v/>
      </c>
      <c r="AI153" s="185"/>
      <c r="AJ153" s="188"/>
      <c r="CC153" s="562"/>
      <c r="CD153" s="425"/>
    </row>
    <row r="154" spans="2:82" ht="30" customHeight="1" x14ac:dyDescent="0.3">
      <c r="B154" s="562"/>
      <c r="C154" s="563"/>
      <c r="D154" s="425"/>
      <c r="E154" s="250" t="str">
        <f t="shared" si="22"/>
        <v/>
      </c>
      <c r="F154" s="556"/>
      <c r="G154" s="252" t="str">
        <f>IFERROR(VLOOKUP(F154,'Data (hidden)'!N:O,2,FALSE),"")</f>
        <v/>
      </c>
      <c r="H154" s="557"/>
      <c r="I154" s="558"/>
      <c r="J154" s="123">
        <f t="shared" si="31"/>
        <v>0</v>
      </c>
      <c r="K154" s="123" t="e">
        <f t="shared" si="32"/>
        <v>#VALUE!</v>
      </c>
      <c r="L154" s="123">
        <f t="shared" si="29"/>
        <v>0</v>
      </c>
      <c r="M154" s="124" t="str">
        <f t="shared" si="30"/>
        <v/>
      </c>
      <c r="N154" s="112"/>
      <c r="O154" s="101"/>
      <c r="P154" s="101"/>
      <c r="Q154" s="101"/>
      <c r="R154" s="102"/>
      <c r="S154" s="102"/>
      <c r="T154" s="102"/>
      <c r="U154" s="103"/>
      <c r="V154" s="100"/>
      <c r="W154" s="101"/>
      <c r="X154" s="113"/>
      <c r="Y154" s="114"/>
      <c r="Z154" s="102"/>
      <c r="AA154" s="101"/>
      <c r="AB154" s="111"/>
      <c r="AE154" s="187"/>
      <c r="AF154" s="185"/>
      <c r="AG154" s="185" t="str">
        <f t="shared" si="33"/>
        <v/>
      </c>
      <c r="AH154" s="186" t="str">
        <f t="shared" si="34"/>
        <v/>
      </c>
      <c r="AI154" s="185"/>
      <c r="AJ154" s="188"/>
      <c r="CC154" s="562"/>
      <c r="CD154" s="425"/>
    </row>
    <row r="155" spans="2:82" ht="30" customHeight="1" x14ac:dyDescent="0.3">
      <c r="B155" s="562"/>
      <c r="C155" s="563"/>
      <c r="D155" s="425"/>
      <c r="E155" s="250" t="str">
        <f t="shared" si="22"/>
        <v/>
      </c>
      <c r="F155" s="556"/>
      <c r="G155" s="252" t="str">
        <f>IFERROR(VLOOKUP(F155,'Data (hidden)'!N:O,2,FALSE),"")</f>
        <v/>
      </c>
      <c r="H155" s="557"/>
      <c r="I155" s="558"/>
      <c r="J155" s="123">
        <f t="shared" si="31"/>
        <v>0</v>
      </c>
      <c r="K155" s="123" t="e">
        <f t="shared" si="32"/>
        <v>#VALUE!</v>
      </c>
      <c r="L155" s="123">
        <f t="shared" si="29"/>
        <v>0</v>
      </c>
      <c r="M155" s="124" t="str">
        <f t="shared" si="30"/>
        <v/>
      </c>
      <c r="N155" s="112"/>
      <c r="O155" s="101"/>
      <c r="P155" s="101"/>
      <c r="Q155" s="101"/>
      <c r="R155" s="102"/>
      <c r="S155" s="102"/>
      <c r="T155" s="102"/>
      <c r="U155" s="103"/>
      <c r="V155" s="100"/>
      <c r="W155" s="101"/>
      <c r="X155" s="113"/>
      <c r="Y155" s="114"/>
      <c r="Z155" s="102"/>
      <c r="AA155" s="101"/>
      <c r="AB155" s="111"/>
      <c r="AE155" s="187"/>
      <c r="AF155" s="185"/>
      <c r="AG155" s="185" t="str">
        <f t="shared" si="33"/>
        <v/>
      </c>
      <c r="AH155" s="186" t="str">
        <f t="shared" si="34"/>
        <v/>
      </c>
      <c r="AI155" s="185"/>
      <c r="AJ155" s="188"/>
      <c r="CC155" s="562"/>
      <c r="CD155" s="425"/>
    </row>
    <row r="156" spans="2:82" ht="30" customHeight="1" x14ac:dyDescent="0.3">
      <c r="B156" s="562"/>
      <c r="C156" s="563"/>
      <c r="D156" s="425"/>
      <c r="E156" s="250" t="str">
        <f t="shared" si="22"/>
        <v/>
      </c>
      <c r="F156" s="556"/>
      <c r="G156" s="252" t="str">
        <f>IFERROR(VLOOKUP(F156,'Data (hidden)'!N:O,2,FALSE),"")</f>
        <v/>
      </c>
      <c r="H156" s="557"/>
      <c r="I156" s="558"/>
      <c r="J156" s="123">
        <f t="shared" si="31"/>
        <v>0</v>
      </c>
      <c r="K156" s="123" t="e">
        <f t="shared" si="32"/>
        <v>#VALUE!</v>
      </c>
      <c r="L156" s="123">
        <f t="shared" si="29"/>
        <v>0</v>
      </c>
      <c r="M156" s="124" t="str">
        <f t="shared" si="30"/>
        <v/>
      </c>
      <c r="N156" s="112"/>
      <c r="O156" s="101"/>
      <c r="P156" s="101"/>
      <c r="Q156" s="101"/>
      <c r="R156" s="102"/>
      <c r="S156" s="102"/>
      <c r="T156" s="102"/>
      <c r="U156" s="103"/>
      <c r="V156" s="100"/>
      <c r="W156" s="101"/>
      <c r="X156" s="113"/>
      <c r="Y156" s="114"/>
      <c r="Z156" s="102"/>
      <c r="AA156" s="101"/>
      <c r="AB156" s="111"/>
      <c r="AE156" s="187"/>
      <c r="AF156" s="185"/>
      <c r="AG156" s="185" t="str">
        <f t="shared" si="33"/>
        <v/>
      </c>
      <c r="AH156" s="186" t="str">
        <f t="shared" si="34"/>
        <v/>
      </c>
      <c r="AI156" s="185"/>
      <c r="AJ156" s="188"/>
      <c r="CC156" s="562"/>
      <c r="CD156" s="425"/>
    </row>
    <row r="157" spans="2:82" ht="30" customHeight="1" x14ac:dyDescent="0.3">
      <c r="B157" s="562"/>
      <c r="C157" s="563"/>
      <c r="D157" s="425"/>
      <c r="E157" s="250" t="str">
        <f t="shared" si="22"/>
        <v/>
      </c>
      <c r="F157" s="556"/>
      <c r="G157" s="252" t="str">
        <f>IFERROR(VLOOKUP(F157,'Data (hidden)'!N:O,2,FALSE),"")</f>
        <v/>
      </c>
      <c r="H157" s="557"/>
      <c r="I157" s="558"/>
      <c r="J157" s="123">
        <f t="shared" si="31"/>
        <v>0</v>
      </c>
      <c r="K157" s="123" t="e">
        <f t="shared" si="32"/>
        <v>#VALUE!</v>
      </c>
      <c r="L157" s="123">
        <f t="shared" si="29"/>
        <v>0</v>
      </c>
      <c r="M157" s="124" t="str">
        <f t="shared" si="30"/>
        <v/>
      </c>
      <c r="N157" s="112"/>
      <c r="O157" s="101"/>
      <c r="P157" s="101"/>
      <c r="Q157" s="101"/>
      <c r="R157" s="102"/>
      <c r="S157" s="102"/>
      <c r="T157" s="102"/>
      <c r="U157" s="103"/>
      <c r="V157" s="100"/>
      <c r="W157" s="101"/>
      <c r="X157" s="113"/>
      <c r="Y157" s="114"/>
      <c r="Z157" s="102"/>
      <c r="AA157" s="101"/>
      <c r="AB157" s="111"/>
      <c r="AE157" s="187"/>
      <c r="AF157" s="185"/>
      <c r="AG157" s="185" t="str">
        <f t="shared" si="33"/>
        <v/>
      </c>
      <c r="AH157" s="186" t="str">
        <f t="shared" si="34"/>
        <v/>
      </c>
      <c r="AI157" s="185"/>
      <c r="AJ157" s="188"/>
      <c r="CC157" s="562"/>
      <c r="CD157" s="425"/>
    </row>
    <row r="158" spans="2:82" ht="30" customHeight="1" x14ac:dyDescent="0.3">
      <c r="B158" s="562"/>
      <c r="C158" s="563"/>
      <c r="D158" s="425"/>
      <c r="E158" s="250" t="str">
        <f t="shared" si="22"/>
        <v/>
      </c>
      <c r="F158" s="556"/>
      <c r="G158" s="252" t="str">
        <f>IFERROR(VLOOKUP(F158,'Data (hidden)'!N:O,2,FALSE),"")</f>
        <v/>
      </c>
      <c r="H158" s="557"/>
      <c r="I158" s="558"/>
      <c r="J158" s="123">
        <f t="shared" si="31"/>
        <v>0</v>
      </c>
      <c r="K158" s="123" t="e">
        <f t="shared" si="32"/>
        <v>#VALUE!</v>
      </c>
      <c r="L158" s="123">
        <f t="shared" si="29"/>
        <v>0</v>
      </c>
      <c r="M158" s="124" t="str">
        <f t="shared" si="30"/>
        <v/>
      </c>
      <c r="N158" s="112"/>
      <c r="O158" s="101"/>
      <c r="P158" s="101"/>
      <c r="Q158" s="101"/>
      <c r="R158" s="102"/>
      <c r="S158" s="102"/>
      <c r="T158" s="102"/>
      <c r="U158" s="103"/>
      <c r="V158" s="100"/>
      <c r="W158" s="101"/>
      <c r="X158" s="113"/>
      <c r="Y158" s="114"/>
      <c r="Z158" s="102"/>
      <c r="AA158" s="101"/>
      <c r="AB158" s="111"/>
      <c r="AE158" s="187"/>
      <c r="AF158" s="185"/>
      <c r="AG158" s="185" t="str">
        <f t="shared" si="33"/>
        <v/>
      </c>
      <c r="AH158" s="186" t="str">
        <f t="shared" si="34"/>
        <v/>
      </c>
      <c r="AI158" s="185"/>
      <c r="AJ158" s="188"/>
      <c r="CC158" s="562"/>
      <c r="CD158" s="425"/>
    </row>
    <row r="159" spans="2:82" ht="30" customHeight="1" x14ac:dyDescent="0.3">
      <c r="B159" s="562"/>
      <c r="C159" s="563"/>
      <c r="D159" s="425"/>
      <c r="E159" s="250" t="str">
        <f t="shared" si="22"/>
        <v/>
      </c>
      <c r="F159" s="556"/>
      <c r="G159" s="252" t="str">
        <f>IFERROR(VLOOKUP(F159,'Data (hidden)'!N:O,2,FALSE),"")</f>
        <v/>
      </c>
      <c r="H159" s="557"/>
      <c r="I159" s="558"/>
      <c r="J159" s="123">
        <f t="shared" si="31"/>
        <v>0</v>
      </c>
      <c r="K159" s="123" t="e">
        <f t="shared" si="32"/>
        <v>#VALUE!</v>
      </c>
      <c r="L159" s="123">
        <f t="shared" si="29"/>
        <v>0</v>
      </c>
      <c r="M159" s="124" t="str">
        <f t="shared" si="30"/>
        <v/>
      </c>
      <c r="N159" s="112"/>
      <c r="O159" s="101"/>
      <c r="P159" s="101"/>
      <c r="Q159" s="101"/>
      <c r="R159" s="102"/>
      <c r="S159" s="102"/>
      <c r="T159" s="102"/>
      <c r="U159" s="103"/>
      <c r="V159" s="100"/>
      <c r="W159" s="101"/>
      <c r="X159" s="113"/>
      <c r="Y159" s="114"/>
      <c r="Z159" s="102"/>
      <c r="AA159" s="101"/>
      <c r="AB159" s="111"/>
      <c r="AE159" s="187"/>
      <c r="AF159" s="185"/>
      <c r="AG159" s="185" t="str">
        <f t="shared" si="33"/>
        <v/>
      </c>
      <c r="AH159" s="186" t="str">
        <f t="shared" si="34"/>
        <v/>
      </c>
      <c r="AI159" s="185"/>
      <c r="AJ159" s="188"/>
      <c r="CC159" s="562"/>
      <c r="CD159" s="425"/>
    </row>
    <row r="160" spans="2:82" ht="30" customHeight="1" x14ac:dyDescent="0.3">
      <c r="B160" s="562"/>
      <c r="C160" s="563"/>
      <c r="D160" s="425"/>
      <c r="E160" s="250" t="str">
        <f t="shared" si="22"/>
        <v/>
      </c>
      <c r="F160" s="556"/>
      <c r="G160" s="252" t="str">
        <f>IFERROR(VLOOKUP(F160,'Data (hidden)'!N:O,2,FALSE),"")</f>
        <v/>
      </c>
      <c r="H160" s="557"/>
      <c r="I160" s="558"/>
      <c r="J160" s="123">
        <f t="shared" si="31"/>
        <v>0</v>
      </c>
      <c r="K160" s="123" t="e">
        <f t="shared" si="32"/>
        <v>#VALUE!</v>
      </c>
      <c r="L160" s="123">
        <f t="shared" si="29"/>
        <v>0</v>
      </c>
      <c r="M160" s="124" t="str">
        <f t="shared" si="30"/>
        <v/>
      </c>
      <c r="N160" s="112"/>
      <c r="O160" s="101"/>
      <c r="P160" s="101"/>
      <c r="Q160" s="101"/>
      <c r="R160" s="102"/>
      <c r="S160" s="102"/>
      <c r="T160" s="102"/>
      <c r="U160" s="103"/>
      <c r="V160" s="100"/>
      <c r="W160" s="101"/>
      <c r="X160" s="113"/>
      <c r="Y160" s="114"/>
      <c r="Z160" s="102"/>
      <c r="AA160" s="101"/>
      <c r="AB160" s="111"/>
      <c r="AE160" s="187"/>
      <c r="AF160" s="185"/>
      <c r="AG160" s="185" t="str">
        <f t="shared" si="33"/>
        <v/>
      </c>
      <c r="AH160" s="186" t="str">
        <f t="shared" si="34"/>
        <v/>
      </c>
      <c r="AI160" s="185"/>
      <c r="AJ160" s="188"/>
      <c r="CC160" s="562"/>
      <c r="CD160" s="425"/>
    </row>
    <row r="161" spans="2:82" ht="30" customHeight="1" x14ac:dyDescent="0.3">
      <c r="B161" s="562"/>
      <c r="C161" s="563"/>
      <c r="D161" s="425"/>
      <c r="E161" s="250" t="str">
        <f t="shared" si="22"/>
        <v/>
      </c>
      <c r="F161" s="556"/>
      <c r="G161" s="252" t="str">
        <f>IFERROR(VLOOKUP(F161,'Data (hidden)'!N:O,2,FALSE),"")</f>
        <v/>
      </c>
      <c r="H161" s="557"/>
      <c r="I161" s="558"/>
      <c r="J161" s="123">
        <f t="shared" si="31"/>
        <v>0</v>
      </c>
      <c r="K161" s="123" t="e">
        <f t="shared" si="32"/>
        <v>#VALUE!</v>
      </c>
      <c r="L161" s="123">
        <f t="shared" si="29"/>
        <v>0</v>
      </c>
      <c r="M161" s="124" t="str">
        <f t="shared" si="30"/>
        <v/>
      </c>
      <c r="N161" s="112"/>
      <c r="O161" s="101"/>
      <c r="P161" s="101"/>
      <c r="Q161" s="101"/>
      <c r="R161" s="102"/>
      <c r="S161" s="102"/>
      <c r="T161" s="102"/>
      <c r="U161" s="103"/>
      <c r="V161" s="100"/>
      <c r="W161" s="101"/>
      <c r="X161" s="113"/>
      <c r="Y161" s="114"/>
      <c r="Z161" s="102"/>
      <c r="AA161" s="101"/>
      <c r="AB161" s="111"/>
      <c r="AE161" s="187"/>
      <c r="AF161" s="185"/>
      <c r="AG161" s="185" t="str">
        <f t="shared" si="33"/>
        <v/>
      </c>
      <c r="AH161" s="186" t="str">
        <f t="shared" si="34"/>
        <v/>
      </c>
      <c r="AI161" s="185"/>
      <c r="AJ161" s="188"/>
      <c r="CC161" s="562"/>
      <c r="CD161" s="425"/>
    </row>
    <row r="162" spans="2:82" ht="30" customHeight="1" x14ac:dyDescent="0.3">
      <c r="B162" s="562"/>
      <c r="C162" s="563"/>
      <c r="D162" s="425"/>
      <c r="E162" s="250" t="str">
        <f t="shared" si="22"/>
        <v/>
      </c>
      <c r="F162" s="556"/>
      <c r="G162" s="252" t="str">
        <f>IFERROR(VLOOKUP(F162,'Data (hidden)'!N:O,2,FALSE),"")</f>
        <v/>
      </c>
      <c r="H162" s="557"/>
      <c r="I162" s="558"/>
      <c r="J162" s="123">
        <f t="shared" si="31"/>
        <v>0</v>
      </c>
      <c r="K162" s="123" t="e">
        <f t="shared" si="32"/>
        <v>#VALUE!</v>
      </c>
      <c r="L162" s="123">
        <f t="shared" si="29"/>
        <v>0</v>
      </c>
      <c r="M162" s="124" t="str">
        <f t="shared" si="30"/>
        <v/>
      </c>
      <c r="N162" s="112"/>
      <c r="O162" s="101"/>
      <c r="P162" s="101"/>
      <c r="Q162" s="101"/>
      <c r="R162" s="102"/>
      <c r="S162" s="102"/>
      <c r="T162" s="102"/>
      <c r="U162" s="103"/>
      <c r="V162" s="100"/>
      <c r="W162" s="101"/>
      <c r="X162" s="113"/>
      <c r="Y162" s="114"/>
      <c r="Z162" s="102"/>
      <c r="AA162" s="101"/>
      <c r="AB162" s="111"/>
      <c r="AE162" s="187"/>
      <c r="AF162" s="185"/>
      <c r="AG162" s="185" t="str">
        <f t="shared" si="33"/>
        <v/>
      </c>
      <c r="AH162" s="186" t="str">
        <f t="shared" si="34"/>
        <v/>
      </c>
      <c r="AI162" s="185"/>
      <c r="AJ162" s="188"/>
      <c r="CC162" s="562"/>
      <c r="CD162" s="425"/>
    </row>
    <row r="163" spans="2:82" ht="30" customHeight="1" x14ac:dyDescent="0.3">
      <c r="B163" s="562"/>
      <c r="C163" s="563"/>
      <c r="D163" s="425"/>
      <c r="E163" s="250" t="str">
        <f t="shared" si="22"/>
        <v/>
      </c>
      <c r="F163" s="556"/>
      <c r="G163" s="252" t="str">
        <f>IFERROR(VLOOKUP(F163,'Data (hidden)'!N:O,2,FALSE),"")</f>
        <v/>
      </c>
      <c r="H163" s="557"/>
      <c r="I163" s="558"/>
      <c r="J163" s="123">
        <f t="shared" si="31"/>
        <v>0</v>
      </c>
      <c r="K163" s="123" t="e">
        <f t="shared" si="32"/>
        <v>#VALUE!</v>
      </c>
      <c r="L163" s="123">
        <f t="shared" si="29"/>
        <v>0</v>
      </c>
      <c r="M163" s="124" t="str">
        <f t="shared" si="30"/>
        <v/>
      </c>
      <c r="N163" s="112"/>
      <c r="O163" s="101"/>
      <c r="P163" s="101"/>
      <c r="Q163" s="101"/>
      <c r="R163" s="102"/>
      <c r="S163" s="102"/>
      <c r="T163" s="102"/>
      <c r="U163" s="103"/>
      <c r="V163" s="100"/>
      <c r="W163" s="101"/>
      <c r="X163" s="113"/>
      <c r="Y163" s="114"/>
      <c r="Z163" s="102"/>
      <c r="AA163" s="101"/>
      <c r="AB163" s="111"/>
      <c r="AE163" s="187"/>
      <c r="AF163" s="185"/>
      <c r="AG163" s="185" t="str">
        <f t="shared" si="33"/>
        <v/>
      </c>
      <c r="AH163" s="186" t="str">
        <f t="shared" si="34"/>
        <v/>
      </c>
      <c r="AI163" s="185"/>
      <c r="AJ163" s="188"/>
      <c r="CC163" s="562"/>
      <c r="CD163" s="425"/>
    </row>
    <row r="164" spans="2:82" ht="30" customHeight="1" x14ac:dyDescent="0.3">
      <c r="B164" s="562"/>
      <c r="C164" s="563"/>
      <c r="D164" s="425"/>
      <c r="E164" s="250" t="str">
        <f t="shared" si="22"/>
        <v/>
      </c>
      <c r="F164" s="556"/>
      <c r="G164" s="252" t="str">
        <f>IFERROR(VLOOKUP(F164,'Data (hidden)'!N:O,2,FALSE),"")</f>
        <v/>
      </c>
      <c r="H164" s="557"/>
      <c r="I164" s="558"/>
      <c r="J164" s="123">
        <f t="shared" si="31"/>
        <v>0</v>
      </c>
      <c r="K164" s="123" t="e">
        <f t="shared" si="32"/>
        <v>#VALUE!</v>
      </c>
      <c r="L164" s="123">
        <f t="shared" si="29"/>
        <v>0</v>
      </c>
      <c r="M164" s="124" t="str">
        <f t="shared" si="30"/>
        <v/>
      </c>
      <c r="N164" s="112"/>
      <c r="O164" s="101"/>
      <c r="P164" s="101"/>
      <c r="Q164" s="101"/>
      <c r="R164" s="102"/>
      <c r="S164" s="102"/>
      <c r="T164" s="102"/>
      <c r="U164" s="103"/>
      <c r="V164" s="100"/>
      <c r="W164" s="101"/>
      <c r="X164" s="113"/>
      <c r="Y164" s="114"/>
      <c r="Z164" s="102"/>
      <c r="AA164" s="101"/>
      <c r="AB164" s="111"/>
      <c r="AE164" s="187"/>
      <c r="AF164" s="185"/>
      <c r="AG164" s="185" t="str">
        <f t="shared" si="33"/>
        <v/>
      </c>
      <c r="AH164" s="186" t="str">
        <f t="shared" si="34"/>
        <v/>
      </c>
      <c r="AI164" s="185"/>
      <c r="AJ164" s="188"/>
      <c r="CC164" s="562"/>
      <c r="CD164" s="425"/>
    </row>
    <row r="165" spans="2:82" ht="30" customHeight="1" x14ac:dyDescent="0.3">
      <c r="B165" s="562"/>
      <c r="C165" s="563"/>
      <c r="D165" s="425"/>
      <c r="E165" s="250" t="str">
        <f t="shared" si="22"/>
        <v/>
      </c>
      <c r="F165" s="556"/>
      <c r="G165" s="252" t="str">
        <f>IFERROR(VLOOKUP(F165,'Data (hidden)'!N:O,2,FALSE),"")</f>
        <v/>
      </c>
      <c r="H165" s="557"/>
      <c r="I165" s="558"/>
      <c r="J165" s="123">
        <f t="shared" si="31"/>
        <v>0</v>
      </c>
      <c r="K165" s="123" t="e">
        <f t="shared" si="32"/>
        <v>#VALUE!</v>
      </c>
      <c r="L165" s="123">
        <f t="shared" si="29"/>
        <v>0</v>
      </c>
      <c r="M165" s="124" t="str">
        <f t="shared" si="30"/>
        <v/>
      </c>
      <c r="N165" s="112"/>
      <c r="O165" s="101"/>
      <c r="P165" s="101"/>
      <c r="Q165" s="101"/>
      <c r="R165" s="102"/>
      <c r="S165" s="102"/>
      <c r="T165" s="102"/>
      <c r="U165" s="103"/>
      <c r="V165" s="100"/>
      <c r="W165" s="101"/>
      <c r="X165" s="113"/>
      <c r="Y165" s="114"/>
      <c r="Z165" s="102"/>
      <c r="AA165" s="101"/>
      <c r="AB165" s="111"/>
      <c r="AE165" s="187"/>
      <c r="AF165" s="185"/>
      <c r="AG165" s="185" t="str">
        <f t="shared" si="33"/>
        <v/>
      </c>
      <c r="AH165" s="186" t="str">
        <f t="shared" si="34"/>
        <v/>
      </c>
      <c r="AI165" s="185"/>
      <c r="AJ165" s="188"/>
      <c r="CC165" s="562"/>
      <c r="CD165" s="425"/>
    </row>
    <row r="166" spans="2:82" ht="30" customHeight="1" x14ac:dyDescent="0.3">
      <c r="B166" s="562"/>
      <c r="C166" s="563"/>
      <c r="D166" s="425"/>
      <c r="E166" s="250" t="str">
        <f t="shared" si="22"/>
        <v/>
      </c>
      <c r="F166" s="556"/>
      <c r="G166" s="252" t="str">
        <f>IFERROR(VLOOKUP(F166,'Data (hidden)'!N:O,2,FALSE),"")</f>
        <v/>
      </c>
      <c r="H166" s="557"/>
      <c r="I166" s="558"/>
      <c r="J166" s="123">
        <f t="shared" si="31"/>
        <v>0</v>
      </c>
      <c r="K166" s="123" t="e">
        <f t="shared" si="32"/>
        <v>#VALUE!</v>
      </c>
      <c r="L166" s="123">
        <f t="shared" si="29"/>
        <v>0</v>
      </c>
      <c r="M166" s="124" t="str">
        <f t="shared" si="30"/>
        <v/>
      </c>
      <c r="N166" s="112"/>
      <c r="O166" s="101"/>
      <c r="P166" s="101"/>
      <c r="Q166" s="101"/>
      <c r="R166" s="102"/>
      <c r="S166" s="102"/>
      <c r="T166" s="102"/>
      <c r="U166" s="103"/>
      <c r="V166" s="100"/>
      <c r="W166" s="101"/>
      <c r="X166" s="113"/>
      <c r="Y166" s="114"/>
      <c r="Z166" s="102"/>
      <c r="AA166" s="101"/>
      <c r="AB166" s="111"/>
      <c r="AE166" s="187"/>
      <c r="AF166" s="185"/>
      <c r="AG166" s="185" t="str">
        <f t="shared" si="33"/>
        <v/>
      </c>
      <c r="AH166" s="186" t="str">
        <f t="shared" si="34"/>
        <v/>
      </c>
      <c r="AI166" s="185"/>
      <c r="AJ166" s="188"/>
      <c r="CC166" s="562"/>
      <c r="CD166" s="425"/>
    </row>
    <row r="167" spans="2:82" ht="30" customHeight="1" x14ac:dyDescent="0.3">
      <c r="B167" s="562"/>
      <c r="C167" s="563"/>
      <c r="D167" s="425"/>
      <c r="E167" s="250" t="str">
        <f t="shared" si="22"/>
        <v/>
      </c>
      <c r="F167" s="556"/>
      <c r="G167" s="252" t="str">
        <f>IFERROR(VLOOKUP(F167,'Data (hidden)'!N:O,2,FALSE),"")</f>
        <v/>
      </c>
      <c r="H167" s="557"/>
      <c r="I167" s="558"/>
      <c r="J167" s="123">
        <f t="shared" si="31"/>
        <v>0</v>
      </c>
      <c r="K167" s="123" t="e">
        <f t="shared" si="32"/>
        <v>#VALUE!</v>
      </c>
      <c r="L167" s="123">
        <f t="shared" si="29"/>
        <v>0</v>
      </c>
      <c r="M167" s="124" t="str">
        <f t="shared" si="30"/>
        <v/>
      </c>
      <c r="N167" s="112"/>
      <c r="O167" s="101"/>
      <c r="P167" s="101"/>
      <c r="Q167" s="101"/>
      <c r="R167" s="102"/>
      <c r="S167" s="102"/>
      <c r="T167" s="102"/>
      <c r="U167" s="103"/>
      <c r="V167" s="100"/>
      <c r="W167" s="101"/>
      <c r="X167" s="113"/>
      <c r="Y167" s="114"/>
      <c r="Z167" s="102"/>
      <c r="AA167" s="101"/>
      <c r="AB167" s="111"/>
      <c r="AE167" s="187"/>
      <c r="AF167" s="185"/>
      <c r="AG167" s="185" t="str">
        <f t="shared" si="33"/>
        <v/>
      </c>
      <c r="AH167" s="186" t="str">
        <f t="shared" si="34"/>
        <v/>
      </c>
      <c r="AI167" s="185"/>
      <c r="AJ167" s="188"/>
      <c r="CC167" s="562"/>
      <c r="CD167" s="425"/>
    </row>
    <row r="168" spans="2:82" ht="30" customHeight="1" x14ac:dyDescent="0.3">
      <c r="B168" s="562"/>
      <c r="C168" s="563"/>
      <c r="D168" s="425"/>
      <c r="E168" s="250" t="str">
        <f t="shared" si="22"/>
        <v/>
      </c>
      <c r="F168" s="556"/>
      <c r="G168" s="252" t="str">
        <f>IFERROR(VLOOKUP(F168,'Data (hidden)'!N:O,2,FALSE),"")</f>
        <v/>
      </c>
      <c r="H168" s="557"/>
      <c r="I168" s="558"/>
      <c r="J168" s="123">
        <f t="shared" si="31"/>
        <v>0</v>
      </c>
      <c r="K168" s="123" t="e">
        <f t="shared" si="32"/>
        <v>#VALUE!</v>
      </c>
      <c r="L168" s="123">
        <f t="shared" si="29"/>
        <v>0</v>
      </c>
      <c r="M168" s="124" t="str">
        <f t="shared" si="30"/>
        <v/>
      </c>
      <c r="N168" s="112"/>
      <c r="O168" s="101"/>
      <c r="P168" s="101"/>
      <c r="Q168" s="101"/>
      <c r="R168" s="102"/>
      <c r="S168" s="102"/>
      <c r="T168" s="102"/>
      <c r="U168" s="103"/>
      <c r="V168" s="100"/>
      <c r="W168" s="101"/>
      <c r="X168" s="113"/>
      <c r="Y168" s="114"/>
      <c r="Z168" s="102"/>
      <c r="AA168" s="101"/>
      <c r="AB168" s="111"/>
      <c r="AE168" s="187"/>
      <c r="AF168" s="185"/>
      <c r="AG168" s="185" t="str">
        <f t="shared" si="33"/>
        <v/>
      </c>
      <c r="AH168" s="186" t="str">
        <f t="shared" si="34"/>
        <v/>
      </c>
      <c r="AI168" s="185"/>
      <c r="AJ168" s="188"/>
      <c r="CC168" s="562"/>
      <c r="CD168" s="425"/>
    </row>
    <row r="169" spans="2:82" ht="30" customHeight="1" x14ac:dyDescent="0.3">
      <c r="B169" s="562"/>
      <c r="C169" s="563"/>
      <c r="D169" s="425"/>
      <c r="E169" s="250" t="str">
        <f t="shared" si="22"/>
        <v/>
      </c>
      <c r="F169" s="556"/>
      <c r="G169" s="252" t="str">
        <f>IFERROR(VLOOKUP(F169,'Data (hidden)'!N:O,2,FALSE),"")</f>
        <v/>
      </c>
      <c r="H169" s="557"/>
      <c r="I169" s="558"/>
      <c r="J169" s="123">
        <f t="shared" si="31"/>
        <v>0</v>
      </c>
      <c r="K169" s="123" t="e">
        <f t="shared" si="32"/>
        <v>#VALUE!</v>
      </c>
      <c r="L169" s="123">
        <f t="shared" si="29"/>
        <v>0</v>
      </c>
      <c r="M169" s="124" t="str">
        <f t="shared" si="30"/>
        <v/>
      </c>
      <c r="N169" s="112"/>
      <c r="O169" s="101"/>
      <c r="P169" s="101"/>
      <c r="Q169" s="101"/>
      <c r="R169" s="102"/>
      <c r="S169" s="102"/>
      <c r="T169" s="102"/>
      <c r="U169" s="103"/>
      <c r="V169" s="100"/>
      <c r="W169" s="101"/>
      <c r="X169" s="113"/>
      <c r="Y169" s="114"/>
      <c r="Z169" s="102"/>
      <c r="AA169" s="101"/>
      <c r="AB169" s="111"/>
      <c r="AE169" s="187"/>
      <c r="AF169" s="185"/>
      <c r="AG169" s="185" t="str">
        <f t="shared" si="33"/>
        <v/>
      </c>
      <c r="AH169" s="186" t="str">
        <f t="shared" si="34"/>
        <v/>
      </c>
      <c r="AI169" s="185"/>
      <c r="AJ169" s="188"/>
      <c r="CC169" s="562"/>
      <c r="CD169" s="425"/>
    </row>
    <row r="170" spans="2:82" ht="30" customHeight="1" x14ac:dyDescent="0.3">
      <c r="B170" s="562"/>
      <c r="C170" s="563"/>
      <c r="D170" s="425"/>
      <c r="E170" s="250" t="str">
        <f t="shared" si="22"/>
        <v/>
      </c>
      <c r="F170" s="556"/>
      <c r="G170" s="252" t="str">
        <f>IFERROR(VLOOKUP(F170,'Data (hidden)'!N:O,2,FALSE),"")</f>
        <v/>
      </c>
      <c r="H170" s="557"/>
      <c r="I170" s="558"/>
      <c r="J170" s="123">
        <f t="shared" si="31"/>
        <v>0</v>
      </c>
      <c r="K170" s="123" t="e">
        <f t="shared" si="32"/>
        <v>#VALUE!</v>
      </c>
      <c r="L170" s="123">
        <f t="shared" si="29"/>
        <v>0</v>
      </c>
      <c r="M170" s="124" t="str">
        <f t="shared" si="30"/>
        <v/>
      </c>
      <c r="N170" s="112"/>
      <c r="O170" s="101"/>
      <c r="P170" s="101"/>
      <c r="Q170" s="101"/>
      <c r="R170" s="102"/>
      <c r="S170" s="102"/>
      <c r="T170" s="102"/>
      <c r="U170" s="103"/>
      <c r="V170" s="100"/>
      <c r="W170" s="101"/>
      <c r="X170" s="113"/>
      <c r="Y170" s="114"/>
      <c r="Z170" s="102"/>
      <c r="AA170" s="101"/>
      <c r="AB170" s="111"/>
      <c r="AE170" s="187"/>
      <c r="AF170" s="185"/>
      <c r="AG170" s="185" t="str">
        <f t="shared" si="33"/>
        <v/>
      </c>
      <c r="AH170" s="186" t="str">
        <f t="shared" si="34"/>
        <v/>
      </c>
      <c r="AI170" s="185"/>
      <c r="AJ170" s="188"/>
      <c r="CC170" s="562"/>
      <c r="CD170" s="425"/>
    </row>
    <row r="171" spans="2:82" ht="30" customHeight="1" x14ac:dyDescent="0.3">
      <c r="B171" s="562"/>
      <c r="C171" s="563"/>
      <c r="D171" s="425"/>
      <c r="E171" s="250" t="str">
        <f t="shared" si="22"/>
        <v/>
      </c>
      <c r="F171" s="556"/>
      <c r="G171" s="252" t="str">
        <f>IFERROR(VLOOKUP(F171,'Data (hidden)'!N:O,2,FALSE),"")</f>
        <v/>
      </c>
      <c r="H171" s="557"/>
      <c r="I171" s="558"/>
      <c r="J171" s="123">
        <f t="shared" si="31"/>
        <v>0</v>
      </c>
      <c r="K171" s="123" t="e">
        <f t="shared" si="32"/>
        <v>#VALUE!</v>
      </c>
      <c r="L171" s="123">
        <f t="shared" si="29"/>
        <v>0</v>
      </c>
      <c r="M171" s="124" t="str">
        <f t="shared" si="30"/>
        <v/>
      </c>
      <c r="N171" s="112"/>
      <c r="O171" s="101"/>
      <c r="P171" s="101"/>
      <c r="Q171" s="101"/>
      <c r="R171" s="102"/>
      <c r="S171" s="102"/>
      <c r="T171" s="102"/>
      <c r="U171" s="103"/>
      <c r="V171" s="100"/>
      <c r="W171" s="101"/>
      <c r="X171" s="113"/>
      <c r="Y171" s="114"/>
      <c r="Z171" s="102"/>
      <c r="AA171" s="101"/>
      <c r="AB171" s="111"/>
      <c r="AE171" s="187"/>
      <c r="AF171" s="185"/>
      <c r="AG171" s="185" t="str">
        <f t="shared" si="33"/>
        <v/>
      </c>
      <c r="AH171" s="186" t="str">
        <f t="shared" si="34"/>
        <v/>
      </c>
      <c r="AI171" s="185"/>
      <c r="AJ171" s="188"/>
      <c r="CC171" s="562"/>
      <c r="CD171" s="425"/>
    </row>
    <row r="172" spans="2:82" ht="30" customHeight="1" x14ac:dyDescent="0.3">
      <c r="B172" s="562"/>
      <c r="C172" s="563"/>
      <c r="D172" s="425"/>
      <c r="E172" s="250" t="str">
        <f t="shared" si="22"/>
        <v/>
      </c>
      <c r="F172" s="556"/>
      <c r="G172" s="252" t="str">
        <f>IFERROR(VLOOKUP(F172,'Data (hidden)'!N:O,2,FALSE),"")</f>
        <v/>
      </c>
      <c r="H172" s="557"/>
      <c r="I172" s="558"/>
      <c r="J172" s="123">
        <f t="shared" si="31"/>
        <v>0</v>
      </c>
      <c r="K172" s="123" t="e">
        <f t="shared" si="32"/>
        <v>#VALUE!</v>
      </c>
      <c r="L172" s="123">
        <f t="shared" si="29"/>
        <v>0</v>
      </c>
      <c r="M172" s="124" t="str">
        <f t="shared" si="30"/>
        <v/>
      </c>
      <c r="N172" s="112"/>
      <c r="O172" s="101"/>
      <c r="P172" s="101"/>
      <c r="Q172" s="101"/>
      <c r="R172" s="102"/>
      <c r="S172" s="102"/>
      <c r="T172" s="102"/>
      <c r="U172" s="103"/>
      <c r="V172" s="100"/>
      <c r="W172" s="101"/>
      <c r="X172" s="113"/>
      <c r="Y172" s="114"/>
      <c r="Z172" s="102"/>
      <c r="AA172" s="101"/>
      <c r="AB172" s="111"/>
      <c r="AE172" s="187"/>
      <c r="AF172" s="185"/>
      <c r="AG172" s="185" t="str">
        <f t="shared" si="33"/>
        <v/>
      </c>
      <c r="AH172" s="186" t="str">
        <f t="shared" si="34"/>
        <v/>
      </c>
      <c r="AI172" s="185"/>
      <c r="AJ172" s="188"/>
      <c r="CC172" s="562"/>
      <c r="CD172" s="425"/>
    </row>
    <row r="173" spans="2:82" ht="30" customHeight="1" x14ac:dyDescent="0.3">
      <c r="B173" s="562"/>
      <c r="C173" s="563"/>
      <c r="D173" s="425"/>
      <c r="E173" s="250" t="str">
        <f t="shared" si="22"/>
        <v/>
      </c>
      <c r="F173" s="556"/>
      <c r="G173" s="252" t="str">
        <f>IFERROR(VLOOKUP(F173,'Data (hidden)'!N:O,2,FALSE),"")</f>
        <v/>
      </c>
      <c r="H173" s="557"/>
      <c r="I173" s="558"/>
      <c r="J173" s="123">
        <f t="shared" si="31"/>
        <v>0</v>
      </c>
      <c r="K173" s="123" t="e">
        <f t="shared" si="32"/>
        <v>#VALUE!</v>
      </c>
      <c r="L173" s="123">
        <f t="shared" si="29"/>
        <v>0</v>
      </c>
      <c r="M173" s="124" t="str">
        <f t="shared" si="30"/>
        <v/>
      </c>
      <c r="N173" s="112"/>
      <c r="O173" s="101"/>
      <c r="P173" s="101"/>
      <c r="Q173" s="101"/>
      <c r="R173" s="102"/>
      <c r="S173" s="102"/>
      <c r="T173" s="102"/>
      <c r="U173" s="103"/>
      <c r="V173" s="100"/>
      <c r="W173" s="101"/>
      <c r="X173" s="113"/>
      <c r="Y173" s="114"/>
      <c r="Z173" s="102"/>
      <c r="AA173" s="101"/>
      <c r="AB173" s="111"/>
      <c r="AE173" s="187"/>
      <c r="AF173" s="185"/>
      <c r="AG173" s="185" t="str">
        <f t="shared" si="33"/>
        <v/>
      </c>
      <c r="AH173" s="186" t="str">
        <f t="shared" si="34"/>
        <v/>
      </c>
      <c r="AI173" s="185"/>
      <c r="AJ173" s="188"/>
      <c r="CC173" s="562"/>
      <c r="CD173" s="425"/>
    </row>
    <row r="174" spans="2:82" ht="30" customHeight="1" x14ac:dyDescent="0.3">
      <c r="B174" s="562"/>
      <c r="C174" s="563"/>
      <c r="D174" s="425"/>
      <c r="E174" s="250" t="str">
        <f t="shared" si="22"/>
        <v/>
      </c>
      <c r="F174" s="556"/>
      <c r="G174" s="252" t="str">
        <f>IFERROR(VLOOKUP(F174,'Data (hidden)'!N:O,2,FALSE),"")</f>
        <v/>
      </c>
      <c r="H174" s="557"/>
      <c r="I174" s="558"/>
      <c r="J174" s="123">
        <f t="shared" si="31"/>
        <v>0</v>
      </c>
      <c r="K174" s="123" t="e">
        <f t="shared" si="32"/>
        <v>#VALUE!</v>
      </c>
      <c r="L174" s="123">
        <f t="shared" si="29"/>
        <v>0</v>
      </c>
      <c r="M174" s="124" t="str">
        <f t="shared" si="30"/>
        <v/>
      </c>
      <c r="N174" s="112"/>
      <c r="O174" s="101"/>
      <c r="P174" s="101"/>
      <c r="Q174" s="101"/>
      <c r="R174" s="102"/>
      <c r="S174" s="102"/>
      <c r="T174" s="102"/>
      <c r="U174" s="103"/>
      <c r="V174" s="100"/>
      <c r="W174" s="101"/>
      <c r="X174" s="113"/>
      <c r="Y174" s="114"/>
      <c r="Z174" s="102"/>
      <c r="AA174" s="101"/>
      <c r="AB174" s="111"/>
      <c r="AE174" s="187"/>
      <c r="AF174" s="185"/>
      <c r="AG174" s="185" t="str">
        <f t="shared" si="33"/>
        <v/>
      </c>
      <c r="AH174" s="186" t="str">
        <f t="shared" si="34"/>
        <v/>
      </c>
      <c r="AI174" s="185"/>
      <c r="AJ174" s="188"/>
      <c r="CC174" s="562"/>
      <c r="CD174" s="425"/>
    </row>
    <row r="175" spans="2:82" ht="30" customHeight="1" x14ac:dyDescent="0.3">
      <c r="B175" s="562"/>
      <c r="C175" s="563"/>
      <c r="D175" s="425"/>
      <c r="E175" s="250" t="str">
        <f t="shared" si="22"/>
        <v/>
      </c>
      <c r="F175" s="556"/>
      <c r="G175" s="252" t="str">
        <f>IFERROR(VLOOKUP(F175,'Data (hidden)'!N:O,2,FALSE),"")</f>
        <v/>
      </c>
      <c r="H175" s="557"/>
      <c r="I175" s="558"/>
      <c r="J175" s="123">
        <f t="shared" si="31"/>
        <v>0</v>
      </c>
      <c r="K175" s="123" t="e">
        <f t="shared" si="32"/>
        <v>#VALUE!</v>
      </c>
      <c r="L175" s="123">
        <f t="shared" si="29"/>
        <v>0</v>
      </c>
      <c r="M175" s="124" t="str">
        <f t="shared" si="30"/>
        <v/>
      </c>
      <c r="N175" s="112"/>
      <c r="O175" s="101"/>
      <c r="P175" s="101"/>
      <c r="Q175" s="101"/>
      <c r="R175" s="102"/>
      <c r="S175" s="102"/>
      <c r="T175" s="102"/>
      <c r="U175" s="103"/>
      <c r="V175" s="100"/>
      <c r="W175" s="101"/>
      <c r="X175" s="113"/>
      <c r="Y175" s="114"/>
      <c r="Z175" s="102"/>
      <c r="AA175" s="101"/>
      <c r="AB175" s="111"/>
      <c r="AE175" s="187"/>
      <c r="AF175" s="185"/>
      <c r="AG175" s="185" t="str">
        <f t="shared" si="33"/>
        <v/>
      </c>
      <c r="AH175" s="186" t="str">
        <f t="shared" si="34"/>
        <v/>
      </c>
      <c r="AI175" s="185"/>
      <c r="AJ175" s="188"/>
      <c r="CC175" s="562"/>
      <c r="CD175" s="425"/>
    </row>
    <row r="176" spans="2:82" ht="30" customHeight="1" x14ac:dyDescent="0.3">
      <c r="B176" s="562"/>
      <c r="C176" s="563"/>
      <c r="D176" s="425"/>
      <c r="E176" s="250" t="str">
        <f t="shared" si="22"/>
        <v/>
      </c>
      <c r="F176" s="556"/>
      <c r="G176" s="252" t="str">
        <f>IFERROR(VLOOKUP(F176,'Data (hidden)'!N:O,2,FALSE),"")</f>
        <v/>
      </c>
      <c r="H176" s="557"/>
      <c r="I176" s="558"/>
      <c r="J176" s="123">
        <f t="shared" si="31"/>
        <v>0</v>
      </c>
      <c r="K176" s="123" t="e">
        <f t="shared" si="32"/>
        <v>#VALUE!</v>
      </c>
      <c r="L176" s="123">
        <f t="shared" si="29"/>
        <v>0</v>
      </c>
      <c r="M176" s="124" t="str">
        <f t="shared" si="30"/>
        <v/>
      </c>
      <c r="N176" s="112"/>
      <c r="O176" s="101"/>
      <c r="P176" s="101"/>
      <c r="Q176" s="101"/>
      <c r="R176" s="102"/>
      <c r="S176" s="102"/>
      <c r="T176" s="102"/>
      <c r="U176" s="103"/>
      <c r="V176" s="100"/>
      <c r="W176" s="101"/>
      <c r="X176" s="113"/>
      <c r="Y176" s="114"/>
      <c r="Z176" s="102"/>
      <c r="AA176" s="101"/>
      <c r="AB176" s="111"/>
      <c r="AE176" s="187"/>
      <c r="AF176" s="185"/>
      <c r="AG176" s="185" t="str">
        <f t="shared" si="33"/>
        <v/>
      </c>
      <c r="AH176" s="186" t="str">
        <f t="shared" si="34"/>
        <v/>
      </c>
      <c r="AI176" s="185"/>
      <c r="AJ176" s="188"/>
      <c r="CC176" s="562"/>
      <c r="CD176" s="425"/>
    </row>
    <row r="177" spans="2:82" ht="30" customHeight="1" x14ac:dyDescent="0.3">
      <c r="B177" s="562"/>
      <c r="C177" s="563"/>
      <c r="D177" s="425"/>
      <c r="E177" s="250" t="str">
        <f t="shared" si="22"/>
        <v/>
      </c>
      <c r="F177" s="556"/>
      <c r="G177" s="252" t="str">
        <f>IFERROR(VLOOKUP(F177,'Data (hidden)'!N:O,2,FALSE),"")</f>
        <v/>
      </c>
      <c r="H177" s="557"/>
      <c r="I177" s="558"/>
      <c r="J177" s="123">
        <f t="shared" si="31"/>
        <v>0</v>
      </c>
      <c r="K177" s="123" t="e">
        <f t="shared" si="32"/>
        <v>#VALUE!</v>
      </c>
      <c r="L177" s="123">
        <f t="shared" si="29"/>
        <v>0</v>
      </c>
      <c r="M177" s="124" t="str">
        <f t="shared" si="30"/>
        <v/>
      </c>
      <c r="N177" s="112"/>
      <c r="O177" s="101"/>
      <c r="P177" s="101"/>
      <c r="Q177" s="101"/>
      <c r="R177" s="102"/>
      <c r="S177" s="102"/>
      <c r="T177" s="102"/>
      <c r="U177" s="103"/>
      <c r="V177" s="100"/>
      <c r="W177" s="101"/>
      <c r="X177" s="113"/>
      <c r="Y177" s="114"/>
      <c r="Z177" s="102"/>
      <c r="AA177" s="101"/>
      <c r="AB177" s="111"/>
      <c r="AE177" s="187"/>
      <c r="AF177" s="185"/>
      <c r="AG177" s="185" t="str">
        <f t="shared" si="33"/>
        <v/>
      </c>
      <c r="AH177" s="186" t="str">
        <f t="shared" si="34"/>
        <v/>
      </c>
      <c r="AI177" s="185"/>
      <c r="AJ177" s="188"/>
      <c r="CC177" s="562"/>
      <c r="CD177" s="425"/>
    </row>
    <row r="178" spans="2:82" ht="30" customHeight="1" x14ac:dyDescent="0.3">
      <c r="B178" s="562"/>
      <c r="C178" s="563"/>
      <c r="D178" s="425"/>
      <c r="E178" s="250" t="str">
        <f t="shared" si="22"/>
        <v/>
      </c>
      <c r="F178" s="556"/>
      <c r="G178" s="252" t="str">
        <f>IFERROR(VLOOKUP(F178,'Data (hidden)'!N:O,2,FALSE),"")</f>
        <v/>
      </c>
      <c r="H178" s="557"/>
      <c r="I178" s="558"/>
      <c r="J178" s="123">
        <f t="shared" si="31"/>
        <v>0</v>
      </c>
      <c r="K178" s="123" t="e">
        <f t="shared" si="32"/>
        <v>#VALUE!</v>
      </c>
      <c r="L178" s="123">
        <f t="shared" si="29"/>
        <v>0</v>
      </c>
      <c r="M178" s="124" t="str">
        <f t="shared" si="30"/>
        <v/>
      </c>
      <c r="N178" s="112"/>
      <c r="O178" s="101"/>
      <c r="P178" s="101"/>
      <c r="Q178" s="101"/>
      <c r="R178" s="102"/>
      <c r="S178" s="102"/>
      <c r="T178" s="102"/>
      <c r="U178" s="103"/>
      <c r="V178" s="100"/>
      <c r="W178" s="101"/>
      <c r="X178" s="113"/>
      <c r="Y178" s="114"/>
      <c r="Z178" s="102"/>
      <c r="AA178" s="101"/>
      <c r="AB178" s="111"/>
      <c r="AE178" s="187"/>
      <c r="AF178" s="185"/>
      <c r="AG178" s="185" t="str">
        <f t="shared" si="33"/>
        <v/>
      </c>
      <c r="AH178" s="186" t="str">
        <f t="shared" si="34"/>
        <v/>
      </c>
      <c r="AI178" s="185"/>
      <c r="AJ178" s="188"/>
      <c r="CC178" s="562"/>
      <c r="CD178" s="425"/>
    </row>
    <row r="179" spans="2:82" ht="30" customHeight="1" x14ac:dyDescent="0.3">
      <c r="B179" s="562"/>
      <c r="C179" s="563"/>
      <c r="D179" s="425"/>
      <c r="E179" s="250" t="str">
        <f t="shared" si="22"/>
        <v/>
      </c>
      <c r="F179" s="556"/>
      <c r="G179" s="252" t="str">
        <f>IFERROR(VLOOKUP(F179,'Data (hidden)'!N:O,2,FALSE),"")</f>
        <v/>
      </c>
      <c r="H179" s="557"/>
      <c r="I179" s="558"/>
      <c r="J179" s="123">
        <f t="shared" si="31"/>
        <v>0</v>
      </c>
      <c r="K179" s="123" t="e">
        <f t="shared" si="32"/>
        <v>#VALUE!</v>
      </c>
      <c r="L179" s="123">
        <f t="shared" si="29"/>
        <v>0</v>
      </c>
      <c r="M179" s="124" t="str">
        <f t="shared" si="30"/>
        <v/>
      </c>
      <c r="N179" s="112"/>
      <c r="O179" s="101"/>
      <c r="P179" s="101"/>
      <c r="Q179" s="101"/>
      <c r="R179" s="102"/>
      <c r="S179" s="102"/>
      <c r="T179" s="102"/>
      <c r="U179" s="103"/>
      <c r="V179" s="100"/>
      <c r="W179" s="101"/>
      <c r="X179" s="113"/>
      <c r="Y179" s="114"/>
      <c r="Z179" s="102"/>
      <c r="AA179" s="101"/>
      <c r="AB179" s="111"/>
      <c r="AE179" s="187"/>
      <c r="AF179" s="185"/>
      <c r="AG179" s="185" t="str">
        <f t="shared" si="33"/>
        <v/>
      </c>
      <c r="AH179" s="186" t="str">
        <f t="shared" si="34"/>
        <v/>
      </c>
      <c r="AI179" s="185"/>
      <c r="AJ179" s="188"/>
      <c r="CC179" s="562"/>
      <c r="CD179" s="425"/>
    </row>
    <row r="180" spans="2:82" ht="30" customHeight="1" x14ac:dyDescent="0.3">
      <c r="B180" s="562"/>
      <c r="C180" s="563"/>
      <c r="D180" s="425"/>
      <c r="E180" s="250" t="str">
        <f t="shared" ref="E180:E243" si="35">IF(SUM(C180-(C180*L180))=0,"",SUM(C180-(C180*L180)))</f>
        <v/>
      </c>
      <c r="F180" s="556"/>
      <c r="G180" s="252" t="str">
        <f>IFERROR(VLOOKUP(F180,'Data (hidden)'!N:O,2,FALSE),"")</f>
        <v/>
      </c>
      <c r="H180" s="557"/>
      <c r="I180" s="558"/>
      <c r="J180" s="123">
        <f t="shared" si="31"/>
        <v>0</v>
      </c>
      <c r="K180" s="123" t="e">
        <f t="shared" si="32"/>
        <v>#VALUE!</v>
      </c>
      <c r="L180" s="123">
        <f t="shared" si="29"/>
        <v>0</v>
      </c>
      <c r="M180" s="124" t="str">
        <f t="shared" si="30"/>
        <v/>
      </c>
      <c r="N180" s="112"/>
      <c r="O180" s="101"/>
      <c r="P180" s="101"/>
      <c r="Q180" s="101"/>
      <c r="R180" s="102"/>
      <c r="S180" s="102"/>
      <c r="T180" s="102"/>
      <c r="U180" s="103"/>
      <c r="V180" s="100"/>
      <c r="W180" s="101"/>
      <c r="X180" s="113"/>
      <c r="Y180" s="114"/>
      <c r="Z180" s="102"/>
      <c r="AA180" s="101"/>
      <c r="AB180" s="111"/>
      <c r="AE180" s="187"/>
      <c r="AF180" s="185"/>
      <c r="AG180" s="185" t="str">
        <f t="shared" si="33"/>
        <v/>
      </c>
      <c r="AH180" s="186" t="str">
        <f t="shared" si="34"/>
        <v/>
      </c>
      <c r="AI180" s="185"/>
      <c r="AJ180" s="188"/>
      <c r="CC180" s="562"/>
      <c r="CD180" s="425"/>
    </row>
    <row r="181" spans="2:82" ht="30" customHeight="1" x14ac:dyDescent="0.3">
      <c r="B181" s="562"/>
      <c r="C181" s="563"/>
      <c r="D181" s="425"/>
      <c r="E181" s="250" t="str">
        <f t="shared" si="35"/>
        <v/>
      </c>
      <c r="F181" s="556"/>
      <c r="G181" s="252" t="str">
        <f>IFERROR(VLOOKUP(F181,'Data (hidden)'!N:O,2,FALSE),"")</f>
        <v/>
      </c>
      <c r="H181" s="557"/>
      <c r="I181" s="558"/>
      <c r="J181" s="123">
        <f t="shared" si="31"/>
        <v>0</v>
      </c>
      <c r="K181" s="123" t="e">
        <f t="shared" si="32"/>
        <v>#VALUE!</v>
      </c>
      <c r="L181" s="123">
        <f t="shared" si="29"/>
        <v>0</v>
      </c>
      <c r="M181" s="124" t="str">
        <f t="shared" si="30"/>
        <v/>
      </c>
      <c r="N181" s="112"/>
      <c r="O181" s="101"/>
      <c r="P181" s="101"/>
      <c r="Q181" s="101"/>
      <c r="R181" s="102"/>
      <c r="S181" s="102"/>
      <c r="T181" s="102"/>
      <c r="U181" s="103"/>
      <c r="V181" s="100"/>
      <c r="W181" s="101"/>
      <c r="X181" s="113"/>
      <c r="Y181" s="114"/>
      <c r="Z181" s="102"/>
      <c r="AA181" s="101"/>
      <c r="AB181" s="111"/>
      <c r="AE181" s="187"/>
      <c r="AF181" s="185"/>
      <c r="AG181" s="185" t="str">
        <f t="shared" si="33"/>
        <v/>
      </c>
      <c r="AH181" s="186" t="str">
        <f t="shared" si="34"/>
        <v/>
      </c>
      <c r="AI181" s="185"/>
      <c r="AJ181" s="188"/>
      <c r="CC181" s="562"/>
      <c r="CD181" s="425"/>
    </row>
    <row r="182" spans="2:82" ht="30" customHeight="1" x14ac:dyDescent="0.3">
      <c r="B182" s="562"/>
      <c r="C182" s="563"/>
      <c r="D182" s="425"/>
      <c r="E182" s="250" t="str">
        <f t="shared" si="35"/>
        <v/>
      </c>
      <c r="F182" s="556"/>
      <c r="G182" s="252" t="str">
        <f>IFERROR(VLOOKUP(F182,'Data (hidden)'!N:O,2,FALSE),"")</f>
        <v/>
      </c>
      <c r="H182" s="557"/>
      <c r="I182" s="558"/>
      <c r="J182" s="123">
        <f t="shared" si="31"/>
        <v>0</v>
      </c>
      <c r="K182" s="123" t="e">
        <f t="shared" si="32"/>
        <v>#VALUE!</v>
      </c>
      <c r="L182" s="123">
        <f t="shared" si="29"/>
        <v>0</v>
      </c>
      <c r="M182" s="124" t="str">
        <f t="shared" si="30"/>
        <v/>
      </c>
      <c r="N182" s="112"/>
      <c r="O182" s="101"/>
      <c r="P182" s="101"/>
      <c r="Q182" s="101"/>
      <c r="R182" s="102"/>
      <c r="S182" s="102"/>
      <c r="T182" s="102"/>
      <c r="U182" s="103"/>
      <c r="V182" s="100"/>
      <c r="W182" s="101"/>
      <c r="X182" s="113"/>
      <c r="Y182" s="114"/>
      <c r="Z182" s="102"/>
      <c r="AA182" s="101"/>
      <c r="AB182" s="111"/>
      <c r="AE182" s="187"/>
      <c r="AF182" s="185"/>
      <c r="AG182" s="185" t="str">
        <f t="shared" si="33"/>
        <v/>
      </c>
      <c r="AH182" s="186" t="str">
        <f t="shared" si="34"/>
        <v/>
      </c>
      <c r="AI182" s="185"/>
      <c r="AJ182" s="188"/>
      <c r="CC182" s="562"/>
      <c r="CD182" s="425"/>
    </row>
    <row r="183" spans="2:82" ht="30" customHeight="1" x14ac:dyDescent="0.3">
      <c r="B183" s="562"/>
      <c r="C183" s="563"/>
      <c r="D183" s="425"/>
      <c r="E183" s="250" t="str">
        <f t="shared" si="35"/>
        <v/>
      </c>
      <c r="F183" s="556"/>
      <c r="G183" s="252" t="str">
        <f>IFERROR(VLOOKUP(F183,'Data (hidden)'!N:O,2,FALSE),"")</f>
        <v/>
      </c>
      <c r="H183" s="557"/>
      <c r="I183" s="558"/>
      <c r="J183" s="123">
        <f t="shared" si="31"/>
        <v>0</v>
      </c>
      <c r="K183" s="123" t="e">
        <f t="shared" si="32"/>
        <v>#VALUE!</v>
      </c>
      <c r="L183" s="123">
        <f t="shared" si="29"/>
        <v>0</v>
      </c>
      <c r="M183" s="124" t="str">
        <f t="shared" si="30"/>
        <v/>
      </c>
      <c r="N183" s="112"/>
      <c r="O183" s="101"/>
      <c r="P183" s="101"/>
      <c r="Q183" s="101"/>
      <c r="R183" s="102"/>
      <c r="S183" s="102"/>
      <c r="T183" s="102"/>
      <c r="U183" s="103"/>
      <c r="V183" s="100"/>
      <c r="W183" s="101"/>
      <c r="X183" s="113"/>
      <c r="Y183" s="114"/>
      <c r="Z183" s="102"/>
      <c r="AA183" s="101"/>
      <c r="AB183" s="111"/>
      <c r="AE183" s="187"/>
      <c r="AF183" s="185"/>
      <c r="AG183" s="185" t="str">
        <f t="shared" si="33"/>
        <v/>
      </c>
      <c r="AH183" s="186" t="str">
        <f t="shared" si="34"/>
        <v/>
      </c>
      <c r="AI183" s="185"/>
      <c r="AJ183" s="188"/>
      <c r="CC183" s="562"/>
      <c r="CD183" s="425"/>
    </row>
    <row r="184" spans="2:82" ht="30" customHeight="1" x14ac:dyDescent="0.3">
      <c r="B184" s="562"/>
      <c r="C184" s="563"/>
      <c r="D184" s="425"/>
      <c r="E184" s="250" t="str">
        <f t="shared" si="35"/>
        <v/>
      </c>
      <c r="F184" s="556"/>
      <c r="G184" s="252" t="str">
        <f>IFERROR(VLOOKUP(F184,'Data (hidden)'!N:O,2,FALSE),"")</f>
        <v/>
      </c>
      <c r="H184" s="557"/>
      <c r="I184" s="558"/>
      <c r="J184" s="123">
        <f t="shared" si="31"/>
        <v>0</v>
      </c>
      <c r="K184" s="123" t="e">
        <f t="shared" si="32"/>
        <v>#VALUE!</v>
      </c>
      <c r="L184" s="123">
        <f t="shared" si="29"/>
        <v>0</v>
      </c>
      <c r="M184" s="124" t="str">
        <f t="shared" si="30"/>
        <v/>
      </c>
      <c r="N184" s="112"/>
      <c r="O184" s="101"/>
      <c r="P184" s="101"/>
      <c r="Q184" s="101"/>
      <c r="R184" s="102"/>
      <c r="S184" s="102"/>
      <c r="T184" s="102"/>
      <c r="U184" s="103"/>
      <c r="V184" s="100"/>
      <c r="W184" s="101"/>
      <c r="X184" s="113"/>
      <c r="Y184" s="114"/>
      <c r="Z184" s="102"/>
      <c r="AA184" s="101"/>
      <c r="AB184" s="111"/>
      <c r="AE184" s="187"/>
      <c r="AF184" s="185"/>
      <c r="AG184" s="185" t="str">
        <f t="shared" si="33"/>
        <v/>
      </c>
      <c r="AH184" s="186" t="str">
        <f t="shared" si="34"/>
        <v/>
      </c>
      <c r="AI184" s="185"/>
      <c r="AJ184" s="188"/>
      <c r="CC184" s="562"/>
      <c r="CD184" s="425"/>
    </row>
    <row r="185" spans="2:82" ht="30" customHeight="1" x14ac:dyDescent="0.3">
      <c r="B185" s="562"/>
      <c r="C185" s="563"/>
      <c r="D185" s="425"/>
      <c r="E185" s="250" t="str">
        <f t="shared" si="35"/>
        <v/>
      </c>
      <c r="F185" s="556"/>
      <c r="G185" s="252" t="str">
        <f>IFERROR(VLOOKUP(F185,'Data (hidden)'!N:O,2,FALSE),"")</f>
        <v/>
      </c>
      <c r="H185" s="557"/>
      <c r="I185" s="558"/>
      <c r="J185" s="123">
        <f t="shared" si="31"/>
        <v>0</v>
      </c>
      <c r="K185" s="123" t="e">
        <f t="shared" si="32"/>
        <v>#VALUE!</v>
      </c>
      <c r="L185" s="123">
        <f t="shared" si="29"/>
        <v>0</v>
      </c>
      <c r="M185" s="124" t="str">
        <f t="shared" si="30"/>
        <v/>
      </c>
      <c r="N185" s="112"/>
      <c r="O185" s="101"/>
      <c r="P185" s="101"/>
      <c r="Q185" s="101"/>
      <c r="R185" s="102"/>
      <c r="S185" s="102"/>
      <c r="T185" s="102"/>
      <c r="U185" s="103"/>
      <c r="V185" s="100"/>
      <c r="W185" s="101"/>
      <c r="X185" s="113"/>
      <c r="Y185" s="114"/>
      <c r="Z185" s="102"/>
      <c r="AA185" s="101"/>
      <c r="AB185" s="111"/>
      <c r="AE185" s="187"/>
      <c r="AF185" s="185"/>
      <c r="AG185" s="185" t="str">
        <f t="shared" si="33"/>
        <v/>
      </c>
      <c r="AH185" s="186" t="str">
        <f t="shared" si="34"/>
        <v/>
      </c>
      <c r="AI185" s="185"/>
      <c r="AJ185" s="188"/>
      <c r="CC185" s="562"/>
      <c r="CD185" s="425"/>
    </row>
    <row r="186" spans="2:82" ht="30" customHeight="1" x14ac:dyDescent="0.3">
      <c r="B186" s="562"/>
      <c r="C186" s="563"/>
      <c r="D186" s="425"/>
      <c r="E186" s="250" t="str">
        <f t="shared" si="35"/>
        <v/>
      </c>
      <c r="F186" s="556"/>
      <c r="G186" s="252" t="str">
        <f>IFERROR(VLOOKUP(F186,'Data (hidden)'!N:O,2,FALSE),"")</f>
        <v/>
      </c>
      <c r="H186" s="557"/>
      <c r="I186" s="558"/>
      <c r="J186" s="123">
        <f t="shared" si="31"/>
        <v>0</v>
      </c>
      <c r="K186" s="123" t="e">
        <f t="shared" si="32"/>
        <v>#VALUE!</v>
      </c>
      <c r="L186" s="123">
        <f t="shared" si="29"/>
        <v>0</v>
      </c>
      <c r="M186" s="124" t="str">
        <f t="shared" si="30"/>
        <v/>
      </c>
      <c r="N186" s="112"/>
      <c r="O186" s="101"/>
      <c r="P186" s="101"/>
      <c r="Q186" s="101"/>
      <c r="R186" s="102"/>
      <c r="S186" s="102"/>
      <c r="T186" s="102"/>
      <c r="U186" s="103"/>
      <c r="V186" s="100"/>
      <c r="W186" s="101"/>
      <c r="X186" s="113"/>
      <c r="Y186" s="114"/>
      <c r="Z186" s="102"/>
      <c r="AA186" s="101"/>
      <c r="AB186" s="111"/>
      <c r="AE186" s="187"/>
      <c r="AF186" s="185"/>
      <c r="AG186" s="185" t="str">
        <f t="shared" si="33"/>
        <v/>
      </c>
      <c r="AH186" s="186" t="str">
        <f t="shared" si="34"/>
        <v/>
      </c>
      <c r="AI186" s="185"/>
      <c r="AJ186" s="188"/>
      <c r="CC186" s="562"/>
      <c r="CD186" s="425"/>
    </row>
    <row r="187" spans="2:82" ht="30" customHeight="1" x14ac:dyDescent="0.3">
      <c r="B187" s="562"/>
      <c r="C187" s="563"/>
      <c r="D187" s="425"/>
      <c r="E187" s="250" t="str">
        <f t="shared" si="35"/>
        <v/>
      </c>
      <c r="F187" s="556"/>
      <c r="G187" s="252" t="str">
        <f>IFERROR(VLOOKUP(F187,'Data (hidden)'!N:O,2,FALSE),"")</f>
        <v/>
      </c>
      <c r="H187" s="557"/>
      <c r="I187" s="558"/>
      <c r="J187" s="123">
        <f t="shared" si="31"/>
        <v>0</v>
      </c>
      <c r="K187" s="123" t="e">
        <f t="shared" si="32"/>
        <v>#VALUE!</v>
      </c>
      <c r="L187" s="123">
        <f t="shared" si="29"/>
        <v>0</v>
      </c>
      <c r="M187" s="124" t="str">
        <f t="shared" si="30"/>
        <v/>
      </c>
      <c r="N187" s="112"/>
      <c r="O187" s="101"/>
      <c r="P187" s="101"/>
      <c r="Q187" s="101"/>
      <c r="R187" s="102"/>
      <c r="S187" s="102"/>
      <c r="T187" s="102"/>
      <c r="U187" s="103"/>
      <c r="V187" s="100"/>
      <c r="W187" s="101"/>
      <c r="X187" s="113"/>
      <c r="Y187" s="114"/>
      <c r="Z187" s="102"/>
      <c r="AA187" s="101"/>
      <c r="AB187" s="111"/>
      <c r="AE187" s="187"/>
      <c r="AF187" s="185"/>
      <c r="AG187" s="185" t="str">
        <f t="shared" si="33"/>
        <v/>
      </c>
      <c r="AH187" s="186" t="str">
        <f t="shared" si="34"/>
        <v/>
      </c>
      <c r="AI187" s="185"/>
      <c r="AJ187" s="188"/>
      <c r="CC187" s="562"/>
      <c r="CD187" s="425"/>
    </row>
    <row r="188" spans="2:82" ht="30" customHeight="1" x14ac:dyDescent="0.3">
      <c r="B188" s="562"/>
      <c r="C188" s="563"/>
      <c r="D188" s="425"/>
      <c r="E188" s="250" t="str">
        <f t="shared" si="35"/>
        <v/>
      </c>
      <c r="F188" s="556"/>
      <c r="G188" s="252" t="str">
        <f>IFERROR(VLOOKUP(F188,'Data (hidden)'!N:O,2,FALSE),"")</f>
        <v/>
      </c>
      <c r="H188" s="557"/>
      <c r="I188" s="558"/>
      <c r="J188" s="123">
        <f t="shared" si="31"/>
        <v>0</v>
      </c>
      <c r="K188" s="123" t="e">
        <f t="shared" si="32"/>
        <v>#VALUE!</v>
      </c>
      <c r="L188" s="123">
        <f t="shared" si="29"/>
        <v>0</v>
      </c>
      <c r="M188" s="124" t="str">
        <f t="shared" si="30"/>
        <v/>
      </c>
      <c r="N188" s="112"/>
      <c r="O188" s="101"/>
      <c r="P188" s="101"/>
      <c r="Q188" s="101"/>
      <c r="R188" s="102"/>
      <c r="S188" s="102"/>
      <c r="T188" s="102"/>
      <c r="U188" s="103"/>
      <c r="V188" s="100"/>
      <c r="W188" s="101"/>
      <c r="X188" s="113"/>
      <c r="Y188" s="114"/>
      <c r="Z188" s="102"/>
      <c r="AA188" s="101"/>
      <c r="AB188" s="111"/>
      <c r="AE188" s="187"/>
      <c r="AF188" s="185"/>
      <c r="AG188" s="185" t="str">
        <f t="shared" si="33"/>
        <v/>
      </c>
      <c r="AH188" s="186" t="str">
        <f t="shared" si="34"/>
        <v/>
      </c>
      <c r="AI188" s="185"/>
      <c r="AJ188" s="188"/>
      <c r="CC188" s="562"/>
      <c r="CD188" s="425"/>
    </row>
    <row r="189" spans="2:82" ht="30" customHeight="1" x14ac:dyDescent="0.3">
      <c r="B189" s="562"/>
      <c r="C189" s="563"/>
      <c r="D189" s="425"/>
      <c r="E189" s="250" t="str">
        <f t="shared" si="35"/>
        <v/>
      </c>
      <c r="F189" s="556"/>
      <c r="G189" s="252" t="str">
        <f>IFERROR(VLOOKUP(F189,'Data (hidden)'!N:O,2,FALSE),"")</f>
        <v/>
      </c>
      <c r="H189" s="557"/>
      <c r="I189" s="558"/>
      <c r="J189" s="123">
        <f t="shared" si="31"/>
        <v>0</v>
      </c>
      <c r="K189" s="123" t="e">
        <f t="shared" si="32"/>
        <v>#VALUE!</v>
      </c>
      <c r="L189" s="123">
        <f t="shared" si="29"/>
        <v>0</v>
      </c>
      <c r="M189" s="124" t="str">
        <f t="shared" si="30"/>
        <v/>
      </c>
      <c r="N189" s="112"/>
      <c r="O189" s="101"/>
      <c r="P189" s="101"/>
      <c r="Q189" s="101"/>
      <c r="R189" s="102"/>
      <c r="S189" s="102"/>
      <c r="T189" s="102"/>
      <c r="U189" s="103"/>
      <c r="V189" s="100"/>
      <c r="W189" s="101"/>
      <c r="X189" s="113"/>
      <c r="Y189" s="114"/>
      <c r="Z189" s="102"/>
      <c r="AA189" s="101"/>
      <c r="AB189" s="111"/>
      <c r="AE189" s="187"/>
      <c r="AF189" s="185"/>
      <c r="AG189" s="185" t="str">
        <f t="shared" si="33"/>
        <v/>
      </c>
      <c r="AH189" s="186" t="str">
        <f t="shared" si="34"/>
        <v/>
      </c>
      <c r="AI189" s="185"/>
      <c r="AJ189" s="188"/>
      <c r="CC189" s="562"/>
      <c r="CD189" s="425"/>
    </row>
    <row r="190" spans="2:82" ht="30" customHeight="1" x14ac:dyDescent="0.3">
      <c r="B190" s="562"/>
      <c r="C190" s="563"/>
      <c r="D190" s="425"/>
      <c r="E190" s="250" t="str">
        <f t="shared" si="35"/>
        <v/>
      </c>
      <c r="F190" s="556"/>
      <c r="G190" s="252" t="str">
        <f>IFERROR(VLOOKUP(F190,'Data (hidden)'!N:O,2,FALSE),"")</f>
        <v/>
      </c>
      <c r="H190" s="557"/>
      <c r="I190" s="558"/>
      <c r="J190" s="123">
        <f t="shared" si="31"/>
        <v>0</v>
      </c>
      <c r="K190" s="123" t="e">
        <f t="shared" si="32"/>
        <v>#VALUE!</v>
      </c>
      <c r="L190" s="123">
        <f t="shared" si="29"/>
        <v>0</v>
      </c>
      <c r="M190" s="124" t="str">
        <f t="shared" si="30"/>
        <v/>
      </c>
      <c r="N190" s="112"/>
      <c r="O190" s="101"/>
      <c r="P190" s="101"/>
      <c r="Q190" s="101"/>
      <c r="R190" s="102"/>
      <c r="S190" s="102"/>
      <c r="T190" s="102"/>
      <c r="U190" s="103"/>
      <c r="V190" s="100"/>
      <c r="W190" s="101"/>
      <c r="X190" s="113"/>
      <c r="Y190" s="114"/>
      <c r="Z190" s="102"/>
      <c r="AA190" s="101"/>
      <c r="AB190" s="111"/>
      <c r="AE190" s="187"/>
      <c r="AF190" s="185"/>
      <c r="AG190" s="185" t="str">
        <f t="shared" si="33"/>
        <v/>
      </c>
      <c r="AH190" s="186" t="str">
        <f t="shared" si="34"/>
        <v/>
      </c>
      <c r="AI190" s="185"/>
      <c r="AJ190" s="188"/>
      <c r="CC190" s="562"/>
      <c r="CD190" s="425"/>
    </row>
    <row r="191" spans="2:82" ht="30" customHeight="1" x14ac:dyDescent="0.3">
      <c r="B191" s="562"/>
      <c r="C191" s="563"/>
      <c r="D191" s="425"/>
      <c r="E191" s="250" t="str">
        <f t="shared" si="35"/>
        <v/>
      </c>
      <c r="F191" s="556"/>
      <c r="G191" s="252" t="str">
        <f>IFERROR(VLOOKUP(F191,'Data (hidden)'!N:O,2,FALSE),"")</f>
        <v/>
      </c>
      <c r="H191" s="557"/>
      <c r="I191" s="558"/>
      <c r="J191" s="123">
        <f t="shared" si="31"/>
        <v>0</v>
      </c>
      <c r="K191" s="123" t="e">
        <f t="shared" si="32"/>
        <v>#VALUE!</v>
      </c>
      <c r="L191" s="123">
        <f t="shared" si="29"/>
        <v>0</v>
      </c>
      <c r="M191" s="124" t="str">
        <f t="shared" si="30"/>
        <v/>
      </c>
      <c r="N191" s="112"/>
      <c r="O191" s="101"/>
      <c r="P191" s="101"/>
      <c r="Q191" s="101"/>
      <c r="R191" s="102"/>
      <c r="S191" s="102"/>
      <c r="T191" s="102"/>
      <c r="U191" s="103"/>
      <c r="V191" s="100"/>
      <c r="W191" s="101"/>
      <c r="X191" s="113"/>
      <c r="Y191" s="114"/>
      <c r="Z191" s="102"/>
      <c r="AA191" s="101"/>
      <c r="AB191" s="111"/>
      <c r="AE191" s="187"/>
      <c r="AF191" s="185"/>
      <c r="AG191" s="185" t="str">
        <f t="shared" si="33"/>
        <v/>
      </c>
      <c r="AH191" s="186" t="str">
        <f t="shared" si="34"/>
        <v/>
      </c>
      <c r="AI191" s="185"/>
      <c r="AJ191" s="188"/>
      <c r="CC191" s="562"/>
      <c r="CD191" s="425"/>
    </row>
    <row r="192" spans="2:82" ht="30" customHeight="1" x14ac:dyDescent="0.3">
      <c r="B192" s="562"/>
      <c r="C192" s="563"/>
      <c r="D192" s="425"/>
      <c r="E192" s="250" t="str">
        <f t="shared" si="35"/>
        <v/>
      </c>
      <c r="F192" s="556"/>
      <c r="G192" s="252" t="str">
        <f>IFERROR(VLOOKUP(F192,'Data (hidden)'!N:O,2,FALSE),"")</f>
        <v/>
      </c>
      <c r="H192" s="557"/>
      <c r="I192" s="558"/>
      <c r="J192" s="123">
        <f t="shared" si="31"/>
        <v>0</v>
      </c>
      <c r="K192" s="123" t="e">
        <f t="shared" si="32"/>
        <v>#VALUE!</v>
      </c>
      <c r="L192" s="123">
        <f t="shared" si="29"/>
        <v>0</v>
      </c>
      <c r="M192" s="124" t="str">
        <f t="shared" si="30"/>
        <v/>
      </c>
      <c r="N192" s="112"/>
      <c r="O192" s="101"/>
      <c r="P192" s="101"/>
      <c r="Q192" s="101"/>
      <c r="R192" s="102"/>
      <c r="S192" s="102"/>
      <c r="T192" s="102"/>
      <c r="U192" s="103"/>
      <c r="V192" s="100"/>
      <c r="W192" s="101"/>
      <c r="X192" s="113"/>
      <c r="Y192" s="114"/>
      <c r="Z192" s="102"/>
      <c r="AA192" s="101"/>
      <c r="AB192" s="111"/>
      <c r="AE192" s="187"/>
      <c r="AF192" s="185"/>
      <c r="AG192" s="185" t="str">
        <f t="shared" si="33"/>
        <v/>
      </c>
      <c r="AH192" s="186" t="str">
        <f t="shared" si="34"/>
        <v/>
      </c>
      <c r="AI192" s="185"/>
      <c r="AJ192" s="188"/>
      <c r="CC192" s="562"/>
      <c r="CD192" s="425"/>
    </row>
    <row r="193" spans="2:82" ht="30" customHeight="1" x14ac:dyDescent="0.3">
      <c r="B193" s="562"/>
      <c r="C193" s="563"/>
      <c r="D193" s="425"/>
      <c r="E193" s="250" t="str">
        <f t="shared" si="35"/>
        <v/>
      </c>
      <c r="F193" s="556"/>
      <c r="G193" s="252" t="str">
        <f>IFERROR(VLOOKUP(F193,'Data (hidden)'!N:O,2,FALSE),"")</f>
        <v/>
      </c>
      <c r="H193" s="557"/>
      <c r="I193" s="558"/>
      <c r="J193" s="123">
        <f t="shared" si="31"/>
        <v>0</v>
      </c>
      <c r="K193" s="123" t="e">
        <f t="shared" si="32"/>
        <v>#VALUE!</v>
      </c>
      <c r="L193" s="123">
        <f t="shared" si="29"/>
        <v>0</v>
      </c>
      <c r="M193" s="124" t="str">
        <f t="shared" si="30"/>
        <v/>
      </c>
      <c r="N193" s="112"/>
      <c r="O193" s="101"/>
      <c r="P193" s="101"/>
      <c r="Q193" s="101"/>
      <c r="R193" s="102"/>
      <c r="S193" s="102"/>
      <c r="T193" s="102"/>
      <c r="U193" s="103"/>
      <c r="V193" s="100"/>
      <c r="W193" s="101"/>
      <c r="X193" s="113"/>
      <c r="Y193" s="114"/>
      <c r="Z193" s="102"/>
      <c r="AA193" s="101"/>
      <c r="AB193" s="111"/>
      <c r="AE193" s="187"/>
      <c r="AF193" s="185"/>
      <c r="AG193" s="185" t="str">
        <f t="shared" si="33"/>
        <v/>
      </c>
      <c r="AH193" s="186" t="str">
        <f t="shared" si="34"/>
        <v/>
      </c>
      <c r="AI193" s="185"/>
      <c r="AJ193" s="188"/>
      <c r="CC193" s="562"/>
      <c r="CD193" s="425"/>
    </row>
    <row r="194" spans="2:82" ht="30" customHeight="1" x14ac:dyDescent="0.3">
      <c r="B194" s="562"/>
      <c r="C194" s="563"/>
      <c r="D194" s="425"/>
      <c r="E194" s="250" t="str">
        <f t="shared" si="35"/>
        <v/>
      </c>
      <c r="F194" s="556"/>
      <c r="G194" s="252" t="str">
        <f>IFERROR(VLOOKUP(F194,'Data (hidden)'!N:O,2,FALSE),"")</f>
        <v/>
      </c>
      <c r="H194" s="557"/>
      <c r="I194" s="558"/>
      <c r="J194" s="123">
        <f t="shared" si="31"/>
        <v>0</v>
      </c>
      <c r="K194" s="123" t="e">
        <f t="shared" si="32"/>
        <v>#VALUE!</v>
      </c>
      <c r="L194" s="123">
        <f t="shared" si="29"/>
        <v>0</v>
      </c>
      <c r="M194" s="124" t="str">
        <f t="shared" si="30"/>
        <v/>
      </c>
      <c r="N194" s="112"/>
      <c r="O194" s="101"/>
      <c r="P194" s="101"/>
      <c r="Q194" s="101"/>
      <c r="R194" s="102"/>
      <c r="S194" s="102"/>
      <c r="T194" s="102"/>
      <c r="U194" s="103"/>
      <c r="V194" s="100"/>
      <c r="W194" s="101"/>
      <c r="X194" s="113"/>
      <c r="Y194" s="114"/>
      <c r="Z194" s="102"/>
      <c r="AA194" s="101"/>
      <c r="AB194" s="111"/>
      <c r="AE194" s="187"/>
      <c r="AF194" s="185"/>
      <c r="AG194" s="185" t="str">
        <f t="shared" si="33"/>
        <v/>
      </c>
      <c r="AH194" s="186" t="str">
        <f t="shared" si="34"/>
        <v/>
      </c>
      <c r="AI194" s="185"/>
      <c r="AJ194" s="188"/>
      <c r="CC194" s="562"/>
      <c r="CD194" s="425"/>
    </row>
    <row r="195" spans="2:82" ht="30" customHeight="1" x14ac:dyDescent="0.3">
      <c r="B195" s="562"/>
      <c r="C195" s="563"/>
      <c r="D195" s="425"/>
      <c r="E195" s="250" t="str">
        <f t="shared" si="35"/>
        <v/>
      </c>
      <c r="F195" s="556"/>
      <c r="G195" s="252" t="str">
        <f>IFERROR(VLOOKUP(F195,'Data (hidden)'!N:O,2,FALSE),"")</f>
        <v/>
      </c>
      <c r="H195" s="557"/>
      <c r="I195" s="558"/>
      <c r="J195" s="123">
        <f t="shared" si="31"/>
        <v>0</v>
      </c>
      <c r="K195" s="123" t="e">
        <f t="shared" si="32"/>
        <v>#VALUE!</v>
      </c>
      <c r="L195" s="123">
        <f t="shared" si="29"/>
        <v>0</v>
      </c>
      <c r="M195" s="124" t="str">
        <f t="shared" si="30"/>
        <v/>
      </c>
      <c r="N195" s="112"/>
      <c r="O195" s="101"/>
      <c r="P195" s="101"/>
      <c r="Q195" s="101"/>
      <c r="R195" s="102"/>
      <c r="S195" s="102"/>
      <c r="T195" s="102"/>
      <c r="U195" s="103"/>
      <c r="V195" s="100"/>
      <c r="W195" s="101"/>
      <c r="X195" s="113"/>
      <c r="Y195" s="114"/>
      <c r="Z195" s="102"/>
      <c r="AA195" s="101"/>
      <c r="AB195" s="111"/>
      <c r="AE195" s="187"/>
      <c r="AF195" s="185"/>
      <c r="AG195" s="185" t="str">
        <f t="shared" si="33"/>
        <v/>
      </c>
      <c r="AH195" s="186" t="str">
        <f t="shared" si="34"/>
        <v/>
      </c>
      <c r="AI195" s="185"/>
      <c r="AJ195" s="188"/>
      <c r="CC195" s="562"/>
      <c r="CD195" s="425"/>
    </row>
    <row r="196" spans="2:82" ht="30" customHeight="1" x14ac:dyDescent="0.3">
      <c r="B196" s="562"/>
      <c r="C196" s="563"/>
      <c r="D196" s="425"/>
      <c r="E196" s="250" t="str">
        <f t="shared" si="35"/>
        <v/>
      </c>
      <c r="F196" s="556"/>
      <c r="G196" s="252" t="str">
        <f>IFERROR(VLOOKUP(F196,'Data (hidden)'!N:O,2,FALSE),"")</f>
        <v/>
      </c>
      <c r="H196" s="557"/>
      <c r="I196" s="558"/>
      <c r="J196" s="123">
        <f t="shared" si="31"/>
        <v>0</v>
      </c>
      <c r="K196" s="123" t="e">
        <f t="shared" si="32"/>
        <v>#VALUE!</v>
      </c>
      <c r="L196" s="123">
        <f t="shared" si="29"/>
        <v>0</v>
      </c>
      <c r="M196" s="124" t="str">
        <f t="shared" si="30"/>
        <v/>
      </c>
      <c r="N196" s="112"/>
      <c r="O196" s="101"/>
      <c r="P196" s="101"/>
      <c r="Q196" s="101"/>
      <c r="R196" s="102"/>
      <c r="S196" s="102"/>
      <c r="T196" s="102"/>
      <c r="U196" s="103"/>
      <c r="V196" s="100"/>
      <c r="W196" s="101"/>
      <c r="X196" s="113"/>
      <c r="Y196" s="114"/>
      <c r="Z196" s="102"/>
      <c r="AA196" s="101"/>
      <c r="AB196" s="111"/>
      <c r="AE196" s="187"/>
      <c r="AF196" s="185"/>
      <c r="AG196" s="185" t="str">
        <f t="shared" si="33"/>
        <v/>
      </c>
      <c r="AH196" s="186" t="str">
        <f t="shared" si="34"/>
        <v/>
      </c>
      <c r="AI196" s="185"/>
      <c r="AJ196" s="188"/>
      <c r="CC196" s="562"/>
      <c r="CD196" s="425"/>
    </row>
    <row r="197" spans="2:82" ht="30" customHeight="1" x14ac:dyDescent="0.3">
      <c r="B197" s="562"/>
      <c r="C197" s="563"/>
      <c r="D197" s="425"/>
      <c r="E197" s="250" t="str">
        <f t="shared" si="35"/>
        <v/>
      </c>
      <c r="F197" s="556"/>
      <c r="G197" s="252" t="str">
        <f>IFERROR(VLOOKUP(F197,'Data (hidden)'!N:O,2,FALSE),"")</f>
        <v/>
      </c>
      <c r="H197" s="557"/>
      <c r="I197" s="558"/>
      <c r="J197" s="123">
        <f t="shared" si="31"/>
        <v>0</v>
      </c>
      <c r="K197" s="123" t="e">
        <f t="shared" si="32"/>
        <v>#VALUE!</v>
      </c>
      <c r="L197" s="123">
        <f t="shared" si="29"/>
        <v>0</v>
      </c>
      <c r="M197" s="124" t="str">
        <f t="shared" si="30"/>
        <v/>
      </c>
      <c r="N197" s="112"/>
      <c r="O197" s="101"/>
      <c r="P197" s="101"/>
      <c r="Q197" s="101"/>
      <c r="R197" s="102"/>
      <c r="S197" s="102"/>
      <c r="T197" s="102"/>
      <c r="U197" s="103"/>
      <c r="V197" s="100"/>
      <c r="W197" s="101"/>
      <c r="X197" s="113"/>
      <c r="Y197" s="114"/>
      <c r="Z197" s="102"/>
      <c r="AA197" s="101"/>
      <c r="AB197" s="111"/>
      <c r="AE197" s="187"/>
      <c r="AF197" s="185"/>
      <c r="AG197" s="185" t="str">
        <f t="shared" si="33"/>
        <v/>
      </c>
      <c r="AH197" s="186" t="str">
        <f t="shared" si="34"/>
        <v/>
      </c>
      <c r="AI197" s="185"/>
      <c r="AJ197" s="188"/>
      <c r="CC197" s="562"/>
      <c r="CD197" s="425"/>
    </row>
    <row r="198" spans="2:82" ht="30" customHeight="1" x14ac:dyDescent="0.3">
      <c r="B198" s="562"/>
      <c r="C198" s="563"/>
      <c r="D198" s="425"/>
      <c r="E198" s="250" t="str">
        <f t="shared" si="35"/>
        <v/>
      </c>
      <c r="F198" s="556"/>
      <c r="G198" s="252" t="str">
        <f>IFERROR(VLOOKUP(F198,'Data (hidden)'!N:O,2,FALSE),"")</f>
        <v/>
      </c>
      <c r="H198" s="557"/>
      <c r="I198" s="558"/>
      <c r="J198" s="123">
        <f t="shared" si="31"/>
        <v>0</v>
      </c>
      <c r="K198" s="123" t="e">
        <f t="shared" si="32"/>
        <v>#VALUE!</v>
      </c>
      <c r="L198" s="123">
        <f t="shared" si="29"/>
        <v>0</v>
      </c>
      <c r="M198" s="124" t="str">
        <f t="shared" si="30"/>
        <v/>
      </c>
      <c r="N198" s="112"/>
      <c r="O198" s="101"/>
      <c r="P198" s="101"/>
      <c r="Q198" s="101"/>
      <c r="R198" s="102"/>
      <c r="S198" s="102"/>
      <c r="T198" s="102"/>
      <c r="U198" s="103"/>
      <c r="V198" s="100"/>
      <c r="W198" s="101"/>
      <c r="X198" s="113"/>
      <c r="Y198" s="114"/>
      <c r="Z198" s="102"/>
      <c r="AA198" s="101"/>
      <c r="AB198" s="111"/>
      <c r="AE198" s="187"/>
      <c r="AF198" s="185"/>
      <c r="AG198" s="185" t="str">
        <f t="shared" si="33"/>
        <v/>
      </c>
      <c r="AH198" s="186" t="str">
        <f t="shared" si="34"/>
        <v/>
      </c>
      <c r="AI198" s="185"/>
      <c r="AJ198" s="188"/>
      <c r="CC198" s="562"/>
      <c r="CD198" s="425"/>
    </row>
    <row r="199" spans="2:82" ht="30" customHeight="1" x14ac:dyDescent="0.3">
      <c r="B199" s="562"/>
      <c r="C199" s="563"/>
      <c r="D199" s="425"/>
      <c r="E199" s="250" t="str">
        <f t="shared" si="35"/>
        <v/>
      </c>
      <c r="F199" s="556"/>
      <c r="G199" s="252" t="str">
        <f>IFERROR(VLOOKUP(F199,'Data (hidden)'!N:O,2,FALSE),"")</f>
        <v/>
      </c>
      <c r="H199" s="557"/>
      <c r="I199" s="558"/>
      <c r="J199" s="123">
        <f t="shared" si="31"/>
        <v>0</v>
      </c>
      <c r="K199" s="123" t="e">
        <f t="shared" si="32"/>
        <v>#VALUE!</v>
      </c>
      <c r="L199" s="123">
        <f t="shared" si="29"/>
        <v>0</v>
      </c>
      <c r="M199" s="124" t="str">
        <f t="shared" si="30"/>
        <v/>
      </c>
      <c r="N199" s="112"/>
      <c r="O199" s="101"/>
      <c r="P199" s="101"/>
      <c r="Q199" s="101"/>
      <c r="R199" s="102"/>
      <c r="S199" s="102"/>
      <c r="T199" s="102"/>
      <c r="U199" s="103"/>
      <c r="V199" s="100"/>
      <c r="W199" s="101"/>
      <c r="X199" s="113"/>
      <c r="Y199" s="114"/>
      <c r="Z199" s="102"/>
      <c r="AA199" s="101"/>
      <c r="AB199" s="111"/>
      <c r="AE199" s="187"/>
      <c r="AF199" s="185"/>
      <c r="AG199" s="185" t="str">
        <f t="shared" si="33"/>
        <v/>
      </c>
      <c r="AH199" s="186" t="str">
        <f t="shared" si="34"/>
        <v/>
      </c>
      <c r="AI199" s="185"/>
      <c r="AJ199" s="188"/>
      <c r="CC199" s="562"/>
      <c r="CD199" s="425"/>
    </row>
    <row r="200" spans="2:82" ht="30" customHeight="1" x14ac:dyDescent="0.3">
      <c r="B200" s="562"/>
      <c r="C200" s="563"/>
      <c r="D200" s="425"/>
      <c r="E200" s="250" t="str">
        <f t="shared" si="35"/>
        <v/>
      </c>
      <c r="F200" s="556"/>
      <c r="G200" s="252" t="str">
        <f>IFERROR(VLOOKUP(F200,'Data (hidden)'!N:O,2,FALSE),"")</f>
        <v/>
      </c>
      <c r="H200" s="557"/>
      <c r="I200" s="558"/>
      <c r="J200" s="123">
        <f t="shared" si="31"/>
        <v>0</v>
      </c>
      <c r="K200" s="123" t="e">
        <f t="shared" si="32"/>
        <v>#VALUE!</v>
      </c>
      <c r="L200" s="123">
        <f t="shared" si="29"/>
        <v>0</v>
      </c>
      <c r="M200" s="124" t="str">
        <f t="shared" si="30"/>
        <v/>
      </c>
      <c r="N200" s="112"/>
      <c r="O200" s="101"/>
      <c r="P200" s="101"/>
      <c r="Q200" s="101"/>
      <c r="R200" s="102"/>
      <c r="S200" s="102"/>
      <c r="T200" s="102"/>
      <c r="U200" s="103"/>
      <c r="V200" s="100"/>
      <c r="W200" s="101"/>
      <c r="X200" s="113"/>
      <c r="Y200" s="114"/>
      <c r="Z200" s="102"/>
      <c r="AA200" s="101"/>
      <c r="AB200" s="111"/>
      <c r="AE200" s="187"/>
      <c r="AF200" s="185"/>
      <c r="AG200" s="185" t="str">
        <f t="shared" si="33"/>
        <v/>
      </c>
      <c r="AH200" s="186" t="str">
        <f t="shared" si="34"/>
        <v/>
      </c>
      <c r="AI200" s="185"/>
      <c r="AJ200" s="188"/>
      <c r="CC200" s="562"/>
      <c r="CD200" s="425"/>
    </row>
    <row r="201" spans="2:82" ht="30" customHeight="1" x14ac:dyDescent="0.3">
      <c r="B201" s="562"/>
      <c r="C201" s="563"/>
      <c r="D201" s="425"/>
      <c r="E201" s="250" t="str">
        <f t="shared" si="35"/>
        <v/>
      </c>
      <c r="F201" s="556"/>
      <c r="G201" s="252" t="str">
        <f>IFERROR(VLOOKUP(F201,'Data (hidden)'!N:O,2,FALSE),"")</f>
        <v/>
      </c>
      <c r="H201" s="557"/>
      <c r="I201" s="558"/>
      <c r="J201" s="123">
        <f t="shared" si="31"/>
        <v>0</v>
      </c>
      <c r="K201" s="123" t="e">
        <f t="shared" si="32"/>
        <v>#VALUE!</v>
      </c>
      <c r="L201" s="123">
        <f t="shared" si="29"/>
        <v>0</v>
      </c>
      <c r="M201" s="124" t="str">
        <f t="shared" si="30"/>
        <v/>
      </c>
      <c r="N201" s="112"/>
      <c r="O201" s="101"/>
      <c r="P201" s="101"/>
      <c r="Q201" s="101"/>
      <c r="R201" s="102"/>
      <c r="S201" s="102"/>
      <c r="T201" s="102"/>
      <c r="U201" s="103"/>
      <c r="V201" s="100"/>
      <c r="W201" s="101"/>
      <c r="X201" s="113"/>
      <c r="Y201" s="114"/>
      <c r="Z201" s="102"/>
      <c r="AA201" s="101"/>
      <c r="AB201" s="111"/>
      <c r="AE201" s="187"/>
      <c r="AF201" s="185"/>
      <c r="AG201" s="185" t="str">
        <f t="shared" si="33"/>
        <v/>
      </c>
      <c r="AH201" s="186" t="str">
        <f t="shared" si="34"/>
        <v/>
      </c>
      <c r="AI201" s="185"/>
      <c r="AJ201" s="188"/>
      <c r="CC201" s="562"/>
      <c r="CD201" s="425"/>
    </row>
    <row r="202" spans="2:82" ht="30" customHeight="1" x14ac:dyDescent="0.3">
      <c r="B202" s="562"/>
      <c r="C202" s="563"/>
      <c r="D202" s="425"/>
      <c r="E202" s="250" t="str">
        <f t="shared" si="35"/>
        <v/>
      </c>
      <c r="F202" s="556"/>
      <c r="G202" s="252" t="str">
        <f>IFERROR(VLOOKUP(F202,'Data (hidden)'!N:O,2,FALSE),"")</f>
        <v/>
      </c>
      <c r="H202" s="557"/>
      <c r="I202" s="558"/>
      <c r="J202" s="123">
        <f t="shared" si="31"/>
        <v>0</v>
      </c>
      <c r="K202" s="123" t="e">
        <f t="shared" si="32"/>
        <v>#VALUE!</v>
      </c>
      <c r="L202" s="123">
        <f t="shared" si="29"/>
        <v>0</v>
      </c>
      <c r="M202" s="124" t="str">
        <f t="shared" si="30"/>
        <v/>
      </c>
      <c r="N202" s="112"/>
      <c r="O202" s="101"/>
      <c r="P202" s="101"/>
      <c r="Q202" s="101"/>
      <c r="R202" s="102"/>
      <c r="S202" s="102"/>
      <c r="T202" s="102"/>
      <c r="U202" s="103"/>
      <c r="V202" s="100"/>
      <c r="W202" s="101"/>
      <c r="X202" s="113"/>
      <c r="Y202" s="114"/>
      <c r="Z202" s="102"/>
      <c r="AA202" s="101"/>
      <c r="AB202" s="111"/>
      <c r="AE202" s="187"/>
      <c r="AF202" s="185"/>
      <c r="AG202" s="185" t="str">
        <f t="shared" si="33"/>
        <v/>
      </c>
      <c r="AH202" s="186" t="str">
        <f t="shared" si="34"/>
        <v/>
      </c>
      <c r="AI202" s="185"/>
      <c r="AJ202" s="188"/>
      <c r="CC202" s="562"/>
      <c r="CD202" s="425"/>
    </row>
    <row r="203" spans="2:82" ht="30" customHeight="1" x14ac:dyDescent="0.3">
      <c r="B203" s="562"/>
      <c r="C203" s="563"/>
      <c r="D203" s="425"/>
      <c r="E203" s="250" t="str">
        <f t="shared" si="35"/>
        <v/>
      </c>
      <c r="F203" s="556"/>
      <c r="G203" s="252" t="str">
        <f>IFERROR(VLOOKUP(F203,'Data (hidden)'!N:O,2,FALSE),"")</f>
        <v/>
      </c>
      <c r="H203" s="557"/>
      <c r="I203" s="558"/>
      <c r="J203" s="123">
        <f t="shared" si="31"/>
        <v>0</v>
      </c>
      <c r="K203" s="123" t="e">
        <f t="shared" si="32"/>
        <v>#VALUE!</v>
      </c>
      <c r="L203" s="123">
        <f t="shared" si="29"/>
        <v>0</v>
      </c>
      <c r="M203" s="124" t="str">
        <f t="shared" si="30"/>
        <v/>
      </c>
      <c r="N203" s="112"/>
      <c r="O203" s="101"/>
      <c r="P203" s="101"/>
      <c r="Q203" s="101"/>
      <c r="R203" s="102"/>
      <c r="S203" s="102"/>
      <c r="T203" s="102"/>
      <c r="U203" s="103"/>
      <c r="V203" s="100"/>
      <c r="W203" s="101"/>
      <c r="X203" s="113"/>
      <c r="Y203" s="114"/>
      <c r="Z203" s="102"/>
      <c r="AA203" s="101"/>
      <c r="AB203" s="111"/>
      <c r="AE203" s="187"/>
      <c r="AF203" s="185"/>
      <c r="AG203" s="185" t="str">
        <f t="shared" si="33"/>
        <v/>
      </c>
      <c r="AH203" s="186" t="str">
        <f t="shared" si="34"/>
        <v/>
      </c>
      <c r="AI203" s="185"/>
      <c r="AJ203" s="188"/>
      <c r="CC203" s="562"/>
      <c r="CD203" s="425"/>
    </row>
    <row r="204" spans="2:82" ht="30" customHeight="1" x14ac:dyDescent="0.3">
      <c r="B204" s="562"/>
      <c r="C204" s="563"/>
      <c r="D204" s="425"/>
      <c r="E204" s="250" t="str">
        <f t="shared" si="35"/>
        <v/>
      </c>
      <c r="F204" s="556"/>
      <c r="G204" s="252" t="str">
        <f>IFERROR(VLOOKUP(F204,'Data (hidden)'!N:O,2,FALSE),"")</f>
        <v/>
      </c>
      <c r="H204" s="557"/>
      <c r="I204" s="558"/>
      <c r="J204" s="123">
        <f t="shared" si="31"/>
        <v>0</v>
      </c>
      <c r="K204" s="123" t="e">
        <f t="shared" si="32"/>
        <v>#VALUE!</v>
      </c>
      <c r="L204" s="123">
        <f t="shared" si="29"/>
        <v>0</v>
      </c>
      <c r="M204" s="124" t="str">
        <f t="shared" si="30"/>
        <v/>
      </c>
      <c r="N204" s="112"/>
      <c r="O204" s="101"/>
      <c r="P204" s="101"/>
      <c r="Q204" s="101"/>
      <c r="R204" s="102"/>
      <c r="S204" s="102"/>
      <c r="T204" s="102"/>
      <c r="U204" s="103"/>
      <c r="V204" s="100"/>
      <c r="W204" s="101"/>
      <c r="X204" s="113"/>
      <c r="Y204" s="114"/>
      <c r="Z204" s="102"/>
      <c r="AA204" s="101"/>
      <c r="AB204" s="111"/>
      <c r="AE204" s="187"/>
      <c r="AF204" s="185"/>
      <c r="AG204" s="185" t="str">
        <f t="shared" si="33"/>
        <v/>
      </c>
      <c r="AH204" s="186" t="str">
        <f t="shared" si="34"/>
        <v/>
      </c>
      <c r="AI204" s="185"/>
      <c r="AJ204" s="188"/>
      <c r="CC204" s="562"/>
      <c r="CD204" s="425"/>
    </row>
    <row r="205" spans="2:82" ht="30" customHeight="1" x14ac:dyDescent="0.3">
      <c r="B205" s="562"/>
      <c r="C205" s="563"/>
      <c r="D205" s="425"/>
      <c r="E205" s="250" t="str">
        <f t="shared" si="35"/>
        <v/>
      </c>
      <c r="F205" s="556"/>
      <c r="G205" s="252" t="str">
        <f>IFERROR(VLOOKUP(F205,'Data (hidden)'!N:O,2,FALSE),"")</f>
        <v/>
      </c>
      <c r="H205" s="557"/>
      <c r="I205" s="558"/>
      <c r="J205" s="123">
        <f t="shared" si="31"/>
        <v>0</v>
      </c>
      <c r="K205" s="123" t="e">
        <f t="shared" si="32"/>
        <v>#VALUE!</v>
      </c>
      <c r="L205" s="123">
        <f t="shared" si="29"/>
        <v>0</v>
      </c>
      <c r="M205" s="124" t="str">
        <f t="shared" si="30"/>
        <v/>
      </c>
      <c r="N205" s="112"/>
      <c r="O205" s="101"/>
      <c r="P205" s="101"/>
      <c r="Q205" s="101"/>
      <c r="R205" s="102"/>
      <c r="S205" s="102"/>
      <c r="T205" s="102"/>
      <c r="U205" s="103"/>
      <c r="V205" s="100"/>
      <c r="W205" s="101"/>
      <c r="X205" s="113"/>
      <c r="Y205" s="114"/>
      <c r="Z205" s="102"/>
      <c r="AA205" s="101"/>
      <c r="AB205" s="111"/>
      <c r="AE205" s="187"/>
      <c r="AF205" s="185"/>
      <c r="AG205" s="185" t="str">
        <f t="shared" si="33"/>
        <v/>
      </c>
      <c r="AH205" s="186" t="str">
        <f t="shared" si="34"/>
        <v/>
      </c>
      <c r="AI205" s="185"/>
      <c r="AJ205" s="188"/>
      <c r="CC205" s="562"/>
      <c r="CD205" s="425"/>
    </row>
    <row r="206" spans="2:82" ht="30" customHeight="1" x14ac:dyDescent="0.3">
      <c r="B206" s="562"/>
      <c r="C206" s="563"/>
      <c r="D206" s="425"/>
      <c r="E206" s="250" t="str">
        <f t="shared" si="35"/>
        <v/>
      </c>
      <c r="F206" s="556"/>
      <c r="G206" s="252" t="str">
        <f>IFERROR(VLOOKUP(F206,'Data (hidden)'!N:O,2,FALSE),"")</f>
        <v/>
      </c>
      <c r="H206" s="557"/>
      <c r="I206" s="558"/>
      <c r="J206" s="123">
        <f t="shared" si="31"/>
        <v>0</v>
      </c>
      <c r="K206" s="123" t="e">
        <f t="shared" si="32"/>
        <v>#VALUE!</v>
      </c>
      <c r="L206" s="123">
        <f t="shared" si="29"/>
        <v>0</v>
      </c>
      <c r="M206" s="124" t="str">
        <f t="shared" si="30"/>
        <v/>
      </c>
      <c r="N206" s="112"/>
      <c r="O206" s="101"/>
      <c r="P206" s="101"/>
      <c r="Q206" s="101"/>
      <c r="R206" s="102"/>
      <c r="S206" s="102"/>
      <c r="T206" s="102"/>
      <c r="U206" s="103"/>
      <c r="V206" s="100"/>
      <c r="W206" s="101"/>
      <c r="X206" s="113"/>
      <c r="Y206" s="114"/>
      <c r="Z206" s="102"/>
      <c r="AA206" s="101"/>
      <c r="AB206" s="111"/>
      <c r="AE206" s="187"/>
      <c r="AF206" s="185"/>
      <c r="AG206" s="185" t="str">
        <f t="shared" si="33"/>
        <v/>
      </c>
      <c r="AH206" s="186" t="str">
        <f t="shared" si="34"/>
        <v/>
      </c>
      <c r="AI206" s="185"/>
      <c r="AJ206" s="188"/>
      <c r="CC206" s="562"/>
      <c r="CD206" s="425"/>
    </row>
    <row r="207" spans="2:82" ht="30" customHeight="1" x14ac:dyDescent="0.3">
      <c r="B207" s="562"/>
      <c r="C207" s="563"/>
      <c r="D207" s="425"/>
      <c r="E207" s="250" t="str">
        <f t="shared" si="35"/>
        <v/>
      </c>
      <c r="F207" s="556"/>
      <c r="G207" s="252" t="str">
        <f>IFERROR(VLOOKUP(F207,'Data (hidden)'!N:O,2,FALSE),"")</f>
        <v/>
      </c>
      <c r="H207" s="557"/>
      <c r="I207" s="558"/>
      <c r="J207" s="123">
        <f t="shared" si="31"/>
        <v>0</v>
      </c>
      <c r="K207" s="123" t="e">
        <f t="shared" si="32"/>
        <v>#VALUE!</v>
      </c>
      <c r="L207" s="123">
        <f t="shared" si="29"/>
        <v>0</v>
      </c>
      <c r="M207" s="124" t="str">
        <f t="shared" si="30"/>
        <v/>
      </c>
      <c r="N207" s="112"/>
      <c r="O207" s="101"/>
      <c r="P207" s="101"/>
      <c r="Q207" s="101"/>
      <c r="R207" s="102"/>
      <c r="S207" s="102"/>
      <c r="T207" s="102"/>
      <c r="U207" s="103"/>
      <c r="V207" s="100"/>
      <c r="W207" s="101"/>
      <c r="X207" s="113"/>
      <c r="Y207" s="114"/>
      <c r="Z207" s="102"/>
      <c r="AA207" s="101"/>
      <c r="AB207" s="111"/>
      <c r="AE207" s="187"/>
      <c r="AF207" s="185"/>
      <c r="AG207" s="185" t="str">
        <f t="shared" si="33"/>
        <v/>
      </c>
      <c r="AH207" s="186" t="str">
        <f t="shared" si="34"/>
        <v/>
      </c>
      <c r="AI207" s="185"/>
      <c r="AJ207" s="188"/>
      <c r="CC207" s="562"/>
      <c r="CD207" s="425"/>
    </row>
    <row r="208" spans="2:82" ht="30" customHeight="1" x14ac:dyDescent="0.3">
      <c r="B208" s="562"/>
      <c r="C208" s="563"/>
      <c r="D208" s="425"/>
      <c r="E208" s="250" t="str">
        <f t="shared" si="35"/>
        <v/>
      </c>
      <c r="F208" s="556"/>
      <c r="G208" s="252" t="str">
        <f>IFERROR(VLOOKUP(F208,'Data (hidden)'!N:O,2,FALSE),"")</f>
        <v/>
      </c>
      <c r="H208" s="557"/>
      <c r="I208" s="558"/>
      <c r="J208" s="123">
        <f t="shared" si="31"/>
        <v>0</v>
      </c>
      <c r="K208" s="123" t="e">
        <f t="shared" si="32"/>
        <v>#VALUE!</v>
      </c>
      <c r="L208" s="123">
        <f t="shared" si="29"/>
        <v>0</v>
      </c>
      <c r="M208" s="124" t="str">
        <f t="shared" si="30"/>
        <v/>
      </c>
      <c r="N208" s="112"/>
      <c r="O208" s="101"/>
      <c r="P208" s="101"/>
      <c r="Q208" s="101"/>
      <c r="R208" s="102"/>
      <c r="S208" s="102"/>
      <c r="T208" s="102"/>
      <c r="U208" s="103"/>
      <c r="V208" s="100"/>
      <c r="W208" s="101"/>
      <c r="X208" s="113"/>
      <c r="Y208" s="114"/>
      <c r="Z208" s="102"/>
      <c r="AA208" s="101"/>
      <c r="AB208" s="111"/>
      <c r="AE208" s="187"/>
      <c r="AF208" s="185"/>
      <c r="AG208" s="185" t="str">
        <f t="shared" si="33"/>
        <v/>
      </c>
      <c r="AH208" s="186" t="str">
        <f t="shared" si="34"/>
        <v/>
      </c>
      <c r="AI208" s="185"/>
      <c r="AJ208" s="188"/>
      <c r="CC208" s="562"/>
      <c r="CD208" s="425"/>
    </row>
    <row r="209" spans="2:82" ht="30" customHeight="1" x14ac:dyDescent="0.3">
      <c r="B209" s="562"/>
      <c r="C209" s="563"/>
      <c r="D209" s="425"/>
      <c r="E209" s="250" t="str">
        <f t="shared" si="35"/>
        <v/>
      </c>
      <c r="F209" s="556"/>
      <c r="G209" s="252" t="str">
        <f>IFERROR(VLOOKUP(F209,'Data (hidden)'!N:O,2,FALSE),"")</f>
        <v/>
      </c>
      <c r="H209" s="557"/>
      <c r="I209" s="558"/>
      <c r="J209" s="123">
        <f t="shared" si="31"/>
        <v>0</v>
      </c>
      <c r="K209" s="123" t="e">
        <f t="shared" si="32"/>
        <v>#VALUE!</v>
      </c>
      <c r="L209" s="123">
        <f t="shared" si="29"/>
        <v>0</v>
      </c>
      <c r="M209" s="124" t="str">
        <f t="shared" si="30"/>
        <v/>
      </c>
      <c r="N209" s="112"/>
      <c r="O209" s="101"/>
      <c r="P209" s="101"/>
      <c r="Q209" s="101"/>
      <c r="R209" s="102"/>
      <c r="S209" s="102"/>
      <c r="T209" s="102"/>
      <c r="U209" s="103"/>
      <c r="V209" s="100"/>
      <c r="W209" s="101"/>
      <c r="X209" s="113"/>
      <c r="Y209" s="114"/>
      <c r="Z209" s="102"/>
      <c r="AA209" s="101"/>
      <c r="AB209" s="111"/>
      <c r="AE209" s="187"/>
      <c r="AF209" s="185"/>
      <c r="AG209" s="185" t="str">
        <f t="shared" si="33"/>
        <v/>
      </c>
      <c r="AH209" s="186" t="str">
        <f t="shared" si="34"/>
        <v/>
      </c>
      <c r="AI209" s="185"/>
      <c r="AJ209" s="188"/>
      <c r="CC209" s="562"/>
      <c r="CD209" s="425"/>
    </row>
    <row r="210" spans="2:82" ht="30" customHeight="1" x14ac:dyDescent="0.3">
      <c r="B210" s="562"/>
      <c r="C210" s="563"/>
      <c r="D210" s="425"/>
      <c r="E210" s="250" t="str">
        <f t="shared" si="35"/>
        <v/>
      </c>
      <c r="F210" s="556"/>
      <c r="G210" s="252" t="str">
        <f>IFERROR(VLOOKUP(F210,'Data (hidden)'!N:O,2,FALSE),"")</f>
        <v/>
      </c>
      <c r="H210" s="557"/>
      <c r="I210" s="558"/>
      <c r="J210" s="123">
        <f t="shared" si="31"/>
        <v>0</v>
      </c>
      <c r="K210" s="123" t="e">
        <f t="shared" si="32"/>
        <v>#VALUE!</v>
      </c>
      <c r="L210" s="123">
        <f t="shared" si="29"/>
        <v>0</v>
      </c>
      <c r="M210" s="124" t="str">
        <f t="shared" si="30"/>
        <v/>
      </c>
      <c r="N210" s="112"/>
      <c r="O210" s="101"/>
      <c r="P210" s="101"/>
      <c r="Q210" s="101"/>
      <c r="R210" s="102"/>
      <c r="S210" s="102"/>
      <c r="T210" s="102"/>
      <c r="U210" s="103"/>
      <c r="V210" s="100"/>
      <c r="W210" s="101"/>
      <c r="X210" s="113"/>
      <c r="Y210" s="114"/>
      <c r="Z210" s="102"/>
      <c r="AA210" s="101"/>
      <c r="AB210" s="111"/>
      <c r="AE210" s="187"/>
      <c r="AF210" s="185"/>
      <c r="AG210" s="185" t="str">
        <f t="shared" si="33"/>
        <v/>
      </c>
      <c r="AH210" s="186" t="str">
        <f t="shared" si="34"/>
        <v/>
      </c>
      <c r="AI210" s="185"/>
      <c r="AJ210" s="188"/>
      <c r="CC210" s="562"/>
      <c r="CD210" s="425"/>
    </row>
    <row r="211" spans="2:82" ht="30" customHeight="1" x14ac:dyDescent="0.3">
      <c r="B211" s="562"/>
      <c r="C211" s="563"/>
      <c r="D211" s="425"/>
      <c r="E211" s="250" t="str">
        <f t="shared" si="35"/>
        <v/>
      </c>
      <c r="F211" s="556"/>
      <c r="G211" s="252" t="str">
        <f>IFERROR(VLOOKUP(F211,'Data (hidden)'!N:O,2,FALSE),"")</f>
        <v/>
      </c>
      <c r="H211" s="557"/>
      <c r="I211" s="558"/>
      <c r="J211" s="123">
        <f t="shared" si="31"/>
        <v>0</v>
      </c>
      <c r="K211" s="123" t="e">
        <f t="shared" si="32"/>
        <v>#VALUE!</v>
      </c>
      <c r="L211" s="123">
        <f t="shared" ref="L211:L274" si="36">D211*0.01</f>
        <v>0</v>
      </c>
      <c r="M211" s="124" t="str">
        <f t="shared" ref="M211:M274" si="37">IFERROR(K211*I211,"")</f>
        <v/>
      </c>
      <c r="N211" s="112"/>
      <c r="O211" s="101"/>
      <c r="P211" s="101"/>
      <c r="Q211" s="101"/>
      <c r="R211" s="102"/>
      <c r="S211" s="102"/>
      <c r="T211" s="102"/>
      <c r="U211" s="103"/>
      <c r="V211" s="100"/>
      <c r="W211" s="101"/>
      <c r="X211" s="113"/>
      <c r="Y211" s="114"/>
      <c r="Z211" s="102"/>
      <c r="AA211" s="101"/>
      <c r="AB211" s="111"/>
      <c r="AE211" s="187"/>
      <c r="AF211" s="185"/>
      <c r="AG211" s="185" t="str">
        <f t="shared" si="33"/>
        <v/>
      </c>
      <c r="AH211" s="186" t="str">
        <f t="shared" si="34"/>
        <v/>
      </c>
      <c r="AI211" s="185"/>
      <c r="AJ211" s="188"/>
      <c r="CC211" s="562"/>
      <c r="CD211" s="425"/>
    </row>
    <row r="212" spans="2:82" ht="30" customHeight="1" x14ac:dyDescent="0.3">
      <c r="B212" s="562"/>
      <c r="C212" s="563"/>
      <c r="D212" s="425"/>
      <c r="E212" s="250" t="str">
        <f t="shared" si="35"/>
        <v/>
      </c>
      <c r="F212" s="556"/>
      <c r="G212" s="252" t="str">
        <f>IFERROR(VLOOKUP(F212,'Data (hidden)'!N:O,2,FALSE),"")</f>
        <v/>
      </c>
      <c r="H212" s="557"/>
      <c r="I212" s="558"/>
      <c r="J212" s="123">
        <f t="shared" ref="J212:J275" si="38">H212*0.01</f>
        <v>0</v>
      </c>
      <c r="K212" s="123" t="e">
        <f t="shared" ref="K212:K275" si="39">E212*J212</f>
        <v>#VALUE!</v>
      </c>
      <c r="L212" s="123">
        <f t="shared" si="36"/>
        <v>0</v>
      </c>
      <c r="M212" s="124" t="str">
        <f t="shared" si="37"/>
        <v/>
      </c>
      <c r="N212" s="112"/>
      <c r="O212" s="101"/>
      <c r="P212" s="101"/>
      <c r="Q212" s="101"/>
      <c r="R212" s="102"/>
      <c r="S212" s="102"/>
      <c r="T212" s="102"/>
      <c r="U212" s="103"/>
      <c r="V212" s="100"/>
      <c r="W212" s="101"/>
      <c r="X212" s="113"/>
      <c r="Y212" s="114"/>
      <c r="Z212" s="102"/>
      <c r="AA212" s="101"/>
      <c r="AB212" s="111"/>
      <c r="AE212" s="187"/>
      <c r="AF212" s="185"/>
      <c r="AG212" s="185" t="str">
        <f t="shared" ref="AG212:AG275" si="40">IF(ISNUMBER(B212), B212, "")</f>
        <v/>
      </c>
      <c r="AH212" s="186" t="str">
        <f t="shared" ref="AH212:AH275" si="41">E212</f>
        <v/>
      </c>
      <c r="AI212" s="185"/>
      <c r="AJ212" s="188"/>
      <c r="CC212" s="562"/>
      <c r="CD212" s="425"/>
    </row>
    <row r="213" spans="2:82" ht="30" customHeight="1" x14ac:dyDescent="0.3">
      <c r="B213" s="562"/>
      <c r="C213" s="563"/>
      <c r="D213" s="425"/>
      <c r="E213" s="250" t="str">
        <f t="shared" si="35"/>
        <v/>
      </c>
      <c r="F213" s="556"/>
      <c r="G213" s="252" t="str">
        <f>IFERROR(VLOOKUP(F213,'Data (hidden)'!N:O,2,FALSE),"")</f>
        <v/>
      </c>
      <c r="H213" s="557"/>
      <c r="I213" s="558"/>
      <c r="J213" s="123">
        <f t="shared" si="38"/>
        <v>0</v>
      </c>
      <c r="K213" s="123" t="e">
        <f t="shared" si="39"/>
        <v>#VALUE!</v>
      </c>
      <c r="L213" s="123">
        <f t="shared" si="36"/>
        <v>0</v>
      </c>
      <c r="M213" s="124" t="str">
        <f t="shared" si="37"/>
        <v/>
      </c>
      <c r="N213" s="112"/>
      <c r="O213" s="101"/>
      <c r="P213" s="101"/>
      <c r="Q213" s="101"/>
      <c r="R213" s="102"/>
      <c r="S213" s="102"/>
      <c r="T213" s="102"/>
      <c r="U213" s="103"/>
      <c r="V213" s="100"/>
      <c r="W213" s="101"/>
      <c r="X213" s="113"/>
      <c r="Y213" s="114"/>
      <c r="Z213" s="102"/>
      <c r="AA213" s="101"/>
      <c r="AB213" s="111"/>
      <c r="AE213" s="187"/>
      <c r="AF213" s="185"/>
      <c r="AG213" s="185" t="str">
        <f t="shared" si="40"/>
        <v/>
      </c>
      <c r="AH213" s="186" t="str">
        <f t="shared" si="41"/>
        <v/>
      </c>
      <c r="AI213" s="185"/>
      <c r="AJ213" s="188"/>
      <c r="CC213" s="562"/>
      <c r="CD213" s="425"/>
    </row>
    <row r="214" spans="2:82" ht="30" customHeight="1" x14ac:dyDescent="0.3">
      <c r="B214" s="562"/>
      <c r="C214" s="563"/>
      <c r="D214" s="425"/>
      <c r="E214" s="250" t="str">
        <f t="shared" si="35"/>
        <v/>
      </c>
      <c r="F214" s="556"/>
      <c r="G214" s="252" t="str">
        <f>IFERROR(VLOOKUP(F214,'Data (hidden)'!N:O,2,FALSE),"")</f>
        <v/>
      </c>
      <c r="H214" s="557"/>
      <c r="I214" s="558"/>
      <c r="J214" s="123">
        <f t="shared" si="38"/>
        <v>0</v>
      </c>
      <c r="K214" s="123" t="e">
        <f t="shared" si="39"/>
        <v>#VALUE!</v>
      </c>
      <c r="L214" s="123">
        <f t="shared" si="36"/>
        <v>0</v>
      </c>
      <c r="M214" s="124" t="str">
        <f t="shared" si="37"/>
        <v/>
      </c>
      <c r="N214" s="112"/>
      <c r="O214" s="101"/>
      <c r="P214" s="101"/>
      <c r="Q214" s="101"/>
      <c r="R214" s="102"/>
      <c r="S214" s="102"/>
      <c r="T214" s="102"/>
      <c r="U214" s="103"/>
      <c r="V214" s="100"/>
      <c r="W214" s="101"/>
      <c r="X214" s="113"/>
      <c r="Y214" s="114"/>
      <c r="Z214" s="102"/>
      <c r="AA214" s="101"/>
      <c r="AB214" s="111"/>
      <c r="AE214" s="187"/>
      <c r="AF214" s="185"/>
      <c r="AG214" s="185" t="str">
        <f t="shared" si="40"/>
        <v/>
      </c>
      <c r="AH214" s="186" t="str">
        <f t="shared" si="41"/>
        <v/>
      </c>
      <c r="AI214" s="185"/>
      <c r="AJ214" s="188"/>
      <c r="CC214" s="562"/>
      <c r="CD214" s="425"/>
    </row>
    <row r="215" spans="2:82" ht="30" customHeight="1" x14ac:dyDescent="0.3">
      <c r="B215" s="562"/>
      <c r="C215" s="563"/>
      <c r="D215" s="425"/>
      <c r="E215" s="250" t="str">
        <f t="shared" si="35"/>
        <v/>
      </c>
      <c r="F215" s="556"/>
      <c r="G215" s="252" t="str">
        <f>IFERROR(VLOOKUP(F215,'Data (hidden)'!N:O,2,FALSE),"")</f>
        <v/>
      </c>
      <c r="H215" s="557"/>
      <c r="I215" s="558"/>
      <c r="J215" s="123">
        <f t="shared" si="38"/>
        <v>0</v>
      </c>
      <c r="K215" s="123" t="e">
        <f t="shared" si="39"/>
        <v>#VALUE!</v>
      </c>
      <c r="L215" s="123">
        <f t="shared" si="36"/>
        <v>0</v>
      </c>
      <c r="M215" s="124" t="str">
        <f t="shared" si="37"/>
        <v/>
      </c>
      <c r="N215" s="112"/>
      <c r="O215" s="101"/>
      <c r="P215" s="101"/>
      <c r="Q215" s="101"/>
      <c r="R215" s="102"/>
      <c r="S215" s="102"/>
      <c r="T215" s="102"/>
      <c r="U215" s="103"/>
      <c r="V215" s="100"/>
      <c r="W215" s="101"/>
      <c r="X215" s="113"/>
      <c r="Y215" s="114"/>
      <c r="Z215" s="102"/>
      <c r="AA215" s="101"/>
      <c r="AB215" s="111"/>
      <c r="AE215" s="187"/>
      <c r="AF215" s="185"/>
      <c r="AG215" s="185" t="str">
        <f t="shared" si="40"/>
        <v/>
      </c>
      <c r="AH215" s="186" t="str">
        <f t="shared" si="41"/>
        <v/>
      </c>
      <c r="AI215" s="185"/>
      <c r="AJ215" s="188"/>
      <c r="CC215" s="562"/>
      <c r="CD215" s="425"/>
    </row>
    <row r="216" spans="2:82" ht="30" customHeight="1" x14ac:dyDescent="0.3">
      <c r="B216" s="562"/>
      <c r="C216" s="563"/>
      <c r="D216" s="425"/>
      <c r="E216" s="250" t="str">
        <f t="shared" si="35"/>
        <v/>
      </c>
      <c r="F216" s="556"/>
      <c r="G216" s="252" t="str">
        <f>IFERROR(VLOOKUP(F216,'Data (hidden)'!N:O,2,FALSE),"")</f>
        <v/>
      </c>
      <c r="H216" s="557"/>
      <c r="I216" s="558"/>
      <c r="J216" s="123">
        <f t="shared" si="38"/>
        <v>0</v>
      </c>
      <c r="K216" s="123" t="e">
        <f t="shared" si="39"/>
        <v>#VALUE!</v>
      </c>
      <c r="L216" s="123">
        <f t="shared" si="36"/>
        <v>0</v>
      </c>
      <c r="M216" s="124" t="str">
        <f t="shared" si="37"/>
        <v/>
      </c>
      <c r="N216" s="112"/>
      <c r="O216" s="101"/>
      <c r="P216" s="101"/>
      <c r="Q216" s="101"/>
      <c r="R216" s="102"/>
      <c r="S216" s="102"/>
      <c r="T216" s="102"/>
      <c r="U216" s="103"/>
      <c r="V216" s="100"/>
      <c r="W216" s="101"/>
      <c r="X216" s="113"/>
      <c r="Y216" s="114"/>
      <c r="Z216" s="102"/>
      <c r="AA216" s="101"/>
      <c r="AB216" s="111"/>
      <c r="AE216" s="187"/>
      <c r="AF216" s="185"/>
      <c r="AG216" s="185" t="str">
        <f t="shared" si="40"/>
        <v/>
      </c>
      <c r="AH216" s="186" t="str">
        <f t="shared" si="41"/>
        <v/>
      </c>
      <c r="AI216" s="185"/>
      <c r="AJ216" s="188"/>
      <c r="CC216" s="562"/>
      <c r="CD216" s="425"/>
    </row>
    <row r="217" spans="2:82" ht="30" customHeight="1" x14ac:dyDescent="0.3">
      <c r="B217" s="562"/>
      <c r="C217" s="563"/>
      <c r="D217" s="425"/>
      <c r="E217" s="250" t="str">
        <f t="shared" si="35"/>
        <v/>
      </c>
      <c r="F217" s="556"/>
      <c r="G217" s="252" t="str">
        <f>IFERROR(VLOOKUP(F217,'Data (hidden)'!N:O,2,FALSE),"")</f>
        <v/>
      </c>
      <c r="H217" s="557"/>
      <c r="I217" s="558"/>
      <c r="J217" s="123">
        <f t="shared" si="38"/>
        <v>0</v>
      </c>
      <c r="K217" s="123" t="e">
        <f t="shared" si="39"/>
        <v>#VALUE!</v>
      </c>
      <c r="L217" s="123">
        <f t="shared" si="36"/>
        <v>0</v>
      </c>
      <c r="M217" s="124" t="str">
        <f t="shared" si="37"/>
        <v/>
      </c>
      <c r="N217" s="112"/>
      <c r="O217" s="101"/>
      <c r="P217" s="101"/>
      <c r="Q217" s="101"/>
      <c r="R217" s="102"/>
      <c r="S217" s="102"/>
      <c r="T217" s="102"/>
      <c r="U217" s="103"/>
      <c r="V217" s="100"/>
      <c r="W217" s="101"/>
      <c r="X217" s="113"/>
      <c r="Y217" s="114"/>
      <c r="Z217" s="102"/>
      <c r="AA217" s="101"/>
      <c r="AB217" s="111"/>
      <c r="AE217" s="187"/>
      <c r="AF217" s="185"/>
      <c r="AG217" s="185" t="str">
        <f t="shared" si="40"/>
        <v/>
      </c>
      <c r="AH217" s="186" t="str">
        <f t="shared" si="41"/>
        <v/>
      </c>
      <c r="AI217" s="185"/>
      <c r="AJ217" s="188"/>
      <c r="CC217" s="562"/>
      <c r="CD217" s="425"/>
    </row>
    <row r="218" spans="2:82" ht="30" customHeight="1" x14ac:dyDescent="0.3">
      <c r="B218" s="562"/>
      <c r="C218" s="563"/>
      <c r="D218" s="425"/>
      <c r="E218" s="250" t="str">
        <f t="shared" si="35"/>
        <v/>
      </c>
      <c r="F218" s="556"/>
      <c r="G218" s="252" t="str">
        <f>IFERROR(VLOOKUP(F218,'Data (hidden)'!N:O,2,FALSE),"")</f>
        <v/>
      </c>
      <c r="H218" s="557"/>
      <c r="I218" s="558"/>
      <c r="J218" s="123">
        <f t="shared" si="38"/>
        <v>0</v>
      </c>
      <c r="K218" s="123" t="e">
        <f t="shared" si="39"/>
        <v>#VALUE!</v>
      </c>
      <c r="L218" s="123">
        <f t="shared" si="36"/>
        <v>0</v>
      </c>
      <c r="M218" s="124" t="str">
        <f t="shared" si="37"/>
        <v/>
      </c>
      <c r="N218" s="112"/>
      <c r="O218" s="101"/>
      <c r="P218" s="101"/>
      <c r="Q218" s="101"/>
      <c r="R218" s="102"/>
      <c r="S218" s="102"/>
      <c r="T218" s="102"/>
      <c r="U218" s="103"/>
      <c r="V218" s="100"/>
      <c r="W218" s="101"/>
      <c r="X218" s="113"/>
      <c r="Y218" s="114"/>
      <c r="Z218" s="102"/>
      <c r="AA218" s="101"/>
      <c r="AB218" s="111"/>
      <c r="AE218" s="187"/>
      <c r="AF218" s="185"/>
      <c r="AG218" s="185" t="str">
        <f t="shared" si="40"/>
        <v/>
      </c>
      <c r="AH218" s="186" t="str">
        <f t="shared" si="41"/>
        <v/>
      </c>
      <c r="AI218" s="185"/>
      <c r="AJ218" s="188"/>
      <c r="CC218" s="562"/>
      <c r="CD218" s="425"/>
    </row>
    <row r="219" spans="2:82" ht="30" customHeight="1" x14ac:dyDescent="0.3">
      <c r="B219" s="562"/>
      <c r="C219" s="563"/>
      <c r="D219" s="425"/>
      <c r="E219" s="250" t="str">
        <f t="shared" si="35"/>
        <v/>
      </c>
      <c r="F219" s="556"/>
      <c r="G219" s="252" t="str">
        <f>IFERROR(VLOOKUP(F219,'Data (hidden)'!N:O,2,FALSE),"")</f>
        <v/>
      </c>
      <c r="H219" s="557"/>
      <c r="I219" s="558"/>
      <c r="J219" s="123">
        <f t="shared" si="38"/>
        <v>0</v>
      </c>
      <c r="K219" s="123" t="e">
        <f t="shared" si="39"/>
        <v>#VALUE!</v>
      </c>
      <c r="L219" s="123">
        <f t="shared" si="36"/>
        <v>0</v>
      </c>
      <c r="M219" s="124" t="str">
        <f t="shared" si="37"/>
        <v/>
      </c>
      <c r="N219" s="112"/>
      <c r="O219" s="101"/>
      <c r="P219" s="101"/>
      <c r="Q219" s="101"/>
      <c r="R219" s="102"/>
      <c r="S219" s="102"/>
      <c r="T219" s="102"/>
      <c r="U219" s="103"/>
      <c r="V219" s="100"/>
      <c r="W219" s="101"/>
      <c r="X219" s="113"/>
      <c r="Y219" s="114"/>
      <c r="Z219" s="102"/>
      <c r="AA219" s="101"/>
      <c r="AB219" s="111"/>
      <c r="AE219" s="187"/>
      <c r="AF219" s="185"/>
      <c r="AG219" s="185" t="str">
        <f t="shared" si="40"/>
        <v/>
      </c>
      <c r="AH219" s="186" t="str">
        <f t="shared" si="41"/>
        <v/>
      </c>
      <c r="AI219" s="185"/>
      <c r="AJ219" s="188"/>
      <c r="CC219" s="562"/>
      <c r="CD219" s="425"/>
    </row>
    <row r="220" spans="2:82" ht="30" customHeight="1" x14ac:dyDescent="0.3">
      <c r="B220" s="562"/>
      <c r="C220" s="563"/>
      <c r="D220" s="425"/>
      <c r="E220" s="250" t="str">
        <f t="shared" si="35"/>
        <v/>
      </c>
      <c r="F220" s="556"/>
      <c r="G220" s="252" t="str">
        <f>IFERROR(VLOOKUP(F220,'Data (hidden)'!N:O,2,FALSE),"")</f>
        <v/>
      </c>
      <c r="H220" s="557"/>
      <c r="I220" s="558"/>
      <c r="J220" s="123">
        <f t="shared" si="38"/>
        <v>0</v>
      </c>
      <c r="K220" s="123" t="e">
        <f t="shared" si="39"/>
        <v>#VALUE!</v>
      </c>
      <c r="L220" s="123">
        <f t="shared" si="36"/>
        <v>0</v>
      </c>
      <c r="M220" s="124" t="str">
        <f t="shared" si="37"/>
        <v/>
      </c>
      <c r="N220" s="112"/>
      <c r="O220" s="101"/>
      <c r="P220" s="101"/>
      <c r="Q220" s="101"/>
      <c r="R220" s="102"/>
      <c r="S220" s="102"/>
      <c r="T220" s="102"/>
      <c r="U220" s="103"/>
      <c r="V220" s="100"/>
      <c r="W220" s="101"/>
      <c r="X220" s="113"/>
      <c r="Y220" s="114"/>
      <c r="Z220" s="102"/>
      <c r="AA220" s="101"/>
      <c r="AB220" s="111"/>
      <c r="AE220" s="187"/>
      <c r="AF220" s="185"/>
      <c r="AG220" s="185" t="str">
        <f t="shared" si="40"/>
        <v/>
      </c>
      <c r="AH220" s="186" t="str">
        <f t="shared" si="41"/>
        <v/>
      </c>
      <c r="AI220" s="185"/>
      <c r="AJ220" s="188"/>
      <c r="CC220" s="562"/>
      <c r="CD220" s="425"/>
    </row>
    <row r="221" spans="2:82" ht="30" customHeight="1" x14ac:dyDescent="0.3">
      <c r="B221" s="562"/>
      <c r="C221" s="563"/>
      <c r="D221" s="425"/>
      <c r="E221" s="250" t="str">
        <f t="shared" si="35"/>
        <v/>
      </c>
      <c r="F221" s="556"/>
      <c r="G221" s="252" t="str">
        <f>IFERROR(VLOOKUP(F221,'Data (hidden)'!N:O,2,FALSE),"")</f>
        <v/>
      </c>
      <c r="H221" s="557"/>
      <c r="I221" s="558"/>
      <c r="J221" s="123">
        <f t="shared" si="38"/>
        <v>0</v>
      </c>
      <c r="K221" s="123" t="e">
        <f t="shared" si="39"/>
        <v>#VALUE!</v>
      </c>
      <c r="L221" s="123">
        <f t="shared" si="36"/>
        <v>0</v>
      </c>
      <c r="M221" s="124" t="str">
        <f t="shared" si="37"/>
        <v/>
      </c>
      <c r="N221" s="112"/>
      <c r="O221" s="101"/>
      <c r="P221" s="101"/>
      <c r="Q221" s="101"/>
      <c r="R221" s="102"/>
      <c r="S221" s="102"/>
      <c r="T221" s="102"/>
      <c r="U221" s="103"/>
      <c r="V221" s="100"/>
      <c r="W221" s="101"/>
      <c r="X221" s="113"/>
      <c r="Y221" s="114"/>
      <c r="Z221" s="102"/>
      <c r="AA221" s="101"/>
      <c r="AB221" s="111"/>
      <c r="AE221" s="187"/>
      <c r="AF221" s="185"/>
      <c r="AG221" s="185" t="str">
        <f t="shared" si="40"/>
        <v/>
      </c>
      <c r="AH221" s="186" t="str">
        <f t="shared" si="41"/>
        <v/>
      </c>
      <c r="AI221" s="185"/>
      <c r="AJ221" s="188"/>
      <c r="CC221" s="562"/>
      <c r="CD221" s="425"/>
    </row>
    <row r="222" spans="2:82" ht="30" customHeight="1" x14ac:dyDescent="0.3">
      <c r="B222" s="562"/>
      <c r="C222" s="563"/>
      <c r="D222" s="425"/>
      <c r="E222" s="250" t="str">
        <f t="shared" si="35"/>
        <v/>
      </c>
      <c r="F222" s="556"/>
      <c r="G222" s="252" t="str">
        <f>IFERROR(VLOOKUP(F222,'Data (hidden)'!N:O,2,FALSE),"")</f>
        <v/>
      </c>
      <c r="H222" s="557"/>
      <c r="I222" s="558"/>
      <c r="J222" s="123">
        <f t="shared" si="38"/>
        <v>0</v>
      </c>
      <c r="K222" s="123" t="e">
        <f t="shared" si="39"/>
        <v>#VALUE!</v>
      </c>
      <c r="L222" s="123">
        <f t="shared" si="36"/>
        <v>0</v>
      </c>
      <c r="M222" s="124" t="str">
        <f t="shared" si="37"/>
        <v/>
      </c>
      <c r="N222" s="112"/>
      <c r="O222" s="101"/>
      <c r="P222" s="101"/>
      <c r="Q222" s="101"/>
      <c r="R222" s="102"/>
      <c r="S222" s="102"/>
      <c r="T222" s="102"/>
      <c r="U222" s="103"/>
      <c r="V222" s="100"/>
      <c r="W222" s="101"/>
      <c r="X222" s="113"/>
      <c r="Y222" s="114"/>
      <c r="Z222" s="102"/>
      <c r="AA222" s="101"/>
      <c r="AB222" s="111"/>
      <c r="AE222" s="187"/>
      <c r="AF222" s="185"/>
      <c r="AG222" s="185" t="str">
        <f t="shared" si="40"/>
        <v/>
      </c>
      <c r="AH222" s="186" t="str">
        <f t="shared" si="41"/>
        <v/>
      </c>
      <c r="AI222" s="185"/>
      <c r="AJ222" s="188"/>
      <c r="CC222" s="562"/>
      <c r="CD222" s="425"/>
    </row>
    <row r="223" spans="2:82" ht="30" customHeight="1" x14ac:dyDescent="0.3">
      <c r="B223" s="562"/>
      <c r="C223" s="563"/>
      <c r="D223" s="425"/>
      <c r="E223" s="250" t="str">
        <f t="shared" si="35"/>
        <v/>
      </c>
      <c r="F223" s="556"/>
      <c r="G223" s="252" t="str">
        <f>IFERROR(VLOOKUP(F223,'Data (hidden)'!N:O,2,FALSE),"")</f>
        <v/>
      </c>
      <c r="H223" s="557"/>
      <c r="I223" s="558"/>
      <c r="J223" s="123">
        <f t="shared" si="38"/>
        <v>0</v>
      </c>
      <c r="K223" s="123" t="e">
        <f t="shared" si="39"/>
        <v>#VALUE!</v>
      </c>
      <c r="L223" s="123">
        <f t="shared" si="36"/>
        <v>0</v>
      </c>
      <c r="M223" s="124" t="str">
        <f t="shared" si="37"/>
        <v/>
      </c>
      <c r="N223" s="112"/>
      <c r="O223" s="101"/>
      <c r="P223" s="101"/>
      <c r="Q223" s="101"/>
      <c r="R223" s="102"/>
      <c r="S223" s="102"/>
      <c r="T223" s="102"/>
      <c r="U223" s="103"/>
      <c r="V223" s="100"/>
      <c r="W223" s="101"/>
      <c r="X223" s="113"/>
      <c r="Y223" s="114"/>
      <c r="Z223" s="102"/>
      <c r="AA223" s="101"/>
      <c r="AB223" s="111"/>
      <c r="AE223" s="187"/>
      <c r="AF223" s="185"/>
      <c r="AG223" s="185" t="str">
        <f t="shared" si="40"/>
        <v/>
      </c>
      <c r="AH223" s="186" t="str">
        <f t="shared" si="41"/>
        <v/>
      </c>
      <c r="AI223" s="185"/>
      <c r="AJ223" s="188"/>
      <c r="CC223" s="562"/>
      <c r="CD223" s="425"/>
    </row>
    <row r="224" spans="2:82" ht="30" customHeight="1" x14ac:dyDescent="0.3">
      <c r="B224" s="562"/>
      <c r="C224" s="563"/>
      <c r="D224" s="425"/>
      <c r="E224" s="250" t="str">
        <f t="shared" si="35"/>
        <v/>
      </c>
      <c r="F224" s="556"/>
      <c r="G224" s="252" t="str">
        <f>IFERROR(VLOOKUP(F224,'Data (hidden)'!N:O,2,FALSE),"")</f>
        <v/>
      </c>
      <c r="H224" s="557"/>
      <c r="I224" s="558"/>
      <c r="J224" s="123">
        <f t="shared" si="38"/>
        <v>0</v>
      </c>
      <c r="K224" s="123" t="e">
        <f t="shared" si="39"/>
        <v>#VALUE!</v>
      </c>
      <c r="L224" s="123">
        <f t="shared" si="36"/>
        <v>0</v>
      </c>
      <c r="M224" s="124" t="str">
        <f t="shared" si="37"/>
        <v/>
      </c>
      <c r="N224" s="112"/>
      <c r="O224" s="101"/>
      <c r="P224" s="101"/>
      <c r="Q224" s="101"/>
      <c r="R224" s="102"/>
      <c r="S224" s="102"/>
      <c r="T224" s="102"/>
      <c r="U224" s="103"/>
      <c r="V224" s="100"/>
      <c r="W224" s="101"/>
      <c r="X224" s="113"/>
      <c r="Y224" s="114"/>
      <c r="Z224" s="102"/>
      <c r="AA224" s="101"/>
      <c r="AB224" s="111"/>
      <c r="AE224" s="187"/>
      <c r="AF224" s="185"/>
      <c r="AG224" s="185" t="str">
        <f t="shared" si="40"/>
        <v/>
      </c>
      <c r="AH224" s="186" t="str">
        <f t="shared" si="41"/>
        <v/>
      </c>
      <c r="AI224" s="185"/>
      <c r="AJ224" s="188"/>
      <c r="CC224" s="562"/>
      <c r="CD224" s="425"/>
    </row>
    <row r="225" spans="2:82" ht="30" customHeight="1" x14ac:dyDescent="0.3">
      <c r="B225" s="562"/>
      <c r="C225" s="563"/>
      <c r="D225" s="425"/>
      <c r="E225" s="250" t="str">
        <f t="shared" si="35"/>
        <v/>
      </c>
      <c r="F225" s="556"/>
      <c r="G225" s="252" t="str">
        <f>IFERROR(VLOOKUP(F225,'Data (hidden)'!N:O,2,FALSE),"")</f>
        <v/>
      </c>
      <c r="H225" s="557"/>
      <c r="I225" s="558"/>
      <c r="J225" s="123">
        <f t="shared" si="38"/>
        <v>0</v>
      </c>
      <c r="K225" s="123" t="e">
        <f t="shared" si="39"/>
        <v>#VALUE!</v>
      </c>
      <c r="L225" s="123">
        <f t="shared" si="36"/>
        <v>0</v>
      </c>
      <c r="M225" s="124" t="str">
        <f t="shared" si="37"/>
        <v/>
      </c>
      <c r="N225" s="112"/>
      <c r="O225" s="101"/>
      <c r="P225" s="101"/>
      <c r="Q225" s="101"/>
      <c r="R225" s="102"/>
      <c r="S225" s="102"/>
      <c r="T225" s="102"/>
      <c r="U225" s="103"/>
      <c r="V225" s="100"/>
      <c r="W225" s="101"/>
      <c r="X225" s="113"/>
      <c r="Y225" s="114"/>
      <c r="Z225" s="102"/>
      <c r="AA225" s="101"/>
      <c r="AB225" s="111"/>
      <c r="AE225" s="187"/>
      <c r="AF225" s="185"/>
      <c r="AG225" s="185" t="str">
        <f t="shared" si="40"/>
        <v/>
      </c>
      <c r="AH225" s="186" t="str">
        <f t="shared" si="41"/>
        <v/>
      </c>
      <c r="AI225" s="185"/>
      <c r="AJ225" s="188"/>
      <c r="CC225" s="562"/>
      <c r="CD225" s="425"/>
    </row>
    <row r="226" spans="2:82" ht="30" customHeight="1" x14ac:dyDescent="0.3">
      <c r="B226" s="562"/>
      <c r="C226" s="563"/>
      <c r="D226" s="425"/>
      <c r="E226" s="250" t="str">
        <f t="shared" si="35"/>
        <v/>
      </c>
      <c r="F226" s="556"/>
      <c r="G226" s="252" t="str">
        <f>IFERROR(VLOOKUP(F226,'Data (hidden)'!N:O,2,FALSE),"")</f>
        <v/>
      </c>
      <c r="H226" s="557"/>
      <c r="I226" s="558"/>
      <c r="J226" s="123">
        <f t="shared" si="38"/>
        <v>0</v>
      </c>
      <c r="K226" s="123" t="e">
        <f t="shared" si="39"/>
        <v>#VALUE!</v>
      </c>
      <c r="L226" s="123">
        <f t="shared" si="36"/>
        <v>0</v>
      </c>
      <c r="M226" s="124" t="str">
        <f t="shared" si="37"/>
        <v/>
      </c>
      <c r="N226" s="112"/>
      <c r="O226" s="101"/>
      <c r="P226" s="101"/>
      <c r="Q226" s="101"/>
      <c r="R226" s="102"/>
      <c r="S226" s="102"/>
      <c r="T226" s="102"/>
      <c r="U226" s="103"/>
      <c r="V226" s="100"/>
      <c r="W226" s="101"/>
      <c r="X226" s="113"/>
      <c r="Y226" s="114"/>
      <c r="Z226" s="102"/>
      <c r="AA226" s="101"/>
      <c r="AB226" s="111"/>
      <c r="AE226" s="187"/>
      <c r="AF226" s="185"/>
      <c r="AG226" s="185" t="str">
        <f t="shared" si="40"/>
        <v/>
      </c>
      <c r="AH226" s="186" t="str">
        <f t="shared" si="41"/>
        <v/>
      </c>
      <c r="AI226" s="185"/>
      <c r="AJ226" s="188"/>
      <c r="CC226" s="562"/>
      <c r="CD226" s="425"/>
    </row>
    <row r="227" spans="2:82" ht="30" customHeight="1" x14ac:dyDescent="0.3">
      <c r="B227" s="562"/>
      <c r="C227" s="563"/>
      <c r="D227" s="425"/>
      <c r="E227" s="250" t="str">
        <f t="shared" si="35"/>
        <v/>
      </c>
      <c r="F227" s="556"/>
      <c r="G227" s="252" t="str">
        <f>IFERROR(VLOOKUP(F227,'Data (hidden)'!N:O,2,FALSE),"")</f>
        <v/>
      </c>
      <c r="H227" s="557"/>
      <c r="I227" s="558"/>
      <c r="J227" s="123">
        <f t="shared" si="38"/>
        <v>0</v>
      </c>
      <c r="K227" s="123" t="e">
        <f t="shared" si="39"/>
        <v>#VALUE!</v>
      </c>
      <c r="L227" s="123">
        <f t="shared" si="36"/>
        <v>0</v>
      </c>
      <c r="M227" s="124" t="str">
        <f t="shared" si="37"/>
        <v/>
      </c>
      <c r="N227" s="112"/>
      <c r="O227" s="101"/>
      <c r="P227" s="101"/>
      <c r="Q227" s="101"/>
      <c r="R227" s="102"/>
      <c r="S227" s="102"/>
      <c r="T227" s="102"/>
      <c r="U227" s="103"/>
      <c r="V227" s="100"/>
      <c r="W227" s="101"/>
      <c r="X227" s="113"/>
      <c r="Y227" s="114"/>
      <c r="Z227" s="102"/>
      <c r="AA227" s="101"/>
      <c r="AB227" s="111"/>
      <c r="AE227" s="187"/>
      <c r="AF227" s="185"/>
      <c r="AG227" s="185" t="str">
        <f t="shared" si="40"/>
        <v/>
      </c>
      <c r="AH227" s="186" t="str">
        <f t="shared" si="41"/>
        <v/>
      </c>
      <c r="AI227" s="185"/>
      <c r="AJ227" s="188"/>
      <c r="CC227" s="562"/>
      <c r="CD227" s="425"/>
    </row>
    <row r="228" spans="2:82" ht="30" customHeight="1" x14ac:dyDescent="0.3">
      <c r="B228" s="562"/>
      <c r="C228" s="563"/>
      <c r="D228" s="425"/>
      <c r="E228" s="250" t="str">
        <f t="shared" si="35"/>
        <v/>
      </c>
      <c r="F228" s="556"/>
      <c r="G228" s="252" t="str">
        <f>IFERROR(VLOOKUP(F228,'Data (hidden)'!N:O,2,FALSE),"")</f>
        <v/>
      </c>
      <c r="H228" s="557"/>
      <c r="I228" s="558"/>
      <c r="J228" s="123">
        <f t="shared" si="38"/>
        <v>0</v>
      </c>
      <c r="K228" s="123" t="e">
        <f t="shared" si="39"/>
        <v>#VALUE!</v>
      </c>
      <c r="L228" s="123">
        <f t="shared" si="36"/>
        <v>0</v>
      </c>
      <c r="M228" s="124" t="str">
        <f t="shared" si="37"/>
        <v/>
      </c>
      <c r="N228" s="112"/>
      <c r="O228" s="101"/>
      <c r="P228" s="101"/>
      <c r="Q228" s="101"/>
      <c r="R228" s="102"/>
      <c r="S228" s="102"/>
      <c r="T228" s="102"/>
      <c r="U228" s="103"/>
      <c r="V228" s="100"/>
      <c r="W228" s="101"/>
      <c r="X228" s="113"/>
      <c r="Y228" s="114"/>
      <c r="Z228" s="102"/>
      <c r="AA228" s="101"/>
      <c r="AB228" s="111"/>
      <c r="AE228" s="187"/>
      <c r="AF228" s="185"/>
      <c r="AG228" s="185" t="str">
        <f t="shared" si="40"/>
        <v/>
      </c>
      <c r="AH228" s="186" t="str">
        <f t="shared" si="41"/>
        <v/>
      </c>
      <c r="AI228" s="185"/>
      <c r="AJ228" s="188"/>
      <c r="CC228" s="562"/>
      <c r="CD228" s="425"/>
    </row>
    <row r="229" spans="2:82" ht="30" customHeight="1" x14ac:dyDescent="0.3">
      <c r="B229" s="562"/>
      <c r="C229" s="563"/>
      <c r="D229" s="425"/>
      <c r="E229" s="250" t="str">
        <f t="shared" si="35"/>
        <v/>
      </c>
      <c r="F229" s="556"/>
      <c r="G229" s="252" t="str">
        <f>IFERROR(VLOOKUP(F229,'Data (hidden)'!N:O,2,FALSE),"")</f>
        <v/>
      </c>
      <c r="H229" s="557"/>
      <c r="I229" s="558"/>
      <c r="J229" s="123">
        <f t="shared" si="38"/>
        <v>0</v>
      </c>
      <c r="K229" s="123" t="e">
        <f t="shared" si="39"/>
        <v>#VALUE!</v>
      </c>
      <c r="L229" s="123">
        <f t="shared" si="36"/>
        <v>0</v>
      </c>
      <c r="M229" s="124" t="str">
        <f t="shared" si="37"/>
        <v/>
      </c>
      <c r="N229" s="112"/>
      <c r="O229" s="101"/>
      <c r="P229" s="101"/>
      <c r="Q229" s="101"/>
      <c r="R229" s="102"/>
      <c r="S229" s="102"/>
      <c r="T229" s="102"/>
      <c r="U229" s="103"/>
      <c r="V229" s="100"/>
      <c r="W229" s="101"/>
      <c r="X229" s="113"/>
      <c r="Y229" s="114"/>
      <c r="Z229" s="102"/>
      <c r="AA229" s="101"/>
      <c r="AB229" s="111"/>
      <c r="AE229" s="187"/>
      <c r="AF229" s="185"/>
      <c r="AG229" s="185" t="str">
        <f t="shared" si="40"/>
        <v/>
      </c>
      <c r="AH229" s="186" t="str">
        <f t="shared" si="41"/>
        <v/>
      </c>
      <c r="AI229" s="185"/>
      <c r="AJ229" s="188"/>
      <c r="CC229" s="562"/>
      <c r="CD229" s="425"/>
    </row>
    <row r="230" spans="2:82" ht="30" customHeight="1" x14ac:dyDescent="0.3">
      <c r="B230" s="562"/>
      <c r="C230" s="563"/>
      <c r="D230" s="425"/>
      <c r="E230" s="250" t="str">
        <f t="shared" si="35"/>
        <v/>
      </c>
      <c r="F230" s="556"/>
      <c r="G230" s="252" t="str">
        <f>IFERROR(VLOOKUP(F230,'Data (hidden)'!N:O,2,FALSE),"")</f>
        <v/>
      </c>
      <c r="H230" s="557"/>
      <c r="I230" s="558"/>
      <c r="J230" s="123">
        <f t="shared" si="38"/>
        <v>0</v>
      </c>
      <c r="K230" s="123" t="e">
        <f t="shared" si="39"/>
        <v>#VALUE!</v>
      </c>
      <c r="L230" s="123">
        <f t="shared" si="36"/>
        <v>0</v>
      </c>
      <c r="M230" s="124" t="str">
        <f t="shared" si="37"/>
        <v/>
      </c>
      <c r="N230" s="112"/>
      <c r="O230" s="101"/>
      <c r="P230" s="101"/>
      <c r="Q230" s="101"/>
      <c r="R230" s="102"/>
      <c r="S230" s="102"/>
      <c r="T230" s="102"/>
      <c r="U230" s="103"/>
      <c r="V230" s="100"/>
      <c r="W230" s="101"/>
      <c r="X230" s="113"/>
      <c r="Y230" s="114"/>
      <c r="Z230" s="102"/>
      <c r="AA230" s="101"/>
      <c r="AB230" s="111"/>
      <c r="AE230" s="187"/>
      <c r="AF230" s="185"/>
      <c r="AG230" s="185" t="str">
        <f t="shared" si="40"/>
        <v/>
      </c>
      <c r="AH230" s="186" t="str">
        <f t="shared" si="41"/>
        <v/>
      </c>
      <c r="AI230" s="185"/>
      <c r="AJ230" s="188"/>
      <c r="CC230" s="562"/>
      <c r="CD230" s="425"/>
    </row>
    <row r="231" spans="2:82" ht="30" customHeight="1" x14ac:dyDescent="0.3">
      <c r="B231" s="562"/>
      <c r="C231" s="563"/>
      <c r="D231" s="425"/>
      <c r="E231" s="250" t="str">
        <f t="shared" si="35"/>
        <v/>
      </c>
      <c r="F231" s="556"/>
      <c r="G231" s="252" t="str">
        <f>IFERROR(VLOOKUP(F231,'Data (hidden)'!N:O,2,FALSE),"")</f>
        <v/>
      </c>
      <c r="H231" s="557"/>
      <c r="I231" s="558"/>
      <c r="J231" s="123">
        <f t="shared" si="38"/>
        <v>0</v>
      </c>
      <c r="K231" s="123" t="e">
        <f t="shared" si="39"/>
        <v>#VALUE!</v>
      </c>
      <c r="L231" s="123">
        <f t="shared" si="36"/>
        <v>0</v>
      </c>
      <c r="M231" s="124" t="str">
        <f t="shared" si="37"/>
        <v/>
      </c>
      <c r="N231" s="112"/>
      <c r="O231" s="101"/>
      <c r="P231" s="101"/>
      <c r="Q231" s="101"/>
      <c r="R231" s="102"/>
      <c r="S231" s="102"/>
      <c r="T231" s="102"/>
      <c r="U231" s="103"/>
      <c r="V231" s="100"/>
      <c r="W231" s="101"/>
      <c r="X231" s="113"/>
      <c r="Y231" s="114"/>
      <c r="Z231" s="102"/>
      <c r="AA231" s="101"/>
      <c r="AB231" s="111"/>
      <c r="AE231" s="187"/>
      <c r="AF231" s="185"/>
      <c r="AG231" s="185" t="str">
        <f t="shared" si="40"/>
        <v/>
      </c>
      <c r="AH231" s="186" t="str">
        <f t="shared" si="41"/>
        <v/>
      </c>
      <c r="AI231" s="185"/>
      <c r="AJ231" s="188"/>
      <c r="CC231" s="562"/>
      <c r="CD231" s="425"/>
    </row>
    <row r="232" spans="2:82" ht="30" customHeight="1" x14ac:dyDescent="0.3">
      <c r="B232" s="562"/>
      <c r="C232" s="563"/>
      <c r="D232" s="425"/>
      <c r="E232" s="250" t="str">
        <f t="shared" si="35"/>
        <v/>
      </c>
      <c r="F232" s="556"/>
      <c r="G232" s="252" t="str">
        <f>IFERROR(VLOOKUP(F232,'Data (hidden)'!N:O,2,FALSE),"")</f>
        <v/>
      </c>
      <c r="H232" s="557"/>
      <c r="I232" s="558"/>
      <c r="J232" s="123">
        <f t="shared" si="38"/>
        <v>0</v>
      </c>
      <c r="K232" s="123" t="e">
        <f t="shared" si="39"/>
        <v>#VALUE!</v>
      </c>
      <c r="L232" s="123">
        <f t="shared" si="36"/>
        <v>0</v>
      </c>
      <c r="M232" s="124" t="str">
        <f t="shared" si="37"/>
        <v/>
      </c>
      <c r="N232" s="112"/>
      <c r="O232" s="101"/>
      <c r="P232" s="101"/>
      <c r="Q232" s="101"/>
      <c r="R232" s="102"/>
      <c r="S232" s="102"/>
      <c r="T232" s="102"/>
      <c r="U232" s="103"/>
      <c r="V232" s="100"/>
      <c r="W232" s="101"/>
      <c r="X232" s="113"/>
      <c r="Y232" s="114"/>
      <c r="Z232" s="102"/>
      <c r="AA232" s="101"/>
      <c r="AB232" s="111"/>
      <c r="AE232" s="187"/>
      <c r="AF232" s="185"/>
      <c r="AG232" s="185" t="str">
        <f t="shared" si="40"/>
        <v/>
      </c>
      <c r="AH232" s="186" t="str">
        <f t="shared" si="41"/>
        <v/>
      </c>
      <c r="AI232" s="185"/>
      <c r="AJ232" s="188"/>
      <c r="CC232" s="562"/>
      <c r="CD232" s="425"/>
    </row>
    <row r="233" spans="2:82" ht="30" customHeight="1" x14ac:dyDescent="0.3">
      <c r="B233" s="562"/>
      <c r="C233" s="563"/>
      <c r="D233" s="425"/>
      <c r="E233" s="250" t="str">
        <f t="shared" si="35"/>
        <v/>
      </c>
      <c r="F233" s="556"/>
      <c r="G233" s="252" t="str">
        <f>IFERROR(VLOOKUP(F233,'Data (hidden)'!N:O,2,FALSE),"")</f>
        <v/>
      </c>
      <c r="H233" s="557"/>
      <c r="I233" s="558"/>
      <c r="J233" s="123">
        <f t="shared" si="38"/>
        <v>0</v>
      </c>
      <c r="K233" s="123" t="e">
        <f t="shared" si="39"/>
        <v>#VALUE!</v>
      </c>
      <c r="L233" s="123">
        <f t="shared" si="36"/>
        <v>0</v>
      </c>
      <c r="M233" s="124" t="str">
        <f t="shared" si="37"/>
        <v/>
      </c>
      <c r="N233" s="112"/>
      <c r="O233" s="101"/>
      <c r="P233" s="101"/>
      <c r="Q233" s="101"/>
      <c r="R233" s="102"/>
      <c r="S233" s="102"/>
      <c r="T233" s="102"/>
      <c r="U233" s="103"/>
      <c r="V233" s="100"/>
      <c r="W233" s="101"/>
      <c r="X233" s="113"/>
      <c r="Y233" s="114"/>
      <c r="Z233" s="102"/>
      <c r="AA233" s="101"/>
      <c r="AB233" s="111"/>
      <c r="AE233" s="187"/>
      <c r="AF233" s="185"/>
      <c r="AG233" s="185" t="str">
        <f t="shared" si="40"/>
        <v/>
      </c>
      <c r="AH233" s="186" t="str">
        <f t="shared" si="41"/>
        <v/>
      </c>
      <c r="AI233" s="185"/>
      <c r="AJ233" s="188"/>
      <c r="CC233" s="562"/>
      <c r="CD233" s="425"/>
    </row>
    <row r="234" spans="2:82" ht="30" customHeight="1" x14ac:dyDescent="0.3">
      <c r="B234" s="562"/>
      <c r="C234" s="563"/>
      <c r="D234" s="425"/>
      <c r="E234" s="250" t="str">
        <f t="shared" si="35"/>
        <v/>
      </c>
      <c r="F234" s="556"/>
      <c r="G234" s="252" t="str">
        <f>IFERROR(VLOOKUP(F234,'Data (hidden)'!N:O,2,FALSE),"")</f>
        <v/>
      </c>
      <c r="H234" s="557"/>
      <c r="I234" s="558"/>
      <c r="J234" s="123">
        <f t="shared" si="38"/>
        <v>0</v>
      </c>
      <c r="K234" s="123" t="e">
        <f t="shared" si="39"/>
        <v>#VALUE!</v>
      </c>
      <c r="L234" s="123">
        <f t="shared" si="36"/>
        <v>0</v>
      </c>
      <c r="M234" s="124" t="str">
        <f t="shared" si="37"/>
        <v/>
      </c>
      <c r="N234" s="112"/>
      <c r="O234" s="101"/>
      <c r="P234" s="101"/>
      <c r="Q234" s="101"/>
      <c r="R234" s="102"/>
      <c r="S234" s="102"/>
      <c r="T234" s="102"/>
      <c r="U234" s="103"/>
      <c r="V234" s="100"/>
      <c r="W234" s="101"/>
      <c r="X234" s="113"/>
      <c r="Y234" s="114"/>
      <c r="Z234" s="102"/>
      <c r="AA234" s="101"/>
      <c r="AB234" s="111"/>
      <c r="AE234" s="187"/>
      <c r="AF234" s="185"/>
      <c r="AG234" s="185" t="str">
        <f t="shared" si="40"/>
        <v/>
      </c>
      <c r="AH234" s="186" t="str">
        <f t="shared" si="41"/>
        <v/>
      </c>
      <c r="AI234" s="185"/>
      <c r="AJ234" s="188"/>
      <c r="CC234" s="562"/>
      <c r="CD234" s="425"/>
    </row>
    <row r="235" spans="2:82" ht="30" customHeight="1" x14ac:dyDescent="0.3">
      <c r="B235" s="562"/>
      <c r="C235" s="563"/>
      <c r="D235" s="425"/>
      <c r="E235" s="250" t="str">
        <f t="shared" si="35"/>
        <v/>
      </c>
      <c r="F235" s="556"/>
      <c r="G235" s="252" t="str">
        <f>IFERROR(VLOOKUP(F235,'Data (hidden)'!N:O,2,FALSE),"")</f>
        <v/>
      </c>
      <c r="H235" s="557"/>
      <c r="I235" s="558"/>
      <c r="J235" s="123">
        <f t="shared" si="38"/>
        <v>0</v>
      </c>
      <c r="K235" s="123" t="e">
        <f t="shared" si="39"/>
        <v>#VALUE!</v>
      </c>
      <c r="L235" s="123">
        <f t="shared" si="36"/>
        <v>0</v>
      </c>
      <c r="M235" s="124" t="str">
        <f t="shared" si="37"/>
        <v/>
      </c>
      <c r="N235" s="112"/>
      <c r="O235" s="101"/>
      <c r="P235" s="101"/>
      <c r="Q235" s="101"/>
      <c r="R235" s="102"/>
      <c r="S235" s="102"/>
      <c r="T235" s="102"/>
      <c r="U235" s="103"/>
      <c r="V235" s="100"/>
      <c r="W235" s="101"/>
      <c r="X235" s="113"/>
      <c r="Y235" s="114"/>
      <c r="Z235" s="102"/>
      <c r="AA235" s="101"/>
      <c r="AB235" s="111"/>
      <c r="AE235" s="187"/>
      <c r="AF235" s="185"/>
      <c r="AG235" s="185" t="str">
        <f t="shared" si="40"/>
        <v/>
      </c>
      <c r="AH235" s="186" t="str">
        <f t="shared" si="41"/>
        <v/>
      </c>
      <c r="AI235" s="185"/>
      <c r="AJ235" s="188"/>
      <c r="CC235" s="562"/>
      <c r="CD235" s="425"/>
    </row>
    <row r="236" spans="2:82" ht="30" customHeight="1" x14ac:dyDescent="0.3">
      <c r="B236" s="562"/>
      <c r="C236" s="563"/>
      <c r="D236" s="425"/>
      <c r="E236" s="250" t="str">
        <f t="shared" si="35"/>
        <v/>
      </c>
      <c r="F236" s="556"/>
      <c r="G236" s="252" t="str">
        <f>IFERROR(VLOOKUP(F236,'Data (hidden)'!N:O,2,FALSE),"")</f>
        <v/>
      </c>
      <c r="H236" s="557"/>
      <c r="I236" s="558"/>
      <c r="J236" s="123">
        <f t="shared" si="38"/>
        <v>0</v>
      </c>
      <c r="K236" s="123" t="e">
        <f t="shared" si="39"/>
        <v>#VALUE!</v>
      </c>
      <c r="L236" s="123">
        <f t="shared" si="36"/>
        <v>0</v>
      </c>
      <c r="M236" s="124" t="str">
        <f t="shared" si="37"/>
        <v/>
      </c>
      <c r="N236" s="112"/>
      <c r="O236" s="101"/>
      <c r="P236" s="101"/>
      <c r="Q236" s="101"/>
      <c r="R236" s="102"/>
      <c r="S236" s="102"/>
      <c r="T236" s="102"/>
      <c r="U236" s="103"/>
      <c r="V236" s="100"/>
      <c r="W236" s="101"/>
      <c r="X236" s="113"/>
      <c r="Y236" s="114"/>
      <c r="Z236" s="102"/>
      <c r="AA236" s="101"/>
      <c r="AB236" s="111"/>
      <c r="AE236" s="187"/>
      <c r="AF236" s="185"/>
      <c r="AG236" s="185" t="str">
        <f t="shared" si="40"/>
        <v/>
      </c>
      <c r="AH236" s="186" t="str">
        <f t="shared" si="41"/>
        <v/>
      </c>
      <c r="AI236" s="185"/>
      <c r="AJ236" s="188"/>
      <c r="CC236" s="562"/>
      <c r="CD236" s="425"/>
    </row>
    <row r="237" spans="2:82" ht="30" customHeight="1" x14ac:dyDescent="0.3">
      <c r="B237" s="562"/>
      <c r="C237" s="563"/>
      <c r="D237" s="425"/>
      <c r="E237" s="250" t="str">
        <f t="shared" si="35"/>
        <v/>
      </c>
      <c r="F237" s="556"/>
      <c r="G237" s="252" t="str">
        <f>IFERROR(VLOOKUP(F237,'Data (hidden)'!N:O,2,FALSE),"")</f>
        <v/>
      </c>
      <c r="H237" s="557"/>
      <c r="I237" s="558"/>
      <c r="J237" s="123">
        <f t="shared" si="38"/>
        <v>0</v>
      </c>
      <c r="K237" s="123" t="e">
        <f t="shared" si="39"/>
        <v>#VALUE!</v>
      </c>
      <c r="L237" s="123">
        <f t="shared" si="36"/>
        <v>0</v>
      </c>
      <c r="M237" s="124" t="str">
        <f t="shared" si="37"/>
        <v/>
      </c>
      <c r="N237" s="112"/>
      <c r="O237" s="101"/>
      <c r="P237" s="101"/>
      <c r="Q237" s="101"/>
      <c r="R237" s="102"/>
      <c r="S237" s="102"/>
      <c r="T237" s="102"/>
      <c r="U237" s="103"/>
      <c r="V237" s="100"/>
      <c r="W237" s="101"/>
      <c r="X237" s="113"/>
      <c r="Y237" s="114"/>
      <c r="Z237" s="102"/>
      <c r="AA237" s="101"/>
      <c r="AB237" s="111"/>
      <c r="AE237" s="187"/>
      <c r="AF237" s="185"/>
      <c r="AG237" s="185" t="str">
        <f t="shared" si="40"/>
        <v/>
      </c>
      <c r="AH237" s="186" t="str">
        <f t="shared" si="41"/>
        <v/>
      </c>
      <c r="AI237" s="185"/>
      <c r="AJ237" s="188"/>
      <c r="CC237" s="562"/>
      <c r="CD237" s="425"/>
    </row>
    <row r="238" spans="2:82" ht="30" customHeight="1" x14ac:dyDescent="0.3">
      <c r="B238" s="562"/>
      <c r="C238" s="563"/>
      <c r="D238" s="425"/>
      <c r="E238" s="250" t="str">
        <f t="shared" si="35"/>
        <v/>
      </c>
      <c r="F238" s="556"/>
      <c r="G238" s="252" t="str">
        <f>IFERROR(VLOOKUP(F238,'Data (hidden)'!N:O,2,FALSE),"")</f>
        <v/>
      </c>
      <c r="H238" s="557"/>
      <c r="I238" s="558"/>
      <c r="J238" s="123">
        <f t="shared" si="38"/>
        <v>0</v>
      </c>
      <c r="K238" s="123" t="e">
        <f t="shared" si="39"/>
        <v>#VALUE!</v>
      </c>
      <c r="L238" s="123">
        <f t="shared" si="36"/>
        <v>0</v>
      </c>
      <c r="M238" s="124" t="str">
        <f t="shared" si="37"/>
        <v/>
      </c>
      <c r="N238" s="112"/>
      <c r="O238" s="101"/>
      <c r="P238" s="101"/>
      <c r="Q238" s="101"/>
      <c r="R238" s="102"/>
      <c r="S238" s="102"/>
      <c r="T238" s="102"/>
      <c r="U238" s="103"/>
      <c r="V238" s="100"/>
      <c r="W238" s="101"/>
      <c r="X238" s="113"/>
      <c r="Y238" s="114"/>
      <c r="Z238" s="102"/>
      <c r="AA238" s="101"/>
      <c r="AB238" s="111"/>
      <c r="AE238" s="187"/>
      <c r="AF238" s="185"/>
      <c r="AG238" s="185" t="str">
        <f t="shared" si="40"/>
        <v/>
      </c>
      <c r="AH238" s="186" t="str">
        <f t="shared" si="41"/>
        <v/>
      </c>
      <c r="AI238" s="185"/>
      <c r="AJ238" s="188"/>
      <c r="CC238" s="562"/>
      <c r="CD238" s="425"/>
    </row>
    <row r="239" spans="2:82" ht="30" customHeight="1" x14ac:dyDescent="0.3">
      <c r="B239" s="562"/>
      <c r="C239" s="563"/>
      <c r="D239" s="425"/>
      <c r="E239" s="250" t="str">
        <f t="shared" si="35"/>
        <v/>
      </c>
      <c r="F239" s="556"/>
      <c r="G239" s="252" t="str">
        <f>IFERROR(VLOOKUP(F239,'Data (hidden)'!N:O,2,FALSE),"")</f>
        <v/>
      </c>
      <c r="H239" s="557"/>
      <c r="I239" s="558"/>
      <c r="J239" s="123">
        <f t="shared" si="38"/>
        <v>0</v>
      </c>
      <c r="K239" s="123" t="e">
        <f t="shared" si="39"/>
        <v>#VALUE!</v>
      </c>
      <c r="L239" s="123">
        <f t="shared" si="36"/>
        <v>0</v>
      </c>
      <c r="M239" s="124" t="str">
        <f t="shared" si="37"/>
        <v/>
      </c>
      <c r="N239" s="112"/>
      <c r="O239" s="101"/>
      <c r="P239" s="101"/>
      <c r="Q239" s="101"/>
      <c r="R239" s="102"/>
      <c r="S239" s="102"/>
      <c r="T239" s="102"/>
      <c r="U239" s="103"/>
      <c r="V239" s="100"/>
      <c r="W239" s="101"/>
      <c r="X239" s="113"/>
      <c r="Y239" s="114"/>
      <c r="Z239" s="102"/>
      <c r="AA239" s="101"/>
      <c r="AB239" s="111"/>
      <c r="AE239" s="187"/>
      <c r="AF239" s="185"/>
      <c r="AG239" s="185" t="str">
        <f t="shared" si="40"/>
        <v/>
      </c>
      <c r="AH239" s="186" t="str">
        <f t="shared" si="41"/>
        <v/>
      </c>
      <c r="AI239" s="185"/>
      <c r="AJ239" s="188"/>
      <c r="CC239" s="562"/>
      <c r="CD239" s="425"/>
    </row>
    <row r="240" spans="2:82" ht="30" customHeight="1" x14ac:dyDescent="0.3">
      <c r="B240" s="562"/>
      <c r="C240" s="563"/>
      <c r="D240" s="425"/>
      <c r="E240" s="250" t="str">
        <f t="shared" si="35"/>
        <v/>
      </c>
      <c r="F240" s="556"/>
      <c r="G240" s="252" t="str">
        <f>IFERROR(VLOOKUP(F240,'Data (hidden)'!N:O,2,FALSE),"")</f>
        <v/>
      </c>
      <c r="H240" s="557"/>
      <c r="I240" s="558"/>
      <c r="J240" s="123">
        <f t="shared" si="38"/>
        <v>0</v>
      </c>
      <c r="K240" s="123" t="e">
        <f t="shared" si="39"/>
        <v>#VALUE!</v>
      </c>
      <c r="L240" s="123">
        <f t="shared" si="36"/>
        <v>0</v>
      </c>
      <c r="M240" s="124" t="str">
        <f t="shared" si="37"/>
        <v/>
      </c>
      <c r="N240" s="112"/>
      <c r="O240" s="101"/>
      <c r="P240" s="101"/>
      <c r="Q240" s="101"/>
      <c r="R240" s="102"/>
      <c r="S240" s="102"/>
      <c r="T240" s="102"/>
      <c r="U240" s="103"/>
      <c r="V240" s="100"/>
      <c r="W240" s="101"/>
      <c r="X240" s="113"/>
      <c r="Y240" s="114"/>
      <c r="Z240" s="102"/>
      <c r="AA240" s="101"/>
      <c r="AB240" s="111"/>
      <c r="AE240" s="187"/>
      <c r="AF240" s="185"/>
      <c r="AG240" s="185" t="str">
        <f t="shared" si="40"/>
        <v/>
      </c>
      <c r="AH240" s="186" t="str">
        <f t="shared" si="41"/>
        <v/>
      </c>
      <c r="AI240" s="185"/>
      <c r="AJ240" s="188"/>
      <c r="CC240" s="562"/>
      <c r="CD240" s="425"/>
    </row>
    <row r="241" spans="2:82" ht="30" customHeight="1" x14ac:dyDescent="0.3">
      <c r="B241" s="562"/>
      <c r="C241" s="563"/>
      <c r="D241" s="425"/>
      <c r="E241" s="250" t="str">
        <f t="shared" si="35"/>
        <v/>
      </c>
      <c r="F241" s="556"/>
      <c r="G241" s="252" t="str">
        <f>IFERROR(VLOOKUP(F241,'Data (hidden)'!N:O,2,FALSE),"")</f>
        <v/>
      </c>
      <c r="H241" s="557"/>
      <c r="I241" s="558"/>
      <c r="J241" s="123">
        <f t="shared" si="38"/>
        <v>0</v>
      </c>
      <c r="K241" s="123" t="e">
        <f t="shared" si="39"/>
        <v>#VALUE!</v>
      </c>
      <c r="L241" s="123">
        <f t="shared" si="36"/>
        <v>0</v>
      </c>
      <c r="M241" s="124" t="str">
        <f t="shared" si="37"/>
        <v/>
      </c>
      <c r="N241" s="112"/>
      <c r="O241" s="101"/>
      <c r="P241" s="101"/>
      <c r="Q241" s="101"/>
      <c r="R241" s="102"/>
      <c r="S241" s="102"/>
      <c r="T241" s="102"/>
      <c r="U241" s="103"/>
      <c r="V241" s="100"/>
      <c r="W241" s="101"/>
      <c r="X241" s="113"/>
      <c r="Y241" s="114"/>
      <c r="Z241" s="102"/>
      <c r="AA241" s="101"/>
      <c r="AB241" s="111"/>
      <c r="AE241" s="187"/>
      <c r="AF241" s="185"/>
      <c r="AG241" s="185" t="str">
        <f t="shared" si="40"/>
        <v/>
      </c>
      <c r="AH241" s="186" t="str">
        <f t="shared" si="41"/>
        <v/>
      </c>
      <c r="AI241" s="185"/>
      <c r="AJ241" s="188"/>
      <c r="CC241" s="562"/>
      <c r="CD241" s="425"/>
    </row>
    <row r="242" spans="2:82" ht="30" customHeight="1" x14ac:dyDescent="0.3">
      <c r="B242" s="562"/>
      <c r="C242" s="563"/>
      <c r="D242" s="425"/>
      <c r="E242" s="250" t="str">
        <f t="shared" si="35"/>
        <v/>
      </c>
      <c r="F242" s="556"/>
      <c r="G242" s="252" t="str">
        <f>IFERROR(VLOOKUP(F242,'Data (hidden)'!N:O,2,FALSE),"")</f>
        <v/>
      </c>
      <c r="H242" s="557"/>
      <c r="I242" s="558"/>
      <c r="J242" s="123">
        <f t="shared" si="38"/>
        <v>0</v>
      </c>
      <c r="K242" s="123" t="e">
        <f t="shared" si="39"/>
        <v>#VALUE!</v>
      </c>
      <c r="L242" s="123">
        <f t="shared" si="36"/>
        <v>0</v>
      </c>
      <c r="M242" s="124" t="str">
        <f t="shared" si="37"/>
        <v/>
      </c>
      <c r="N242" s="112"/>
      <c r="O242" s="101"/>
      <c r="P242" s="101"/>
      <c r="Q242" s="101"/>
      <c r="R242" s="102"/>
      <c r="S242" s="102"/>
      <c r="T242" s="102"/>
      <c r="U242" s="103"/>
      <c r="V242" s="100"/>
      <c r="W242" s="101"/>
      <c r="X242" s="113"/>
      <c r="Y242" s="114"/>
      <c r="Z242" s="102"/>
      <c r="AA242" s="101"/>
      <c r="AB242" s="111"/>
      <c r="AE242" s="187"/>
      <c r="AF242" s="185"/>
      <c r="AG242" s="185" t="str">
        <f t="shared" si="40"/>
        <v/>
      </c>
      <c r="AH242" s="186" t="str">
        <f t="shared" si="41"/>
        <v/>
      </c>
      <c r="AI242" s="185"/>
      <c r="AJ242" s="188"/>
      <c r="CC242" s="562"/>
      <c r="CD242" s="425"/>
    </row>
    <row r="243" spans="2:82" ht="30" customHeight="1" x14ac:dyDescent="0.3">
      <c r="B243" s="562"/>
      <c r="C243" s="563"/>
      <c r="D243" s="425"/>
      <c r="E243" s="250" t="str">
        <f t="shared" si="35"/>
        <v/>
      </c>
      <c r="F243" s="556"/>
      <c r="G243" s="252" t="str">
        <f>IFERROR(VLOOKUP(F243,'Data (hidden)'!N:O,2,FALSE),"")</f>
        <v/>
      </c>
      <c r="H243" s="557"/>
      <c r="I243" s="558"/>
      <c r="J243" s="123">
        <f t="shared" si="38"/>
        <v>0</v>
      </c>
      <c r="K243" s="123" t="e">
        <f t="shared" si="39"/>
        <v>#VALUE!</v>
      </c>
      <c r="L243" s="123">
        <f t="shared" si="36"/>
        <v>0</v>
      </c>
      <c r="M243" s="124" t="str">
        <f t="shared" si="37"/>
        <v/>
      </c>
      <c r="N243" s="112"/>
      <c r="O243" s="101"/>
      <c r="P243" s="101"/>
      <c r="Q243" s="101"/>
      <c r="R243" s="102"/>
      <c r="S243" s="102"/>
      <c r="T243" s="102"/>
      <c r="U243" s="103"/>
      <c r="V243" s="100"/>
      <c r="W243" s="101"/>
      <c r="X243" s="113"/>
      <c r="Y243" s="114"/>
      <c r="Z243" s="102"/>
      <c r="AA243" s="101"/>
      <c r="AB243" s="111"/>
      <c r="AE243" s="187"/>
      <c r="AF243" s="185"/>
      <c r="AG243" s="185" t="str">
        <f t="shared" si="40"/>
        <v/>
      </c>
      <c r="AH243" s="186" t="str">
        <f t="shared" si="41"/>
        <v/>
      </c>
      <c r="AI243" s="185"/>
      <c r="AJ243" s="188"/>
      <c r="CC243" s="562"/>
      <c r="CD243" s="425"/>
    </row>
    <row r="244" spans="2:82" ht="30" customHeight="1" x14ac:dyDescent="0.3">
      <c r="B244" s="562"/>
      <c r="C244" s="563"/>
      <c r="D244" s="425"/>
      <c r="E244" s="250" t="str">
        <f t="shared" ref="E244:E307" si="42">IF(SUM(C244-(C244*L244))=0,"",SUM(C244-(C244*L244)))</f>
        <v/>
      </c>
      <c r="F244" s="556"/>
      <c r="G244" s="252" t="str">
        <f>IFERROR(VLOOKUP(F244,'Data (hidden)'!N:O,2,FALSE),"")</f>
        <v/>
      </c>
      <c r="H244" s="557"/>
      <c r="I244" s="558"/>
      <c r="J244" s="123">
        <f t="shared" si="38"/>
        <v>0</v>
      </c>
      <c r="K244" s="123" t="e">
        <f t="shared" si="39"/>
        <v>#VALUE!</v>
      </c>
      <c r="L244" s="123">
        <f t="shared" si="36"/>
        <v>0</v>
      </c>
      <c r="M244" s="124" t="str">
        <f t="shared" si="37"/>
        <v/>
      </c>
      <c r="N244" s="112"/>
      <c r="O244" s="101"/>
      <c r="P244" s="101"/>
      <c r="Q244" s="101"/>
      <c r="R244" s="102"/>
      <c r="S244" s="102"/>
      <c r="T244" s="102"/>
      <c r="U244" s="103"/>
      <c r="V244" s="100"/>
      <c r="W244" s="101"/>
      <c r="X244" s="113"/>
      <c r="Y244" s="114"/>
      <c r="Z244" s="102"/>
      <c r="AA244" s="101"/>
      <c r="AB244" s="111"/>
      <c r="AE244" s="187"/>
      <c r="AF244" s="185"/>
      <c r="AG244" s="185" t="str">
        <f t="shared" si="40"/>
        <v/>
      </c>
      <c r="AH244" s="186" t="str">
        <f t="shared" si="41"/>
        <v/>
      </c>
      <c r="AI244" s="185"/>
      <c r="AJ244" s="188"/>
      <c r="CC244" s="562"/>
      <c r="CD244" s="425"/>
    </row>
    <row r="245" spans="2:82" ht="30" customHeight="1" x14ac:dyDescent="0.3">
      <c r="B245" s="562"/>
      <c r="C245" s="563"/>
      <c r="D245" s="425"/>
      <c r="E245" s="250" t="str">
        <f t="shared" si="42"/>
        <v/>
      </c>
      <c r="F245" s="556"/>
      <c r="G245" s="252" t="str">
        <f>IFERROR(VLOOKUP(F245,'Data (hidden)'!N:O,2,FALSE),"")</f>
        <v/>
      </c>
      <c r="H245" s="557"/>
      <c r="I245" s="558"/>
      <c r="J245" s="123">
        <f t="shared" si="38"/>
        <v>0</v>
      </c>
      <c r="K245" s="123" t="e">
        <f t="shared" si="39"/>
        <v>#VALUE!</v>
      </c>
      <c r="L245" s="123">
        <f t="shared" si="36"/>
        <v>0</v>
      </c>
      <c r="M245" s="124" t="str">
        <f t="shared" si="37"/>
        <v/>
      </c>
      <c r="N245" s="112"/>
      <c r="O245" s="101"/>
      <c r="P245" s="101"/>
      <c r="Q245" s="101"/>
      <c r="R245" s="102"/>
      <c r="S245" s="102"/>
      <c r="T245" s="102"/>
      <c r="U245" s="103"/>
      <c r="V245" s="100"/>
      <c r="W245" s="101"/>
      <c r="X245" s="113"/>
      <c r="Y245" s="114"/>
      <c r="Z245" s="102"/>
      <c r="AA245" s="101"/>
      <c r="AB245" s="111"/>
      <c r="AE245" s="187"/>
      <c r="AF245" s="185"/>
      <c r="AG245" s="185" t="str">
        <f t="shared" si="40"/>
        <v/>
      </c>
      <c r="AH245" s="186" t="str">
        <f t="shared" si="41"/>
        <v/>
      </c>
      <c r="AI245" s="185"/>
      <c r="AJ245" s="188"/>
      <c r="CC245" s="562"/>
      <c r="CD245" s="425"/>
    </row>
    <row r="246" spans="2:82" ht="30" customHeight="1" x14ac:dyDescent="0.3">
      <c r="B246" s="562"/>
      <c r="C246" s="563"/>
      <c r="D246" s="425"/>
      <c r="E246" s="250" t="str">
        <f t="shared" si="42"/>
        <v/>
      </c>
      <c r="F246" s="556"/>
      <c r="G246" s="252" t="str">
        <f>IFERROR(VLOOKUP(F246,'Data (hidden)'!N:O,2,FALSE),"")</f>
        <v/>
      </c>
      <c r="H246" s="557"/>
      <c r="I246" s="558"/>
      <c r="J246" s="123">
        <f t="shared" si="38"/>
        <v>0</v>
      </c>
      <c r="K246" s="123" t="e">
        <f t="shared" si="39"/>
        <v>#VALUE!</v>
      </c>
      <c r="L246" s="123">
        <f t="shared" si="36"/>
        <v>0</v>
      </c>
      <c r="M246" s="124" t="str">
        <f t="shared" si="37"/>
        <v/>
      </c>
      <c r="N246" s="112"/>
      <c r="O246" s="101"/>
      <c r="P246" s="101"/>
      <c r="Q246" s="101"/>
      <c r="R246" s="102"/>
      <c r="S246" s="102"/>
      <c r="T246" s="102"/>
      <c r="U246" s="103"/>
      <c r="V246" s="100"/>
      <c r="W246" s="101"/>
      <c r="X246" s="113"/>
      <c r="Y246" s="114"/>
      <c r="Z246" s="102"/>
      <c r="AA246" s="101"/>
      <c r="AB246" s="111"/>
      <c r="AE246" s="187"/>
      <c r="AF246" s="185"/>
      <c r="AG246" s="185" t="str">
        <f t="shared" si="40"/>
        <v/>
      </c>
      <c r="AH246" s="186" t="str">
        <f t="shared" si="41"/>
        <v/>
      </c>
      <c r="AI246" s="185"/>
      <c r="AJ246" s="188"/>
      <c r="CC246" s="562"/>
      <c r="CD246" s="425"/>
    </row>
    <row r="247" spans="2:82" ht="30" customHeight="1" x14ac:dyDescent="0.3">
      <c r="B247" s="562"/>
      <c r="C247" s="563"/>
      <c r="D247" s="425"/>
      <c r="E247" s="250" t="str">
        <f t="shared" si="42"/>
        <v/>
      </c>
      <c r="F247" s="556"/>
      <c r="G247" s="252" t="str">
        <f>IFERROR(VLOOKUP(F247,'Data (hidden)'!N:O,2,FALSE),"")</f>
        <v/>
      </c>
      <c r="H247" s="557"/>
      <c r="I247" s="558"/>
      <c r="J247" s="123">
        <f t="shared" si="38"/>
        <v>0</v>
      </c>
      <c r="K247" s="123" t="e">
        <f t="shared" si="39"/>
        <v>#VALUE!</v>
      </c>
      <c r="L247" s="123">
        <f t="shared" si="36"/>
        <v>0</v>
      </c>
      <c r="M247" s="124" t="str">
        <f t="shared" si="37"/>
        <v/>
      </c>
      <c r="N247" s="112"/>
      <c r="O247" s="101"/>
      <c r="P247" s="101"/>
      <c r="Q247" s="101"/>
      <c r="R247" s="102"/>
      <c r="S247" s="102"/>
      <c r="T247" s="102"/>
      <c r="U247" s="103"/>
      <c r="V247" s="100"/>
      <c r="W247" s="101"/>
      <c r="X247" s="113"/>
      <c r="Y247" s="114"/>
      <c r="Z247" s="102"/>
      <c r="AA247" s="101"/>
      <c r="AB247" s="111"/>
      <c r="AE247" s="187"/>
      <c r="AF247" s="185"/>
      <c r="AG247" s="185" t="str">
        <f t="shared" si="40"/>
        <v/>
      </c>
      <c r="AH247" s="186" t="str">
        <f t="shared" si="41"/>
        <v/>
      </c>
      <c r="AI247" s="185"/>
      <c r="AJ247" s="188"/>
      <c r="CC247" s="562"/>
      <c r="CD247" s="425"/>
    </row>
    <row r="248" spans="2:82" ht="30" customHeight="1" x14ac:dyDescent="0.3">
      <c r="B248" s="562"/>
      <c r="C248" s="563"/>
      <c r="D248" s="425"/>
      <c r="E248" s="250" t="str">
        <f t="shared" si="42"/>
        <v/>
      </c>
      <c r="F248" s="556"/>
      <c r="G248" s="252" t="str">
        <f>IFERROR(VLOOKUP(F248,'Data (hidden)'!N:O,2,FALSE),"")</f>
        <v/>
      </c>
      <c r="H248" s="557"/>
      <c r="I248" s="558"/>
      <c r="J248" s="123">
        <f t="shared" si="38"/>
        <v>0</v>
      </c>
      <c r="K248" s="123" t="e">
        <f t="shared" si="39"/>
        <v>#VALUE!</v>
      </c>
      <c r="L248" s="123">
        <f t="shared" si="36"/>
        <v>0</v>
      </c>
      <c r="M248" s="124" t="str">
        <f t="shared" si="37"/>
        <v/>
      </c>
      <c r="N248" s="112"/>
      <c r="O248" s="101"/>
      <c r="P248" s="101"/>
      <c r="Q248" s="101"/>
      <c r="R248" s="102"/>
      <c r="S248" s="102"/>
      <c r="T248" s="102"/>
      <c r="U248" s="103"/>
      <c r="V248" s="100"/>
      <c r="W248" s="101"/>
      <c r="X248" s="113"/>
      <c r="Y248" s="114"/>
      <c r="Z248" s="102"/>
      <c r="AA248" s="101"/>
      <c r="AB248" s="111"/>
      <c r="AE248" s="187"/>
      <c r="AF248" s="185"/>
      <c r="AG248" s="185" t="str">
        <f t="shared" si="40"/>
        <v/>
      </c>
      <c r="AH248" s="186" t="str">
        <f t="shared" si="41"/>
        <v/>
      </c>
      <c r="AI248" s="185"/>
      <c r="AJ248" s="188"/>
      <c r="CC248" s="562"/>
      <c r="CD248" s="425"/>
    </row>
    <row r="249" spans="2:82" ht="30" customHeight="1" x14ac:dyDescent="0.3">
      <c r="B249" s="562"/>
      <c r="C249" s="563"/>
      <c r="D249" s="425"/>
      <c r="E249" s="250" t="str">
        <f t="shared" si="42"/>
        <v/>
      </c>
      <c r="F249" s="556"/>
      <c r="G249" s="252" t="str">
        <f>IFERROR(VLOOKUP(F249,'Data (hidden)'!N:O,2,FALSE),"")</f>
        <v/>
      </c>
      <c r="H249" s="557"/>
      <c r="I249" s="558"/>
      <c r="J249" s="123">
        <f t="shared" si="38"/>
        <v>0</v>
      </c>
      <c r="K249" s="123" t="e">
        <f t="shared" si="39"/>
        <v>#VALUE!</v>
      </c>
      <c r="L249" s="123">
        <f t="shared" si="36"/>
        <v>0</v>
      </c>
      <c r="M249" s="124" t="str">
        <f t="shared" si="37"/>
        <v/>
      </c>
      <c r="N249" s="112"/>
      <c r="O249" s="101"/>
      <c r="P249" s="101"/>
      <c r="Q249" s="101"/>
      <c r="R249" s="102"/>
      <c r="S249" s="102"/>
      <c r="T249" s="102"/>
      <c r="U249" s="103"/>
      <c r="V249" s="100"/>
      <c r="W249" s="101"/>
      <c r="X249" s="113"/>
      <c r="Y249" s="114"/>
      <c r="Z249" s="102"/>
      <c r="AA249" s="101"/>
      <c r="AB249" s="111"/>
      <c r="AE249" s="187"/>
      <c r="AF249" s="185"/>
      <c r="AG249" s="185" t="str">
        <f t="shared" si="40"/>
        <v/>
      </c>
      <c r="AH249" s="186" t="str">
        <f t="shared" si="41"/>
        <v/>
      </c>
      <c r="AI249" s="185"/>
      <c r="AJ249" s="188"/>
      <c r="CC249" s="562"/>
      <c r="CD249" s="425"/>
    </row>
    <row r="250" spans="2:82" ht="30" customHeight="1" x14ac:dyDescent="0.3">
      <c r="B250" s="562"/>
      <c r="C250" s="563"/>
      <c r="D250" s="425"/>
      <c r="E250" s="250" t="str">
        <f t="shared" si="42"/>
        <v/>
      </c>
      <c r="F250" s="556"/>
      <c r="G250" s="252" t="str">
        <f>IFERROR(VLOOKUP(F250,'Data (hidden)'!N:O,2,FALSE),"")</f>
        <v/>
      </c>
      <c r="H250" s="557"/>
      <c r="I250" s="558"/>
      <c r="J250" s="123">
        <f t="shared" si="38"/>
        <v>0</v>
      </c>
      <c r="K250" s="123" t="e">
        <f t="shared" si="39"/>
        <v>#VALUE!</v>
      </c>
      <c r="L250" s="123">
        <f t="shared" si="36"/>
        <v>0</v>
      </c>
      <c r="M250" s="124" t="str">
        <f t="shared" si="37"/>
        <v/>
      </c>
      <c r="N250" s="112"/>
      <c r="O250" s="101"/>
      <c r="P250" s="101"/>
      <c r="Q250" s="101"/>
      <c r="R250" s="102"/>
      <c r="S250" s="102"/>
      <c r="T250" s="102"/>
      <c r="U250" s="103"/>
      <c r="V250" s="100"/>
      <c r="W250" s="101"/>
      <c r="X250" s="113"/>
      <c r="Y250" s="114"/>
      <c r="Z250" s="102"/>
      <c r="AA250" s="101"/>
      <c r="AB250" s="111"/>
      <c r="AE250" s="187"/>
      <c r="AF250" s="185"/>
      <c r="AG250" s="185" t="str">
        <f t="shared" si="40"/>
        <v/>
      </c>
      <c r="AH250" s="186" t="str">
        <f t="shared" si="41"/>
        <v/>
      </c>
      <c r="AI250" s="185"/>
      <c r="AJ250" s="188"/>
      <c r="CC250" s="562"/>
      <c r="CD250" s="425"/>
    </row>
    <row r="251" spans="2:82" ht="30" customHeight="1" x14ac:dyDescent="0.3">
      <c r="B251" s="562"/>
      <c r="C251" s="563"/>
      <c r="D251" s="425"/>
      <c r="E251" s="250" t="str">
        <f t="shared" si="42"/>
        <v/>
      </c>
      <c r="F251" s="556"/>
      <c r="G251" s="252" t="str">
        <f>IFERROR(VLOOKUP(F251,'Data (hidden)'!N:O,2,FALSE),"")</f>
        <v/>
      </c>
      <c r="H251" s="557"/>
      <c r="I251" s="558"/>
      <c r="J251" s="123">
        <f t="shared" si="38"/>
        <v>0</v>
      </c>
      <c r="K251" s="123" t="e">
        <f t="shared" si="39"/>
        <v>#VALUE!</v>
      </c>
      <c r="L251" s="123">
        <f t="shared" si="36"/>
        <v>0</v>
      </c>
      <c r="M251" s="124" t="str">
        <f t="shared" si="37"/>
        <v/>
      </c>
      <c r="N251" s="112"/>
      <c r="O251" s="101"/>
      <c r="P251" s="101"/>
      <c r="Q251" s="101"/>
      <c r="R251" s="102"/>
      <c r="S251" s="102"/>
      <c r="T251" s="102"/>
      <c r="U251" s="103"/>
      <c r="V251" s="100"/>
      <c r="W251" s="101"/>
      <c r="X251" s="113"/>
      <c r="Y251" s="114"/>
      <c r="Z251" s="102"/>
      <c r="AA251" s="101"/>
      <c r="AB251" s="111"/>
      <c r="AE251" s="187"/>
      <c r="AF251" s="185"/>
      <c r="AG251" s="185" t="str">
        <f t="shared" si="40"/>
        <v/>
      </c>
      <c r="AH251" s="186" t="str">
        <f t="shared" si="41"/>
        <v/>
      </c>
      <c r="AI251" s="185"/>
      <c r="AJ251" s="188"/>
      <c r="CC251" s="562"/>
      <c r="CD251" s="425"/>
    </row>
    <row r="252" spans="2:82" ht="30" customHeight="1" x14ac:dyDescent="0.3">
      <c r="B252" s="562"/>
      <c r="C252" s="563"/>
      <c r="D252" s="425"/>
      <c r="E252" s="250" t="str">
        <f t="shared" si="42"/>
        <v/>
      </c>
      <c r="F252" s="556"/>
      <c r="G252" s="252" t="str">
        <f>IFERROR(VLOOKUP(F252,'Data (hidden)'!N:O,2,FALSE),"")</f>
        <v/>
      </c>
      <c r="H252" s="557"/>
      <c r="I252" s="558"/>
      <c r="J252" s="123">
        <f t="shared" si="38"/>
        <v>0</v>
      </c>
      <c r="K252" s="123" t="e">
        <f t="shared" si="39"/>
        <v>#VALUE!</v>
      </c>
      <c r="L252" s="123">
        <f t="shared" si="36"/>
        <v>0</v>
      </c>
      <c r="M252" s="124" t="str">
        <f t="shared" si="37"/>
        <v/>
      </c>
      <c r="N252" s="112"/>
      <c r="O252" s="101"/>
      <c r="P252" s="101"/>
      <c r="Q252" s="101"/>
      <c r="R252" s="102"/>
      <c r="S252" s="102"/>
      <c r="T252" s="102"/>
      <c r="U252" s="103"/>
      <c r="V252" s="100"/>
      <c r="W252" s="101"/>
      <c r="X252" s="113"/>
      <c r="Y252" s="114"/>
      <c r="Z252" s="102"/>
      <c r="AA252" s="101"/>
      <c r="AB252" s="111"/>
      <c r="AE252" s="187"/>
      <c r="AF252" s="185"/>
      <c r="AG252" s="185" t="str">
        <f t="shared" si="40"/>
        <v/>
      </c>
      <c r="AH252" s="186" t="str">
        <f t="shared" si="41"/>
        <v/>
      </c>
      <c r="AI252" s="185"/>
      <c r="AJ252" s="188"/>
      <c r="CC252" s="562"/>
      <c r="CD252" s="425"/>
    </row>
    <row r="253" spans="2:82" ht="30" customHeight="1" x14ac:dyDescent="0.3">
      <c r="B253" s="562"/>
      <c r="C253" s="563"/>
      <c r="D253" s="425"/>
      <c r="E253" s="250" t="str">
        <f t="shared" si="42"/>
        <v/>
      </c>
      <c r="F253" s="556"/>
      <c r="G253" s="252" t="str">
        <f>IFERROR(VLOOKUP(F253,'Data (hidden)'!N:O,2,FALSE),"")</f>
        <v/>
      </c>
      <c r="H253" s="557"/>
      <c r="I253" s="558"/>
      <c r="J253" s="123">
        <f t="shared" si="38"/>
        <v>0</v>
      </c>
      <c r="K253" s="123" t="e">
        <f t="shared" si="39"/>
        <v>#VALUE!</v>
      </c>
      <c r="L253" s="123">
        <f t="shared" si="36"/>
        <v>0</v>
      </c>
      <c r="M253" s="124" t="str">
        <f t="shared" si="37"/>
        <v/>
      </c>
      <c r="N253" s="112"/>
      <c r="O253" s="101"/>
      <c r="P253" s="101"/>
      <c r="Q253" s="101"/>
      <c r="R253" s="102"/>
      <c r="S253" s="102"/>
      <c r="T253" s="102"/>
      <c r="U253" s="103"/>
      <c r="V253" s="100"/>
      <c r="W253" s="101"/>
      <c r="X253" s="113"/>
      <c r="Y253" s="114"/>
      <c r="Z253" s="102"/>
      <c r="AA253" s="101"/>
      <c r="AB253" s="111"/>
      <c r="AE253" s="187"/>
      <c r="AF253" s="185"/>
      <c r="AG253" s="185" t="str">
        <f t="shared" si="40"/>
        <v/>
      </c>
      <c r="AH253" s="186" t="str">
        <f t="shared" si="41"/>
        <v/>
      </c>
      <c r="AI253" s="185"/>
      <c r="AJ253" s="188"/>
      <c r="CC253" s="562"/>
      <c r="CD253" s="425"/>
    </row>
    <row r="254" spans="2:82" ht="30" customHeight="1" x14ac:dyDescent="0.3">
      <c r="B254" s="562"/>
      <c r="C254" s="563"/>
      <c r="D254" s="425"/>
      <c r="E254" s="250" t="str">
        <f t="shared" si="42"/>
        <v/>
      </c>
      <c r="F254" s="556"/>
      <c r="G254" s="252" t="str">
        <f>IFERROR(VLOOKUP(F254,'Data (hidden)'!N:O,2,FALSE),"")</f>
        <v/>
      </c>
      <c r="H254" s="557"/>
      <c r="I254" s="558"/>
      <c r="J254" s="123">
        <f t="shared" si="38"/>
        <v>0</v>
      </c>
      <c r="K254" s="123" t="e">
        <f t="shared" si="39"/>
        <v>#VALUE!</v>
      </c>
      <c r="L254" s="123">
        <f t="shared" si="36"/>
        <v>0</v>
      </c>
      <c r="M254" s="124" t="str">
        <f t="shared" si="37"/>
        <v/>
      </c>
      <c r="N254" s="112"/>
      <c r="O254" s="101"/>
      <c r="P254" s="101"/>
      <c r="Q254" s="101"/>
      <c r="R254" s="102"/>
      <c r="S254" s="102"/>
      <c r="T254" s="102"/>
      <c r="U254" s="103"/>
      <c r="V254" s="100"/>
      <c r="W254" s="101"/>
      <c r="X254" s="113"/>
      <c r="Y254" s="114"/>
      <c r="Z254" s="102"/>
      <c r="AA254" s="101"/>
      <c r="AB254" s="111"/>
      <c r="AE254" s="187"/>
      <c r="AF254" s="185"/>
      <c r="AG254" s="185" t="str">
        <f t="shared" si="40"/>
        <v/>
      </c>
      <c r="AH254" s="186" t="str">
        <f t="shared" si="41"/>
        <v/>
      </c>
      <c r="AI254" s="185"/>
      <c r="AJ254" s="188"/>
      <c r="CC254" s="562"/>
      <c r="CD254" s="425"/>
    </row>
    <row r="255" spans="2:82" ht="30" customHeight="1" x14ac:dyDescent="0.3">
      <c r="B255" s="562"/>
      <c r="C255" s="563"/>
      <c r="D255" s="425"/>
      <c r="E255" s="250" t="str">
        <f t="shared" si="42"/>
        <v/>
      </c>
      <c r="F255" s="556"/>
      <c r="G255" s="252" t="str">
        <f>IFERROR(VLOOKUP(F255,'Data (hidden)'!N:O,2,FALSE),"")</f>
        <v/>
      </c>
      <c r="H255" s="557"/>
      <c r="I255" s="558"/>
      <c r="J255" s="123">
        <f t="shared" si="38"/>
        <v>0</v>
      </c>
      <c r="K255" s="123" t="e">
        <f t="shared" si="39"/>
        <v>#VALUE!</v>
      </c>
      <c r="L255" s="123">
        <f t="shared" si="36"/>
        <v>0</v>
      </c>
      <c r="M255" s="124" t="str">
        <f t="shared" si="37"/>
        <v/>
      </c>
      <c r="N255" s="112"/>
      <c r="O255" s="101"/>
      <c r="P255" s="101"/>
      <c r="Q255" s="101"/>
      <c r="R255" s="102"/>
      <c r="S255" s="102"/>
      <c r="T255" s="102"/>
      <c r="U255" s="103"/>
      <c r="V255" s="100"/>
      <c r="W255" s="101"/>
      <c r="X255" s="113"/>
      <c r="Y255" s="114"/>
      <c r="Z255" s="102"/>
      <c r="AA255" s="101"/>
      <c r="AB255" s="111"/>
      <c r="AE255" s="187"/>
      <c r="AF255" s="185"/>
      <c r="AG255" s="185" t="str">
        <f t="shared" si="40"/>
        <v/>
      </c>
      <c r="AH255" s="186" t="str">
        <f t="shared" si="41"/>
        <v/>
      </c>
      <c r="AI255" s="185"/>
      <c r="AJ255" s="188"/>
      <c r="CC255" s="562"/>
      <c r="CD255" s="425"/>
    </row>
    <row r="256" spans="2:82" ht="30" customHeight="1" x14ac:dyDescent="0.3">
      <c r="B256" s="562"/>
      <c r="C256" s="563"/>
      <c r="D256" s="425"/>
      <c r="E256" s="250" t="str">
        <f t="shared" si="42"/>
        <v/>
      </c>
      <c r="F256" s="556"/>
      <c r="G256" s="252" t="str">
        <f>IFERROR(VLOOKUP(F256,'Data (hidden)'!N:O,2,FALSE),"")</f>
        <v/>
      </c>
      <c r="H256" s="557"/>
      <c r="I256" s="558"/>
      <c r="J256" s="123">
        <f t="shared" si="38"/>
        <v>0</v>
      </c>
      <c r="K256" s="123" t="e">
        <f t="shared" si="39"/>
        <v>#VALUE!</v>
      </c>
      <c r="L256" s="123">
        <f t="shared" si="36"/>
        <v>0</v>
      </c>
      <c r="M256" s="124" t="str">
        <f t="shared" si="37"/>
        <v/>
      </c>
      <c r="N256" s="112"/>
      <c r="O256" s="101"/>
      <c r="P256" s="101"/>
      <c r="Q256" s="101"/>
      <c r="R256" s="102"/>
      <c r="S256" s="102"/>
      <c r="T256" s="102"/>
      <c r="U256" s="103"/>
      <c r="V256" s="100"/>
      <c r="W256" s="101"/>
      <c r="X256" s="113"/>
      <c r="Y256" s="114"/>
      <c r="Z256" s="102"/>
      <c r="AA256" s="101"/>
      <c r="AB256" s="111"/>
      <c r="AE256" s="187"/>
      <c r="AF256" s="185"/>
      <c r="AG256" s="185" t="str">
        <f t="shared" si="40"/>
        <v/>
      </c>
      <c r="AH256" s="186" t="str">
        <f t="shared" si="41"/>
        <v/>
      </c>
      <c r="AI256" s="185"/>
      <c r="AJ256" s="188"/>
      <c r="CC256" s="562"/>
      <c r="CD256" s="425"/>
    </row>
    <row r="257" spans="2:82" ht="30" customHeight="1" x14ac:dyDescent="0.3">
      <c r="B257" s="562"/>
      <c r="C257" s="563"/>
      <c r="D257" s="425"/>
      <c r="E257" s="250" t="str">
        <f t="shared" si="42"/>
        <v/>
      </c>
      <c r="F257" s="556"/>
      <c r="G257" s="252" t="str">
        <f>IFERROR(VLOOKUP(F257,'Data (hidden)'!N:O,2,FALSE),"")</f>
        <v/>
      </c>
      <c r="H257" s="557"/>
      <c r="I257" s="558"/>
      <c r="J257" s="123">
        <f t="shared" si="38"/>
        <v>0</v>
      </c>
      <c r="K257" s="123" t="e">
        <f t="shared" si="39"/>
        <v>#VALUE!</v>
      </c>
      <c r="L257" s="123">
        <f t="shared" si="36"/>
        <v>0</v>
      </c>
      <c r="M257" s="124" t="str">
        <f t="shared" si="37"/>
        <v/>
      </c>
      <c r="N257" s="112"/>
      <c r="O257" s="101"/>
      <c r="P257" s="101"/>
      <c r="Q257" s="101"/>
      <c r="R257" s="102"/>
      <c r="S257" s="102"/>
      <c r="T257" s="102"/>
      <c r="U257" s="103"/>
      <c r="V257" s="100"/>
      <c r="W257" s="101"/>
      <c r="X257" s="113"/>
      <c r="Y257" s="114"/>
      <c r="Z257" s="102"/>
      <c r="AA257" s="101"/>
      <c r="AB257" s="111"/>
      <c r="AE257" s="187"/>
      <c r="AF257" s="185"/>
      <c r="AG257" s="185" t="str">
        <f t="shared" si="40"/>
        <v/>
      </c>
      <c r="AH257" s="186" t="str">
        <f t="shared" si="41"/>
        <v/>
      </c>
      <c r="AI257" s="185"/>
      <c r="AJ257" s="188"/>
      <c r="CC257" s="562"/>
      <c r="CD257" s="425"/>
    </row>
    <row r="258" spans="2:82" ht="30" customHeight="1" x14ac:dyDescent="0.3">
      <c r="B258" s="562"/>
      <c r="C258" s="563"/>
      <c r="D258" s="425"/>
      <c r="E258" s="250" t="str">
        <f t="shared" si="42"/>
        <v/>
      </c>
      <c r="F258" s="556"/>
      <c r="G258" s="252" t="str">
        <f>IFERROR(VLOOKUP(F258,'Data (hidden)'!N:O,2,FALSE),"")</f>
        <v/>
      </c>
      <c r="H258" s="557"/>
      <c r="I258" s="558"/>
      <c r="J258" s="123">
        <f t="shared" si="38"/>
        <v>0</v>
      </c>
      <c r="K258" s="123" t="e">
        <f t="shared" si="39"/>
        <v>#VALUE!</v>
      </c>
      <c r="L258" s="123">
        <f t="shared" si="36"/>
        <v>0</v>
      </c>
      <c r="M258" s="124" t="str">
        <f t="shared" si="37"/>
        <v/>
      </c>
      <c r="N258" s="112"/>
      <c r="O258" s="101"/>
      <c r="P258" s="101"/>
      <c r="Q258" s="101"/>
      <c r="R258" s="102"/>
      <c r="S258" s="102"/>
      <c r="T258" s="102"/>
      <c r="U258" s="103"/>
      <c r="V258" s="100"/>
      <c r="W258" s="101"/>
      <c r="X258" s="113"/>
      <c r="Y258" s="114"/>
      <c r="Z258" s="102"/>
      <c r="AA258" s="101"/>
      <c r="AB258" s="111"/>
      <c r="AE258" s="187"/>
      <c r="AF258" s="185"/>
      <c r="AG258" s="185" t="str">
        <f t="shared" si="40"/>
        <v/>
      </c>
      <c r="AH258" s="186" t="str">
        <f t="shared" si="41"/>
        <v/>
      </c>
      <c r="AI258" s="185"/>
      <c r="AJ258" s="188"/>
      <c r="CC258" s="562"/>
      <c r="CD258" s="425"/>
    </row>
    <row r="259" spans="2:82" ht="30" customHeight="1" x14ac:dyDescent="0.3">
      <c r="B259" s="562"/>
      <c r="C259" s="563"/>
      <c r="D259" s="425"/>
      <c r="E259" s="250" t="str">
        <f t="shared" si="42"/>
        <v/>
      </c>
      <c r="F259" s="556"/>
      <c r="G259" s="252" t="str">
        <f>IFERROR(VLOOKUP(F259,'Data (hidden)'!N:O,2,FALSE),"")</f>
        <v/>
      </c>
      <c r="H259" s="557"/>
      <c r="I259" s="558"/>
      <c r="J259" s="123">
        <f t="shared" si="38"/>
        <v>0</v>
      </c>
      <c r="K259" s="123" t="e">
        <f t="shared" si="39"/>
        <v>#VALUE!</v>
      </c>
      <c r="L259" s="123">
        <f t="shared" si="36"/>
        <v>0</v>
      </c>
      <c r="M259" s="124" t="str">
        <f t="shared" si="37"/>
        <v/>
      </c>
      <c r="N259" s="112"/>
      <c r="O259" s="101"/>
      <c r="P259" s="101"/>
      <c r="Q259" s="101"/>
      <c r="R259" s="102"/>
      <c r="S259" s="102"/>
      <c r="T259" s="102"/>
      <c r="U259" s="103"/>
      <c r="V259" s="100"/>
      <c r="W259" s="101"/>
      <c r="X259" s="113"/>
      <c r="Y259" s="114"/>
      <c r="Z259" s="102"/>
      <c r="AA259" s="101"/>
      <c r="AB259" s="111"/>
      <c r="AE259" s="187"/>
      <c r="AF259" s="185"/>
      <c r="AG259" s="185" t="str">
        <f t="shared" si="40"/>
        <v/>
      </c>
      <c r="AH259" s="186" t="str">
        <f t="shared" si="41"/>
        <v/>
      </c>
      <c r="AI259" s="185"/>
      <c r="AJ259" s="188"/>
      <c r="CC259" s="562"/>
      <c r="CD259" s="425"/>
    </row>
    <row r="260" spans="2:82" ht="30" customHeight="1" x14ac:dyDescent="0.3">
      <c r="B260" s="562"/>
      <c r="C260" s="563"/>
      <c r="D260" s="425"/>
      <c r="E260" s="250" t="str">
        <f t="shared" si="42"/>
        <v/>
      </c>
      <c r="F260" s="556"/>
      <c r="G260" s="252" t="str">
        <f>IFERROR(VLOOKUP(F260,'Data (hidden)'!N:O,2,FALSE),"")</f>
        <v/>
      </c>
      <c r="H260" s="557"/>
      <c r="I260" s="558"/>
      <c r="J260" s="123">
        <f t="shared" si="38"/>
        <v>0</v>
      </c>
      <c r="K260" s="123" t="e">
        <f t="shared" si="39"/>
        <v>#VALUE!</v>
      </c>
      <c r="L260" s="123">
        <f t="shared" si="36"/>
        <v>0</v>
      </c>
      <c r="M260" s="124" t="str">
        <f t="shared" si="37"/>
        <v/>
      </c>
      <c r="N260" s="112"/>
      <c r="O260" s="101"/>
      <c r="P260" s="101"/>
      <c r="Q260" s="101"/>
      <c r="R260" s="102"/>
      <c r="S260" s="102"/>
      <c r="T260" s="102"/>
      <c r="U260" s="103"/>
      <c r="V260" s="100"/>
      <c r="W260" s="101"/>
      <c r="X260" s="113"/>
      <c r="Y260" s="114"/>
      <c r="Z260" s="102"/>
      <c r="AA260" s="101"/>
      <c r="AB260" s="111"/>
      <c r="AE260" s="187"/>
      <c r="AF260" s="185"/>
      <c r="AG260" s="185" t="str">
        <f t="shared" si="40"/>
        <v/>
      </c>
      <c r="AH260" s="186" t="str">
        <f t="shared" si="41"/>
        <v/>
      </c>
      <c r="AI260" s="185"/>
      <c r="AJ260" s="188"/>
      <c r="CC260" s="562"/>
      <c r="CD260" s="425"/>
    </row>
    <row r="261" spans="2:82" ht="30" customHeight="1" x14ac:dyDescent="0.3">
      <c r="B261" s="562"/>
      <c r="C261" s="563"/>
      <c r="D261" s="425"/>
      <c r="E261" s="250" t="str">
        <f t="shared" si="42"/>
        <v/>
      </c>
      <c r="F261" s="556"/>
      <c r="G261" s="252" t="str">
        <f>IFERROR(VLOOKUP(F261,'Data (hidden)'!N:O,2,FALSE),"")</f>
        <v/>
      </c>
      <c r="H261" s="557"/>
      <c r="I261" s="558"/>
      <c r="J261" s="123">
        <f t="shared" si="38"/>
        <v>0</v>
      </c>
      <c r="K261" s="123" t="e">
        <f t="shared" si="39"/>
        <v>#VALUE!</v>
      </c>
      <c r="L261" s="123">
        <f t="shared" si="36"/>
        <v>0</v>
      </c>
      <c r="M261" s="124" t="str">
        <f t="shared" si="37"/>
        <v/>
      </c>
      <c r="N261" s="112"/>
      <c r="O261" s="101"/>
      <c r="P261" s="101"/>
      <c r="Q261" s="101"/>
      <c r="R261" s="102"/>
      <c r="S261" s="102"/>
      <c r="T261" s="102"/>
      <c r="U261" s="103"/>
      <c r="V261" s="100"/>
      <c r="W261" s="101"/>
      <c r="X261" s="113"/>
      <c r="Y261" s="114"/>
      <c r="Z261" s="102"/>
      <c r="AA261" s="101"/>
      <c r="AB261" s="111"/>
      <c r="AE261" s="187"/>
      <c r="AF261" s="185"/>
      <c r="AG261" s="185" t="str">
        <f t="shared" si="40"/>
        <v/>
      </c>
      <c r="AH261" s="186" t="str">
        <f t="shared" si="41"/>
        <v/>
      </c>
      <c r="AI261" s="185"/>
      <c r="AJ261" s="188"/>
      <c r="CC261" s="562"/>
      <c r="CD261" s="425"/>
    </row>
    <row r="262" spans="2:82" ht="30" customHeight="1" x14ac:dyDescent="0.3">
      <c r="B262" s="562"/>
      <c r="C262" s="563"/>
      <c r="D262" s="425"/>
      <c r="E262" s="250" t="str">
        <f t="shared" si="42"/>
        <v/>
      </c>
      <c r="F262" s="556"/>
      <c r="G262" s="252" t="str">
        <f>IFERROR(VLOOKUP(F262,'Data (hidden)'!N:O,2,FALSE),"")</f>
        <v/>
      </c>
      <c r="H262" s="557"/>
      <c r="I262" s="558"/>
      <c r="J262" s="123">
        <f t="shared" si="38"/>
        <v>0</v>
      </c>
      <c r="K262" s="123" t="e">
        <f t="shared" si="39"/>
        <v>#VALUE!</v>
      </c>
      <c r="L262" s="123">
        <f t="shared" si="36"/>
        <v>0</v>
      </c>
      <c r="M262" s="124" t="str">
        <f t="shared" si="37"/>
        <v/>
      </c>
      <c r="N262" s="112"/>
      <c r="O262" s="101"/>
      <c r="P262" s="101"/>
      <c r="Q262" s="101"/>
      <c r="R262" s="102"/>
      <c r="S262" s="102"/>
      <c r="T262" s="102"/>
      <c r="U262" s="103"/>
      <c r="V262" s="100"/>
      <c r="W262" s="101"/>
      <c r="X262" s="113"/>
      <c r="Y262" s="114"/>
      <c r="Z262" s="102"/>
      <c r="AA262" s="101"/>
      <c r="AB262" s="111"/>
      <c r="AE262" s="187"/>
      <c r="AF262" s="185"/>
      <c r="AG262" s="185" t="str">
        <f t="shared" si="40"/>
        <v/>
      </c>
      <c r="AH262" s="186" t="str">
        <f t="shared" si="41"/>
        <v/>
      </c>
      <c r="AI262" s="185"/>
      <c r="AJ262" s="188"/>
      <c r="CC262" s="562"/>
      <c r="CD262" s="425"/>
    </row>
    <row r="263" spans="2:82" ht="30" customHeight="1" x14ac:dyDescent="0.3">
      <c r="B263" s="562"/>
      <c r="C263" s="563"/>
      <c r="D263" s="425"/>
      <c r="E263" s="250" t="str">
        <f t="shared" si="42"/>
        <v/>
      </c>
      <c r="F263" s="556"/>
      <c r="G263" s="252" t="str">
        <f>IFERROR(VLOOKUP(F263,'Data (hidden)'!N:O,2,FALSE),"")</f>
        <v/>
      </c>
      <c r="H263" s="557"/>
      <c r="I263" s="558"/>
      <c r="J263" s="123">
        <f t="shared" si="38"/>
        <v>0</v>
      </c>
      <c r="K263" s="123" t="e">
        <f t="shared" si="39"/>
        <v>#VALUE!</v>
      </c>
      <c r="L263" s="123">
        <f t="shared" si="36"/>
        <v>0</v>
      </c>
      <c r="M263" s="124" t="str">
        <f t="shared" si="37"/>
        <v/>
      </c>
      <c r="N263" s="112"/>
      <c r="O263" s="101"/>
      <c r="P263" s="101"/>
      <c r="Q263" s="101"/>
      <c r="R263" s="102"/>
      <c r="S263" s="102"/>
      <c r="T263" s="102"/>
      <c r="U263" s="103"/>
      <c r="V263" s="100"/>
      <c r="W263" s="101"/>
      <c r="X263" s="113"/>
      <c r="Y263" s="114"/>
      <c r="Z263" s="102"/>
      <c r="AA263" s="101"/>
      <c r="AB263" s="111"/>
      <c r="AE263" s="187"/>
      <c r="AF263" s="185"/>
      <c r="AG263" s="185" t="str">
        <f t="shared" si="40"/>
        <v/>
      </c>
      <c r="AH263" s="186" t="str">
        <f t="shared" si="41"/>
        <v/>
      </c>
      <c r="AI263" s="185"/>
      <c r="AJ263" s="188"/>
      <c r="CC263" s="562"/>
      <c r="CD263" s="425"/>
    </row>
    <row r="264" spans="2:82" ht="30" customHeight="1" x14ac:dyDescent="0.3">
      <c r="B264" s="562"/>
      <c r="C264" s="563"/>
      <c r="D264" s="425"/>
      <c r="E264" s="250" t="str">
        <f t="shared" si="42"/>
        <v/>
      </c>
      <c r="F264" s="556"/>
      <c r="G264" s="252" t="str">
        <f>IFERROR(VLOOKUP(F264,'Data (hidden)'!N:O,2,FALSE),"")</f>
        <v/>
      </c>
      <c r="H264" s="557"/>
      <c r="I264" s="558"/>
      <c r="J264" s="123">
        <f t="shared" si="38"/>
        <v>0</v>
      </c>
      <c r="K264" s="123" t="e">
        <f t="shared" si="39"/>
        <v>#VALUE!</v>
      </c>
      <c r="L264" s="123">
        <f t="shared" si="36"/>
        <v>0</v>
      </c>
      <c r="M264" s="124" t="str">
        <f t="shared" si="37"/>
        <v/>
      </c>
      <c r="N264" s="112"/>
      <c r="O264" s="101"/>
      <c r="P264" s="101"/>
      <c r="Q264" s="101"/>
      <c r="R264" s="102"/>
      <c r="S264" s="102"/>
      <c r="T264" s="102"/>
      <c r="U264" s="103"/>
      <c r="V264" s="100"/>
      <c r="W264" s="101"/>
      <c r="X264" s="113"/>
      <c r="Y264" s="114"/>
      <c r="Z264" s="102"/>
      <c r="AA264" s="101"/>
      <c r="AB264" s="111"/>
      <c r="AE264" s="187"/>
      <c r="AF264" s="185"/>
      <c r="AG264" s="185" t="str">
        <f t="shared" si="40"/>
        <v/>
      </c>
      <c r="AH264" s="186" t="str">
        <f t="shared" si="41"/>
        <v/>
      </c>
      <c r="AI264" s="185"/>
      <c r="AJ264" s="188"/>
      <c r="CC264" s="562"/>
      <c r="CD264" s="425"/>
    </row>
    <row r="265" spans="2:82" ht="30" customHeight="1" x14ac:dyDescent="0.3">
      <c r="B265" s="562"/>
      <c r="C265" s="563"/>
      <c r="D265" s="425"/>
      <c r="E265" s="250" t="str">
        <f t="shared" si="42"/>
        <v/>
      </c>
      <c r="F265" s="556"/>
      <c r="G265" s="252" t="str">
        <f>IFERROR(VLOOKUP(F265,'Data (hidden)'!N:O,2,FALSE),"")</f>
        <v/>
      </c>
      <c r="H265" s="557"/>
      <c r="I265" s="558"/>
      <c r="J265" s="123">
        <f t="shared" si="38"/>
        <v>0</v>
      </c>
      <c r="K265" s="123" t="e">
        <f t="shared" si="39"/>
        <v>#VALUE!</v>
      </c>
      <c r="L265" s="123">
        <f t="shared" si="36"/>
        <v>0</v>
      </c>
      <c r="M265" s="124" t="str">
        <f t="shared" si="37"/>
        <v/>
      </c>
      <c r="N265" s="112"/>
      <c r="O265" s="101"/>
      <c r="P265" s="101"/>
      <c r="Q265" s="101"/>
      <c r="R265" s="102"/>
      <c r="S265" s="102"/>
      <c r="T265" s="102"/>
      <c r="U265" s="103"/>
      <c r="V265" s="100"/>
      <c r="W265" s="101"/>
      <c r="X265" s="113"/>
      <c r="Y265" s="114"/>
      <c r="Z265" s="102"/>
      <c r="AA265" s="101"/>
      <c r="AB265" s="111"/>
      <c r="AE265" s="187"/>
      <c r="AF265" s="185"/>
      <c r="AG265" s="185" t="str">
        <f t="shared" si="40"/>
        <v/>
      </c>
      <c r="AH265" s="186" t="str">
        <f t="shared" si="41"/>
        <v/>
      </c>
      <c r="AI265" s="185"/>
      <c r="AJ265" s="188"/>
      <c r="CC265" s="562"/>
      <c r="CD265" s="425"/>
    </row>
    <row r="266" spans="2:82" ht="30" customHeight="1" x14ac:dyDescent="0.3">
      <c r="B266" s="562"/>
      <c r="C266" s="563"/>
      <c r="D266" s="425"/>
      <c r="E266" s="250" t="str">
        <f t="shared" si="42"/>
        <v/>
      </c>
      <c r="F266" s="556"/>
      <c r="G266" s="252" t="str">
        <f>IFERROR(VLOOKUP(F266,'Data (hidden)'!N:O,2,FALSE),"")</f>
        <v/>
      </c>
      <c r="H266" s="557"/>
      <c r="I266" s="558"/>
      <c r="J266" s="123">
        <f t="shared" si="38"/>
        <v>0</v>
      </c>
      <c r="K266" s="123" t="e">
        <f t="shared" si="39"/>
        <v>#VALUE!</v>
      </c>
      <c r="L266" s="123">
        <f t="shared" si="36"/>
        <v>0</v>
      </c>
      <c r="M266" s="124" t="str">
        <f t="shared" si="37"/>
        <v/>
      </c>
      <c r="N266" s="112"/>
      <c r="O266" s="101"/>
      <c r="P266" s="101"/>
      <c r="Q266" s="101"/>
      <c r="R266" s="102"/>
      <c r="S266" s="102"/>
      <c r="T266" s="102"/>
      <c r="U266" s="103"/>
      <c r="V266" s="100"/>
      <c r="W266" s="101"/>
      <c r="X266" s="113"/>
      <c r="Y266" s="114"/>
      <c r="Z266" s="102"/>
      <c r="AA266" s="101"/>
      <c r="AB266" s="111"/>
      <c r="AE266" s="187"/>
      <c r="AF266" s="185"/>
      <c r="AG266" s="185" t="str">
        <f t="shared" si="40"/>
        <v/>
      </c>
      <c r="AH266" s="186" t="str">
        <f t="shared" si="41"/>
        <v/>
      </c>
      <c r="AI266" s="185"/>
      <c r="AJ266" s="188"/>
      <c r="CC266" s="562"/>
      <c r="CD266" s="425"/>
    </row>
    <row r="267" spans="2:82" ht="30" customHeight="1" x14ac:dyDescent="0.3">
      <c r="B267" s="562"/>
      <c r="C267" s="563"/>
      <c r="D267" s="425"/>
      <c r="E267" s="250" t="str">
        <f t="shared" si="42"/>
        <v/>
      </c>
      <c r="F267" s="556"/>
      <c r="G267" s="252" t="str">
        <f>IFERROR(VLOOKUP(F267,'Data (hidden)'!N:O,2,FALSE),"")</f>
        <v/>
      </c>
      <c r="H267" s="557"/>
      <c r="I267" s="558"/>
      <c r="J267" s="123">
        <f t="shared" si="38"/>
        <v>0</v>
      </c>
      <c r="K267" s="123" t="e">
        <f t="shared" si="39"/>
        <v>#VALUE!</v>
      </c>
      <c r="L267" s="123">
        <f t="shared" si="36"/>
        <v>0</v>
      </c>
      <c r="M267" s="124" t="str">
        <f t="shared" si="37"/>
        <v/>
      </c>
      <c r="N267" s="112"/>
      <c r="O267" s="101"/>
      <c r="P267" s="101"/>
      <c r="Q267" s="101"/>
      <c r="R267" s="102"/>
      <c r="S267" s="102"/>
      <c r="T267" s="102"/>
      <c r="U267" s="103"/>
      <c r="V267" s="100"/>
      <c r="W267" s="101"/>
      <c r="X267" s="113"/>
      <c r="Y267" s="114"/>
      <c r="Z267" s="102"/>
      <c r="AA267" s="101"/>
      <c r="AB267" s="111"/>
      <c r="AE267" s="187"/>
      <c r="AF267" s="185"/>
      <c r="AG267" s="185" t="str">
        <f t="shared" si="40"/>
        <v/>
      </c>
      <c r="AH267" s="186" t="str">
        <f t="shared" si="41"/>
        <v/>
      </c>
      <c r="AI267" s="185"/>
      <c r="AJ267" s="188"/>
      <c r="CC267" s="562"/>
      <c r="CD267" s="425"/>
    </row>
    <row r="268" spans="2:82" ht="30" customHeight="1" x14ac:dyDescent="0.3">
      <c r="B268" s="562"/>
      <c r="C268" s="563"/>
      <c r="D268" s="425"/>
      <c r="E268" s="250" t="str">
        <f t="shared" si="42"/>
        <v/>
      </c>
      <c r="F268" s="556"/>
      <c r="G268" s="252" t="str">
        <f>IFERROR(VLOOKUP(F268,'Data (hidden)'!N:O,2,FALSE),"")</f>
        <v/>
      </c>
      <c r="H268" s="557"/>
      <c r="I268" s="558"/>
      <c r="J268" s="123">
        <f t="shared" si="38"/>
        <v>0</v>
      </c>
      <c r="K268" s="123" t="e">
        <f t="shared" si="39"/>
        <v>#VALUE!</v>
      </c>
      <c r="L268" s="123">
        <f t="shared" si="36"/>
        <v>0</v>
      </c>
      <c r="M268" s="124" t="str">
        <f t="shared" si="37"/>
        <v/>
      </c>
      <c r="N268" s="112"/>
      <c r="O268" s="101"/>
      <c r="P268" s="101"/>
      <c r="Q268" s="101"/>
      <c r="R268" s="102"/>
      <c r="S268" s="102"/>
      <c r="T268" s="102"/>
      <c r="U268" s="103"/>
      <c r="V268" s="100"/>
      <c r="W268" s="101"/>
      <c r="X268" s="113"/>
      <c r="Y268" s="114"/>
      <c r="Z268" s="102"/>
      <c r="AA268" s="101"/>
      <c r="AB268" s="111"/>
      <c r="AE268" s="187"/>
      <c r="AF268" s="185"/>
      <c r="AG268" s="185" t="str">
        <f t="shared" si="40"/>
        <v/>
      </c>
      <c r="AH268" s="186" t="str">
        <f t="shared" si="41"/>
        <v/>
      </c>
      <c r="AI268" s="185"/>
      <c r="AJ268" s="188"/>
      <c r="CC268" s="562"/>
      <c r="CD268" s="425"/>
    </row>
    <row r="269" spans="2:82" ht="30" customHeight="1" x14ac:dyDescent="0.3">
      <c r="B269" s="562"/>
      <c r="C269" s="563"/>
      <c r="D269" s="425"/>
      <c r="E269" s="250" t="str">
        <f t="shared" si="42"/>
        <v/>
      </c>
      <c r="F269" s="556"/>
      <c r="G269" s="252" t="str">
        <f>IFERROR(VLOOKUP(F269,'Data (hidden)'!N:O,2,FALSE),"")</f>
        <v/>
      </c>
      <c r="H269" s="557"/>
      <c r="I269" s="558"/>
      <c r="J269" s="123">
        <f t="shared" si="38"/>
        <v>0</v>
      </c>
      <c r="K269" s="123" t="e">
        <f t="shared" si="39"/>
        <v>#VALUE!</v>
      </c>
      <c r="L269" s="123">
        <f t="shared" si="36"/>
        <v>0</v>
      </c>
      <c r="M269" s="124" t="str">
        <f t="shared" si="37"/>
        <v/>
      </c>
      <c r="N269" s="112"/>
      <c r="O269" s="101"/>
      <c r="P269" s="101"/>
      <c r="Q269" s="101"/>
      <c r="R269" s="102"/>
      <c r="S269" s="102"/>
      <c r="T269" s="102"/>
      <c r="U269" s="103"/>
      <c r="V269" s="100"/>
      <c r="W269" s="101"/>
      <c r="X269" s="113"/>
      <c r="Y269" s="114"/>
      <c r="Z269" s="102"/>
      <c r="AA269" s="101"/>
      <c r="AB269" s="111"/>
      <c r="AE269" s="187"/>
      <c r="AF269" s="185"/>
      <c r="AG269" s="185" t="str">
        <f t="shared" si="40"/>
        <v/>
      </c>
      <c r="AH269" s="186" t="str">
        <f t="shared" si="41"/>
        <v/>
      </c>
      <c r="AI269" s="185"/>
      <c r="AJ269" s="188"/>
      <c r="CC269" s="562"/>
      <c r="CD269" s="425"/>
    </row>
    <row r="270" spans="2:82" ht="30" customHeight="1" x14ac:dyDescent="0.3">
      <c r="B270" s="562"/>
      <c r="C270" s="563"/>
      <c r="D270" s="425"/>
      <c r="E270" s="250" t="str">
        <f t="shared" si="42"/>
        <v/>
      </c>
      <c r="F270" s="556"/>
      <c r="G270" s="252" t="str">
        <f>IFERROR(VLOOKUP(F270,'Data (hidden)'!N:O,2,FALSE),"")</f>
        <v/>
      </c>
      <c r="H270" s="557"/>
      <c r="I270" s="558"/>
      <c r="J270" s="123">
        <f t="shared" si="38"/>
        <v>0</v>
      </c>
      <c r="K270" s="123" t="e">
        <f t="shared" si="39"/>
        <v>#VALUE!</v>
      </c>
      <c r="L270" s="123">
        <f t="shared" si="36"/>
        <v>0</v>
      </c>
      <c r="M270" s="124" t="str">
        <f t="shared" si="37"/>
        <v/>
      </c>
      <c r="N270" s="112"/>
      <c r="O270" s="101"/>
      <c r="P270" s="101"/>
      <c r="Q270" s="101"/>
      <c r="R270" s="102"/>
      <c r="S270" s="102"/>
      <c r="T270" s="102"/>
      <c r="U270" s="103"/>
      <c r="V270" s="100"/>
      <c r="W270" s="101"/>
      <c r="X270" s="113"/>
      <c r="Y270" s="114"/>
      <c r="Z270" s="102"/>
      <c r="AA270" s="101"/>
      <c r="AB270" s="111"/>
      <c r="AE270" s="187"/>
      <c r="AF270" s="185"/>
      <c r="AG270" s="185" t="str">
        <f t="shared" si="40"/>
        <v/>
      </c>
      <c r="AH270" s="186" t="str">
        <f t="shared" si="41"/>
        <v/>
      </c>
      <c r="AI270" s="185"/>
      <c r="AJ270" s="188"/>
      <c r="CC270" s="562"/>
      <c r="CD270" s="425"/>
    </row>
    <row r="271" spans="2:82" ht="30" customHeight="1" x14ac:dyDescent="0.3">
      <c r="B271" s="562"/>
      <c r="C271" s="563"/>
      <c r="D271" s="425"/>
      <c r="E271" s="250" t="str">
        <f t="shared" si="42"/>
        <v/>
      </c>
      <c r="F271" s="556"/>
      <c r="G271" s="252" t="str">
        <f>IFERROR(VLOOKUP(F271,'Data (hidden)'!N:O,2,FALSE),"")</f>
        <v/>
      </c>
      <c r="H271" s="557"/>
      <c r="I271" s="558"/>
      <c r="J271" s="123">
        <f t="shared" si="38"/>
        <v>0</v>
      </c>
      <c r="K271" s="123" t="e">
        <f t="shared" si="39"/>
        <v>#VALUE!</v>
      </c>
      <c r="L271" s="123">
        <f t="shared" si="36"/>
        <v>0</v>
      </c>
      <c r="M271" s="124" t="str">
        <f t="shared" si="37"/>
        <v/>
      </c>
      <c r="N271" s="112"/>
      <c r="O271" s="101"/>
      <c r="P271" s="101"/>
      <c r="Q271" s="101"/>
      <c r="R271" s="102"/>
      <c r="S271" s="102"/>
      <c r="T271" s="102"/>
      <c r="U271" s="103"/>
      <c r="V271" s="100"/>
      <c r="W271" s="101"/>
      <c r="X271" s="113"/>
      <c r="Y271" s="114"/>
      <c r="Z271" s="102"/>
      <c r="AA271" s="101"/>
      <c r="AB271" s="111"/>
      <c r="AE271" s="187"/>
      <c r="AF271" s="185"/>
      <c r="AG271" s="185" t="str">
        <f t="shared" si="40"/>
        <v/>
      </c>
      <c r="AH271" s="186" t="str">
        <f t="shared" si="41"/>
        <v/>
      </c>
      <c r="AI271" s="185"/>
      <c r="AJ271" s="188"/>
      <c r="CC271" s="562"/>
      <c r="CD271" s="425"/>
    </row>
    <row r="272" spans="2:82" ht="30" customHeight="1" x14ac:dyDescent="0.3">
      <c r="B272" s="562"/>
      <c r="C272" s="563"/>
      <c r="D272" s="425"/>
      <c r="E272" s="250" t="str">
        <f t="shared" si="42"/>
        <v/>
      </c>
      <c r="F272" s="556"/>
      <c r="G272" s="252" t="str">
        <f>IFERROR(VLOOKUP(F272,'Data (hidden)'!N:O,2,FALSE),"")</f>
        <v/>
      </c>
      <c r="H272" s="557"/>
      <c r="I272" s="558"/>
      <c r="J272" s="123">
        <f t="shared" si="38"/>
        <v>0</v>
      </c>
      <c r="K272" s="123" t="e">
        <f t="shared" si="39"/>
        <v>#VALUE!</v>
      </c>
      <c r="L272" s="123">
        <f t="shared" si="36"/>
        <v>0</v>
      </c>
      <c r="M272" s="124" t="str">
        <f t="shared" si="37"/>
        <v/>
      </c>
      <c r="N272" s="112"/>
      <c r="O272" s="101"/>
      <c r="P272" s="101"/>
      <c r="Q272" s="101"/>
      <c r="R272" s="102"/>
      <c r="S272" s="102"/>
      <c r="T272" s="102"/>
      <c r="U272" s="103"/>
      <c r="V272" s="100"/>
      <c r="W272" s="101"/>
      <c r="X272" s="113"/>
      <c r="Y272" s="114"/>
      <c r="Z272" s="102"/>
      <c r="AA272" s="101"/>
      <c r="AB272" s="111"/>
      <c r="AE272" s="187"/>
      <c r="AF272" s="185"/>
      <c r="AG272" s="185" t="str">
        <f t="shared" si="40"/>
        <v/>
      </c>
      <c r="AH272" s="186" t="str">
        <f t="shared" si="41"/>
        <v/>
      </c>
      <c r="AI272" s="185"/>
      <c r="AJ272" s="188"/>
      <c r="CC272" s="562"/>
      <c r="CD272" s="425"/>
    </row>
    <row r="273" spans="2:82" ht="30" customHeight="1" x14ac:dyDescent="0.3">
      <c r="B273" s="562"/>
      <c r="C273" s="563"/>
      <c r="D273" s="425"/>
      <c r="E273" s="250" t="str">
        <f t="shared" si="42"/>
        <v/>
      </c>
      <c r="F273" s="556"/>
      <c r="G273" s="252" t="str">
        <f>IFERROR(VLOOKUP(F273,'Data (hidden)'!N:O,2,FALSE),"")</f>
        <v/>
      </c>
      <c r="H273" s="557"/>
      <c r="I273" s="558"/>
      <c r="J273" s="123">
        <f t="shared" si="38"/>
        <v>0</v>
      </c>
      <c r="K273" s="123" t="e">
        <f t="shared" si="39"/>
        <v>#VALUE!</v>
      </c>
      <c r="L273" s="123">
        <f t="shared" si="36"/>
        <v>0</v>
      </c>
      <c r="M273" s="124" t="str">
        <f t="shared" si="37"/>
        <v/>
      </c>
      <c r="N273" s="112"/>
      <c r="O273" s="101"/>
      <c r="P273" s="101"/>
      <c r="Q273" s="101"/>
      <c r="R273" s="102"/>
      <c r="S273" s="102"/>
      <c r="T273" s="102"/>
      <c r="U273" s="103"/>
      <c r="V273" s="100"/>
      <c r="W273" s="101"/>
      <c r="X273" s="113"/>
      <c r="Y273" s="114"/>
      <c r="Z273" s="102"/>
      <c r="AA273" s="101"/>
      <c r="AB273" s="111"/>
      <c r="AE273" s="187"/>
      <c r="AF273" s="185"/>
      <c r="AG273" s="185" t="str">
        <f t="shared" si="40"/>
        <v/>
      </c>
      <c r="AH273" s="186" t="str">
        <f t="shared" si="41"/>
        <v/>
      </c>
      <c r="AI273" s="185"/>
      <c r="AJ273" s="188"/>
      <c r="CC273" s="562"/>
      <c r="CD273" s="425"/>
    </row>
    <row r="274" spans="2:82" ht="30" customHeight="1" x14ac:dyDescent="0.3">
      <c r="B274" s="562"/>
      <c r="C274" s="563"/>
      <c r="D274" s="425"/>
      <c r="E274" s="250" t="str">
        <f t="shared" si="42"/>
        <v/>
      </c>
      <c r="F274" s="556"/>
      <c r="G274" s="252" t="str">
        <f>IFERROR(VLOOKUP(F274,'Data (hidden)'!N:O,2,FALSE),"")</f>
        <v/>
      </c>
      <c r="H274" s="557"/>
      <c r="I274" s="558"/>
      <c r="J274" s="123">
        <f t="shared" si="38"/>
        <v>0</v>
      </c>
      <c r="K274" s="123" t="e">
        <f t="shared" si="39"/>
        <v>#VALUE!</v>
      </c>
      <c r="L274" s="123">
        <f t="shared" si="36"/>
        <v>0</v>
      </c>
      <c r="M274" s="124" t="str">
        <f t="shared" si="37"/>
        <v/>
      </c>
      <c r="N274" s="112"/>
      <c r="O274" s="101"/>
      <c r="P274" s="101"/>
      <c r="Q274" s="101"/>
      <c r="R274" s="102"/>
      <c r="S274" s="102"/>
      <c r="T274" s="102"/>
      <c r="U274" s="103"/>
      <c r="V274" s="100"/>
      <c r="W274" s="101"/>
      <c r="X274" s="113"/>
      <c r="Y274" s="114"/>
      <c r="Z274" s="102"/>
      <c r="AA274" s="101"/>
      <c r="AB274" s="111"/>
      <c r="AE274" s="187"/>
      <c r="AF274" s="185"/>
      <c r="AG274" s="185" t="str">
        <f t="shared" si="40"/>
        <v/>
      </c>
      <c r="AH274" s="186" t="str">
        <f t="shared" si="41"/>
        <v/>
      </c>
      <c r="AI274" s="185"/>
      <c r="AJ274" s="188"/>
      <c r="CC274" s="562"/>
      <c r="CD274" s="425"/>
    </row>
    <row r="275" spans="2:82" ht="30" customHeight="1" x14ac:dyDescent="0.3">
      <c r="B275" s="562"/>
      <c r="C275" s="563"/>
      <c r="D275" s="425"/>
      <c r="E275" s="250" t="str">
        <f t="shared" si="42"/>
        <v/>
      </c>
      <c r="F275" s="556"/>
      <c r="G275" s="252" t="str">
        <f>IFERROR(VLOOKUP(F275,'Data (hidden)'!N:O,2,FALSE),"")</f>
        <v/>
      </c>
      <c r="H275" s="557"/>
      <c r="I275" s="558"/>
      <c r="J275" s="123">
        <f t="shared" si="38"/>
        <v>0</v>
      </c>
      <c r="K275" s="123" t="e">
        <f t="shared" si="39"/>
        <v>#VALUE!</v>
      </c>
      <c r="L275" s="123">
        <f t="shared" ref="L275:L338" si="43">D275*0.01</f>
        <v>0</v>
      </c>
      <c r="M275" s="124" t="str">
        <f t="shared" ref="M275:M338" si="44">IFERROR(K275*I275,"")</f>
        <v/>
      </c>
      <c r="N275" s="112"/>
      <c r="O275" s="101"/>
      <c r="P275" s="101"/>
      <c r="Q275" s="101"/>
      <c r="R275" s="102"/>
      <c r="S275" s="102"/>
      <c r="T275" s="102"/>
      <c r="U275" s="103"/>
      <c r="V275" s="100"/>
      <c r="W275" s="101"/>
      <c r="X275" s="113"/>
      <c r="Y275" s="114"/>
      <c r="Z275" s="102"/>
      <c r="AA275" s="101"/>
      <c r="AB275" s="111"/>
      <c r="AE275" s="187"/>
      <c r="AF275" s="185"/>
      <c r="AG275" s="185" t="str">
        <f t="shared" si="40"/>
        <v/>
      </c>
      <c r="AH275" s="186" t="str">
        <f t="shared" si="41"/>
        <v/>
      </c>
      <c r="AI275" s="185"/>
      <c r="AJ275" s="188"/>
      <c r="CC275" s="562"/>
      <c r="CD275" s="425"/>
    </row>
    <row r="276" spans="2:82" ht="30" customHeight="1" x14ac:dyDescent="0.3">
      <c r="B276" s="562"/>
      <c r="C276" s="563"/>
      <c r="D276" s="425"/>
      <c r="E276" s="250" t="str">
        <f t="shared" si="42"/>
        <v/>
      </c>
      <c r="F276" s="556"/>
      <c r="G276" s="252" t="str">
        <f>IFERROR(VLOOKUP(F276,'Data (hidden)'!N:O,2,FALSE),"")</f>
        <v/>
      </c>
      <c r="H276" s="557"/>
      <c r="I276" s="558"/>
      <c r="J276" s="123">
        <f t="shared" ref="J276:J339" si="45">H276*0.01</f>
        <v>0</v>
      </c>
      <c r="K276" s="123" t="e">
        <f t="shared" ref="K276:K339" si="46">E276*J276</f>
        <v>#VALUE!</v>
      </c>
      <c r="L276" s="123">
        <f t="shared" si="43"/>
        <v>0</v>
      </c>
      <c r="M276" s="124" t="str">
        <f t="shared" si="44"/>
        <v/>
      </c>
      <c r="N276" s="112"/>
      <c r="O276" s="101"/>
      <c r="P276" s="101"/>
      <c r="Q276" s="101"/>
      <c r="R276" s="102"/>
      <c r="S276" s="102"/>
      <c r="T276" s="102"/>
      <c r="U276" s="103"/>
      <c r="V276" s="100"/>
      <c r="W276" s="101"/>
      <c r="X276" s="113"/>
      <c r="Y276" s="114"/>
      <c r="Z276" s="102"/>
      <c r="AA276" s="101"/>
      <c r="AB276" s="111"/>
      <c r="AE276" s="187"/>
      <c r="AF276" s="185"/>
      <c r="AG276" s="185" t="str">
        <f t="shared" ref="AG276:AG339" si="47">IF(ISNUMBER(B276), B276, "")</f>
        <v/>
      </c>
      <c r="AH276" s="186" t="str">
        <f t="shared" ref="AH276:AH339" si="48">E276</f>
        <v/>
      </c>
      <c r="AI276" s="185"/>
      <c r="AJ276" s="188"/>
      <c r="CC276" s="562"/>
      <c r="CD276" s="425"/>
    </row>
    <row r="277" spans="2:82" ht="30" customHeight="1" x14ac:dyDescent="0.3">
      <c r="B277" s="562"/>
      <c r="C277" s="563"/>
      <c r="D277" s="425"/>
      <c r="E277" s="250" t="str">
        <f t="shared" si="42"/>
        <v/>
      </c>
      <c r="F277" s="556"/>
      <c r="G277" s="252" t="str">
        <f>IFERROR(VLOOKUP(F277,'Data (hidden)'!N:O,2,FALSE),"")</f>
        <v/>
      </c>
      <c r="H277" s="557"/>
      <c r="I277" s="558"/>
      <c r="J277" s="123">
        <f t="shared" si="45"/>
        <v>0</v>
      </c>
      <c r="K277" s="123" t="e">
        <f t="shared" si="46"/>
        <v>#VALUE!</v>
      </c>
      <c r="L277" s="123">
        <f t="shared" si="43"/>
        <v>0</v>
      </c>
      <c r="M277" s="124" t="str">
        <f t="shared" si="44"/>
        <v/>
      </c>
      <c r="N277" s="112"/>
      <c r="O277" s="101"/>
      <c r="P277" s="101"/>
      <c r="Q277" s="101"/>
      <c r="R277" s="102"/>
      <c r="S277" s="102"/>
      <c r="T277" s="102"/>
      <c r="U277" s="103"/>
      <c r="V277" s="100"/>
      <c r="W277" s="101"/>
      <c r="X277" s="113"/>
      <c r="Y277" s="114"/>
      <c r="Z277" s="102"/>
      <c r="AA277" s="101"/>
      <c r="AB277" s="111"/>
      <c r="AE277" s="187"/>
      <c r="AF277" s="185"/>
      <c r="AG277" s="185" t="str">
        <f t="shared" si="47"/>
        <v/>
      </c>
      <c r="AH277" s="186" t="str">
        <f t="shared" si="48"/>
        <v/>
      </c>
      <c r="AI277" s="185"/>
      <c r="AJ277" s="188"/>
      <c r="CC277" s="562"/>
      <c r="CD277" s="425"/>
    </row>
    <row r="278" spans="2:82" ht="30" customHeight="1" x14ac:dyDescent="0.3">
      <c r="B278" s="562"/>
      <c r="C278" s="563"/>
      <c r="D278" s="425"/>
      <c r="E278" s="250" t="str">
        <f t="shared" si="42"/>
        <v/>
      </c>
      <c r="F278" s="556"/>
      <c r="G278" s="252" t="str">
        <f>IFERROR(VLOOKUP(F278,'Data (hidden)'!N:O,2,FALSE),"")</f>
        <v/>
      </c>
      <c r="H278" s="557"/>
      <c r="I278" s="558"/>
      <c r="J278" s="123">
        <f t="shared" si="45"/>
        <v>0</v>
      </c>
      <c r="K278" s="123" t="e">
        <f t="shared" si="46"/>
        <v>#VALUE!</v>
      </c>
      <c r="L278" s="123">
        <f t="shared" si="43"/>
        <v>0</v>
      </c>
      <c r="M278" s="124" t="str">
        <f t="shared" si="44"/>
        <v/>
      </c>
      <c r="N278" s="112"/>
      <c r="O278" s="101"/>
      <c r="P278" s="101"/>
      <c r="Q278" s="101"/>
      <c r="R278" s="102"/>
      <c r="S278" s="102"/>
      <c r="T278" s="102"/>
      <c r="U278" s="103"/>
      <c r="V278" s="100"/>
      <c r="W278" s="101"/>
      <c r="X278" s="113"/>
      <c r="Y278" s="114"/>
      <c r="Z278" s="102"/>
      <c r="AA278" s="101"/>
      <c r="AB278" s="111"/>
      <c r="AE278" s="187"/>
      <c r="AF278" s="185"/>
      <c r="AG278" s="185" t="str">
        <f t="shared" si="47"/>
        <v/>
      </c>
      <c r="AH278" s="186" t="str">
        <f t="shared" si="48"/>
        <v/>
      </c>
      <c r="AI278" s="185"/>
      <c r="AJ278" s="188"/>
      <c r="CC278" s="562"/>
      <c r="CD278" s="425"/>
    </row>
    <row r="279" spans="2:82" ht="30" customHeight="1" x14ac:dyDescent="0.3">
      <c r="B279" s="562"/>
      <c r="C279" s="563"/>
      <c r="D279" s="425"/>
      <c r="E279" s="250" t="str">
        <f t="shared" si="42"/>
        <v/>
      </c>
      <c r="F279" s="556"/>
      <c r="G279" s="252" t="str">
        <f>IFERROR(VLOOKUP(F279,'Data (hidden)'!N:O,2,FALSE),"")</f>
        <v/>
      </c>
      <c r="H279" s="557"/>
      <c r="I279" s="558"/>
      <c r="J279" s="123">
        <f t="shared" si="45"/>
        <v>0</v>
      </c>
      <c r="K279" s="123" t="e">
        <f t="shared" si="46"/>
        <v>#VALUE!</v>
      </c>
      <c r="L279" s="123">
        <f t="shared" si="43"/>
        <v>0</v>
      </c>
      <c r="M279" s="124" t="str">
        <f t="shared" si="44"/>
        <v/>
      </c>
      <c r="N279" s="112"/>
      <c r="O279" s="101"/>
      <c r="P279" s="101"/>
      <c r="Q279" s="101"/>
      <c r="R279" s="102"/>
      <c r="S279" s="102"/>
      <c r="T279" s="102"/>
      <c r="U279" s="103"/>
      <c r="V279" s="100"/>
      <c r="W279" s="101"/>
      <c r="X279" s="113"/>
      <c r="Y279" s="114"/>
      <c r="Z279" s="102"/>
      <c r="AA279" s="101"/>
      <c r="AB279" s="111"/>
      <c r="AE279" s="187"/>
      <c r="AF279" s="185"/>
      <c r="AG279" s="185" t="str">
        <f t="shared" si="47"/>
        <v/>
      </c>
      <c r="AH279" s="186" t="str">
        <f t="shared" si="48"/>
        <v/>
      </c>
      <c r="AI279" s="185"/>
      <c r="AJ279" s="188"/>
      <c r="CC279" s="562"/>
      <c r="CD279" s="425"/>
    </row>
    <row r="280" spans="2:82" ht="30" customHeight="1" x14ac:dyDescent="0.3">
      <c r="B280" s="562"/>
      <c r="C280" s="563"/>
      <c r="D280" s="425"/>
      <c r="E280" s="250" t="str">
        <f t="shared" si="42"/>
        <v/>
      </c>
      <c r="F280" s="556"/>
      <c r="G280" s="252" t="str">
        <f>IFERROR(VLOOKUP(F280,'Data (hidden)'!N:O,2,FALSE),"")</f>
        <v/>
      </c>
      <c r="H280" s="557"/>
      <c r="I280" s="558"/>
      <c r="J280" s="123">
        <f t="shared" si="45"/>
        <v>0</v>
      </c>
      <c r="K280" s="123" t="e">
        <f t="shared" si="46"/>
        <v>#VALUE!</v>
      </c>
      <c r="L280" s="123">
        <f t="shared" si="43"/>
        <v>0</v>
      </c>
      <c r="M280" s="124" t="str">
        <f t="shared" si="44"/>
        <v/>
      </c>
      <c r="N280" s="112"/>
      <c r="O280" s="101"/>
      <c r="P280" s="101"/>
      <c r="Q280" s="101"/>
      <c r="R280" s="102"/>
      <c r="S280" s="102"/>
      <c r="T280" s="102"/>
      <c r="U280" s="103"/>
      <c r="V280" s="100"/>
      <c r="W280" s="101"/>
      <c r="X280" s="113"/>
      <c r="Y280" s="114"/>
      <c r="Z280" s="102"/>
      <c r="AA280" s="101"/>
      <c r="AB280" s="111"/>
      <c r="AE280" s="187"/>
      <c r="AF280" s="185"/>
      <c r="AG280" s="185" t="str">
        <f t="shared" si="47"/>
        <v/>
      </c>
      <c r="AH280" s="186" t="str">
        <f t="shared" si="48"/>
        <v/>
      </c>
      <c r="AI280" s="185"/>
      <c r="AJ280" s="188"/>
      <c r="CC280" s="562"/>
      <c r="CD280" s="425"/>
    </row>
    <row r="281" spans="2:82" ht="30" customHeight="1" x14ac:dyDescent="0.3">
      <c r="B281" s="562"/>
      <c r="C281" s="563"/>
      <c r="D281" s="425"/>
      <c r="E281" s="250" t="str">
        <f t="shared" si="42"/>
        <v/>
      </c>
      <c r="F281" s="556"/>
      <c r="G281" s="252" t="str">
        <f>IFERROR(VLOOKUP(F281,'Data (hidden)'!N:O,2,FALSE),"")</f>
        <v/>
      </c>
      <c r="H281" s="557"/>
      <c r="I281" s="558"/>
      <c r="J281" s="123">
        <f t="shared" si="45"/>
        <v>0</v>
      </c>
      <c r="K281" s="123" t="e">
        <f t="shared" si="46"/>
        <v>#VALUE!</v>
      </c>
      <c r="L281" s="123">
        <f t="shared" si="43"/>
        <v>0</v>
      </c>
      <c r="M281" s="124" t="str">
        <f t="shared" si="44"/>
        <v/>
      </c>
      <c r="N281" s="112"/>
      <c r="O281" s="101"/>
      <c r="P281" s="101"/>
      <c r="Q281" s="101"/>
      <c r="R281" s="102"/>
      <c r="S281" s="102"/>
      <c r="T281" s="102"/>
      <c r="U281" s="103"/>
      <c r="V281" s="100"/>
      <c r="W281" s="101"/>
      <c r="X281" s="113"/>
      <c r="Y281" s="114"/>
      <c r="Z281" s="102"/>
      <c r="AA281" s="101"/>
      <c r="AB281" s="111"/>
      <c r="AE281" s="187"/>
      <c r="AF281" s="185"/>
      <c r="AG281" s="185" t="str">
        <f t="shared" si="47"/>
        <v/>
      </c>
      <c r="AH281" s="186" t="str">
        <f t="shared" si="48"/>
        <v/>
      </c>
      <c r="AI281" s="185"/>
      <c r="AJ281" s="188"/>
      <c r="CC281" s="562"/>
      <c r="CD281" s="425"/>
    </row>
    <row r="282" spans="2:82" ht="30" customHeight="1" x14ac:dyDescent="0.3">
      <c r="B282" s="562"/>
      <c r="C282" s="563"/>
      <c r="D282" s="425"/>
      <c r="E282" s="250" t="str">
        <f t="shared" si="42"/>
        <v/>
      </c>
      <c r="F282" s="556"/>
      <c r="G282" s="252" t="str">
        <f>IFERROR(VLOOKUP(F282,'Data (hidden)'!N:O,2,FALSE),"")</f>
        <v/>
      </c>
      <c r="H282" s="557"/>
      <c r="I282" s="558"/>
      <c r="J282" s="123">
        <f t="shared" si="45"/>
        <v>0</v>
      </c>
      <c r="K282" s="123" t="e">
        <f t="shared" si="46"/>
        <v>#VALUE!</v>
      </c>
      <c r="L282" s="123">
        <f t="shared" si="43"/>
        <v>0</v>
      </c>
      <c r="M282" s="124" t="str">
        <f t="shared" si="44"/>
        <v/>
      </c>
      <c r="N282" s="112"/>
      <c r="O282" s="101"/>
      <c r="P282" s="101"/>
      <c r="Q282" s="101"/>
      <c r="R282" s="102"/>
      <c r="S282" s="102"/>
      <c r="T282" s="102"/>
      <c r="U282" s="103"/>
      <c r="V282" s="100"/>
      <c r="W282" s="101"/>
      <c r="X282" s="113"/>
      <c r="Y282" s="114"/>
      <c r="Z282" s="102"/>
      <c r="AA282" s="101"/>
      <c r="AB282" s="111"/>
      <c r="AE282" s="187"/>
      <c r="AF282" s="185"/>
      <c r="AG282" s="185" t="str">
        <f t="shared" si="47"/>
        <v/>
      </c>
      <c r="AH282" s="186" t="str">
        <f t="shared" si="48"/>
        <v/>
      </c>
      <c r="AI282" s="185"/>
      <c r="AJ282" s="188"/>
      <c r="CC282" s="562"/>
      <c r="CD282" s="425"/>
    </row>
    <row r="283" spans="2:82" ht="30" customHeight="1" x14ac:dyDescent="0.3">
      <c r="B283" s="562"/>
      <c r="C283" s="563"/>
      <c r="D283" s="425"/>
      <c r="E283" s="250" t="str">
        <f t="shared" si="42"/>
        <v/>
      </c>
      <c r="F283" s="556"/>
      <c r="G283" s="252" t="str">
        <f>IFERROR(VLOOKUP(F283,'Data (hidden)'!N:O,2,FALSE),"")</f>
        <v/>
      </c>
      <c r="H283" s="557"/>
      <c r="I283" s="558"/>
      <c r="J283" s="123">
        <f t="shared" si="45"/>
        <v>0</v>
      </c>
      <c r="K283" s="123" t="e">
        <f t="shared" si="46"/>
        <v>#VALUE!</v>
      </c>
      <c r="L283" s="123">
        <f t="shared" si="43"/>
        <v>0</v>
      </c>
      <c r="M283" s="124" t="str">
        <f t="shared" si="44"/>
        <v/>
      </c>
      <c r="N283" s="112"/>
      <c r="O283" s="101"/>
      <c r="P283" s="101"/>
      <c r="Q283" s="101"/>
      <c r="R283" s="102"/>
      <c r="S283" s="102"/>
      <c r="T283" s="102"/>
      <c r="U283" s="103"/>
      <c r="V283" s="100"/>
      <c r="W283" s="101"/>
      <c r="X283" s="113"/>
      <c r="Y283" s="114"/>
      <c r="Z283" s="102"/>
      <c r="AA283" s="101"/>
      <c r="AB283" s="111"/>
      <c r="AE283" s="187"/>
      <c r="AF283" s="185"/>
      <c r="AG283" s="185" t="str">
        <f t="shared" si="47"/>
        <v/>
      </c>
      <c r="AH283" s="186" t="str">
        <f t="shared" si="48"/>
        <v/>
      </c>
      <c r="AI283" s="185"/>
      <c r="AJ283" s="188"/>
      <c r="CC283" s="562"/>
      <c r="CD283" s="425"/>
    </row>
    <row r="284" spans="2:82" ht="30" customHeight="1" x14ac:dyDescent="0.3">
      <c r="B284" s="562"/>
      <c r="C284" s="563"/>
      <c r="D284" s="425"/>
      <c r="E284" s="250" t="str">
        <f t="shared" si="42"/>
        <v/>
      </c>
      <c r="F284" s="556"/>
      <c r="G284" s="252" t="str">
        <f>IFERROR(VLOOKUP(F284,'Data (hidden)'!N:O,2,FALSE),"")</f>
        <v/>
      </c>
      <c r="H284" s="557"/>
      <c r="I284" s="558"/>
      <c r="J284" s="123">
        <f t="shared" si="45"/>
        <v>0</v>
      </c>
      <c r="K284" s="123" t="e">
        <f t="shared" si="46"/>
        <v>#VALUE!</v>
      </c>
      <c r="L284" s="123">
        <f t="shared" si="43"/>
        <v>0</v>
      </c>
      <c r="M284" s="124" t="str">
        <f t="shared" si="44"/>
        <v/>
      </c>
      <c r="N284" s="112"/>
      <c r="O284" s="101"/>
      <c r="P284" s="101"/>
      <c r="Q284" s="101"/>
      <c r="R284" s="102"/>
      <c r="S284" s="102"/>
      <c r="T284" s="102"/>
      <c r="U284" s="103"/>
      <c r="V284" s="100"/>
      <c r="W284" s="101"/>
      <c r="X284" s="113"/>
      <c r="Y284" s="114"/>
      <c r="Z284" s="102"/>
      <c r="AA284" s="101"/>
      <c r="AB284" s="111"/>
      <c r="AE284" s="187"/>
      <c r="AF284" s="185"/>
      <c r="AG284" s="185" t="str">
        <f t="shared" si="47"/>
        <v/>
      </c>
      <c r="AH284" s="186" t="str">
        <f t="shared" si="48"/>
        <v/>
      </c>
      <c r="AI284" s="185"/>
      <c r="AJ284" s="188"/>
      <c r="CC284" s="562"/>
      <c r="CD284" s="425"/>
    </row>
    <row r="285" spans="2:82" ht="30" customHeight="1" x14ac:dyDescent="0.3">
      <c r="B285" s="562"/>
      <c r="C285" s="563"/>
      <c r="D285" s="425"/>
      <c r="E285" s="250" t="str">
        <f t="shared" si="42"/>
        <v/>
      </c>
      <c r="F285" s="556"/>
      <c r="G285" s="252" t="str">
        <f>IFERROR(VLOOKUP(F285,'Data (hidden)'!N:O,2,FALSE),"")</f>
        <v/>
      </c>
      <c r="H285" s="557"/>
      <c r="I285" s="558"/>
      <c r="J285" s="123">
        <f t="shared" si="45"/>
        <v>0</v>
      </c>
      <c r="K285" s="123" t="e">
        <f t="shared" si="46"/>
        <v>#VALUE!</v>
      </c>
      <c r="L285" s="123">
        <f t="shared" si="43"/>
        <v>0</v>
      </c>
      <c r="M285" s="124" t="str">
        <f t="shared" si="44"/>
        <v/>
      </c>
      <c r="N285" s="112"/>
      <c r="O285" s="101"/>
      <c r="P285" s="101"/>
      <c r="Q285" s="101"/>
      <c r="R285" s="102"/>
      <c r="S285" s="102"/>
      <c r="T285" s="102"/>
      <c r="U285" s="103"/>
      <c r="V285" s="100"/>
      <c r="W285" s="101"/>
      <c r="X285" s="113"/>
      <c r="Y285" s="114"/>
      <c r="Z285" s="102"/>
      <c r="AA285" s="101"/>
      <c r="AB285" s="111"/>
      <c r="AE285" s="187"/>
      <c r="AF285" s="185"/>
      <c r="AG285" s="185" t="str">
        <f t="shared" si="47"/>
        <v/>
      </c>
      <c r="AH285" s="186" t="str">
        <f t="shared" si="48"/>
        <v/>
      </c>
      <c r="AI285" s="185"/>
      <c r="AJ285" s="188"/>
      <c r="CC285" s="562"/>
      <c r="CD285" s="425"/>
    </row>
    <row r="286" spans="2:82" ht="30" customHeight="1" x14ac:dyDescent="0.3">
      <c r="B286" s="562"/>
      <c r="C286" s="563"/>
      <c r="D286" s="425"/>
      <c r="E286" s="250" t="str">
        <f t="shared" si="42"/>
        <v/>
      </c>
      <c r="F286" s="556"/>
      <c r="G286" s="252" t="str">
        <f>IFERROR(VLOOKUP(F286,'Data (hidden)'!N:O,2,FALSE),"")</f>
        <v/>
      </c>
      <c r="H286" s="557"/>
      <c r="I286" s="558"/>
      <c r="J286" s="123">
        <f t="shared" si="45"/>
        <v>0</v>
      </c>
      <c r="K286" s="123" t="e">
        <f t="shared" si="46"/>
        <v>#VALUE!</v>
      </c>
      <c r="L286" s="123">
        <f t="shared" si="43"/>
        <v>0</v>
      </c>
      <c r="M286" s="124" t="str">
        <f t="shared" si="44"/>
        <v/>
      </c>
      <c r="N286" s="112"/>
      <c r="O286" s="101"/>
      <c r="P286" s="101"/>
      <c r="Q286" s="101"/>
      <c r="R286" s="102"/>
      <c r="S286" s="102"/>
      <c r="T286" s="102"/>
      <c r="U286" s="103"/>
      <c r="V286" s="100"/>
      <c r="W286" s="101"/>
      <c r="X286" s="113"/>
      <c r="Y286" s="114"/>
      <c r="Z286" s="102"/>
      <c r="AA286" s="101"/>
      <c r="AB286" s="111"/>
      <c r="AE286" s="187"/>
      <c r="AF286" s="185"/>
      <c r="AG286" s="185" t="str">
        <f t="shared" si="47"/>
        <v/>
      </c>
      <c r="AH286" s="186" t="str">
        <f t="shared" si="48"/>
        <v/>
      </c>
      <c r="AI286" s="185"/>
      <c r="AJ286" s="188"/>
      <c r="CC286" s="562"/>
      <c r="CD286" s="425"/>
    </row>
    <row r="287" spans="2:82" ht="30" customHeight="1" x14ac:dyDescent="0.3">
      <c r="B287" s="562"/>
      <c r="C287" s="563"/>
      <c r="D287" s="425"/>
      <c r="E287" s="250" t="str">
        <f t="shared" si="42"/>
        <v/>
      </c>
      <c r="F287" s="556"/>
      <c r="G287" s="252" t="str">
        <f>IFERROR(VLOOKUP(F287,'Data (hidden)'!N:O,2,FALSE),"")</f>
        <v/>
      </c>
      <c r="H287" s="557"/>
      <c r="I287" s="558"/>
      <c r="J287" s="123">
        <f t="shared" si="45"/>
        <v>0</v>
      </c>
      <c r="K287" s="123" t="e">
        <f t="shared" si="46"/>
        <v>#VALUE!</v>
      </c>
      <c r="L287" s="123">
        <f t="shared" si="43"/>
        <v>0</v>
      </c>
      <c r="M287" s="124" t="str">
        <f t="shared" si="44"/>
        <v/>
      </c>
      <c r="N287" s="112"/>
      <c r="O287" s="101"/>
      <c r="P287" s="101"/>
      <c r="Q287" s="101"/>
      <c r="R287" s="102"/>
      <c r="S287" s="102"/>
      <c r="T287" s="102"/>
      <c r="U287" s="103"/>
      <c r="V287" s="100"/>
      <c r="W287" s="101"/>
      <c r="X287" s="113"/>
      <c r="Y287" s="114"/>
      <c r="Z287" s="102"/>
      <c r="AA287" s="101"/>
      <c r="AB287" s="111"/>
      <c r="AE287" s="187"/>
      <c r="AF287" s="185"/>
      <c r="AG287" s="185" t="str">
        <f t="shared" si="47"/>
        <v/>
      </c>
      <c r="AH287" s="186" t="str">
        <f t="shared" si="48"/>
        <v/>
      </c>
      <c r="AI287" s="185"/>
      <c r="AJ287" s="188"/>
      <c r="CC287" s="562"/>
      <c r="CD287" s="425"/>
    </row>
    <row r="288" spans="2:82" ht="30" customHeight="1" x14ac:dyDescent="0.3">
      <c r="B288" s="562"/>
      <c r="C288" s="563"/>
      <c r="D288" s="425"/>
      <c r="E288" s="250" t="str">
        <f t="shared" si="42"/>
        <v/>
      </c>
      <c r="F288" s="556"/>
      <c r="G288" s="252" t="str">
        <f>IFERROR(VLOOKUP(F288,'Data (hidden)'!N:O,2,FALSE),"")</f>
        <v/>
      </c>
      <c r="H288" s="557"/>
      <c r="I288" s="558"/>
      <c r="J288" s="123">
        <f t="shared" si="45"/>
        <v>0</v>
      </c>
      <c r="K288" s="123" t="e">
        <f t="shared" si="46"/>
        <v>#VALUE!</v>
      </c>
      <c r="L288" s="123">
        <f t="shared" si="43"/>
        <v>0</v>
      </c>
      <c r="M288" s="124" t="str">
        <f t="shared" si="44"/>
        <v/>
      </c>
      <c r="N288" s="112"/>
      <c r="O288" s="101"/>
      <c r="P288" s="101"/>
      <c r="Q288" s="101"/>
      <c r="R288" s="102"/>
      <c r="S288" s="102"/>
      <c r="T288" s="102"/>
      <c r="U288" s="103"/>
      <c r="V288" s="100"/>
      <c r="W288" s="101"/>
      <c r="X288" s="113"/>
      <c r="Y288" s="114"/>
      <c r="Z288" s="102"/>
      <c r="AA288" s="101"/>
      <c r="AB288" s="111"/>
      <c r="AE288" s="187"/>
      <c r="AF288" s="185"/>
      <c r="AG288" s="185" t="str">
        <f t="shared" si="47"/>
        <v/>
      </c>
      <c r="AH288" s="186" t="str">
        <f t="shared" si="48"/>
        <v/>
      </c>
      <c r="AI288" s="185"/>
      <c r="AJ288" s="188"/>
      <c r="CC288" s="562"/>
      <c r="CD288" s="425"/>
    </row>
    <row r="289" spans="2:82" ht="30" customHeight="1" x14ac:dyDescent="0.3">
      <c r="B289" s="562"/>
      <c r="C289" s="563"/>
      <c r="D289" s="425"/>
      <c r="E289" s="250" t="str">
        <f t="shared" si="42"/>
        <v/>
      </c>
      <c r="F289" s="556"/>
      <c r="G289" s="252" t="str">
        <f>IFERROR(VLOOKUP(F289,'Data (hidden)'!N:O,2,FALSE),"")</f>
        <v/>
      </c>
      <c r="H289" s="557"/>
      <c r="I289" s="558"/>
      <c r="J289" s="123">
        <f t="shared" si="45"/>
        <v>0</v>
      </c>
      <c r="K289" s="123" t="e">
        <f t="shared" si="46"/>
        <v>#VALUE!</v>
      </c>
      <c r="L289" s="123">
        <f t="shared" si="43"/>
        <v>0</v>
      </c>
      <c r="M289" s="124" t="str">
        <f t="shared" si="44"/>
        <v/>
      </c>
      <c r="N289" s="112"/>
      <c r="O289" s="101"/>
      <c r="P289" s="101"/>
      <c r="Q289" s="101"/>
      <c r="R289" s="102"/>
      <c r="S289" s="102"/>
      <c r="T289" s="102"/>
      <c r="U289" s="103"/>
      <c r="V289" s="100"/>
      <c r="W289" s="101"/>
      <c r="X289" s="113"/>
      <c r="Y289" s="114"/>
      <c r="Z289" s="102"/>
      <c r="AA289" s="101"/>
      <c r="AB289" s="111"/>
      <c r="AE289" s="187"/>
      <c r="AF289" s="185"/>
      <c r="AG289" s="185" t="str">
        <f t="shared" si="47"/>
        <v/>
      </c>
      <c r="AH289" s="186" t="str">
        <f t="shared" si="48"/>
        <v/>
      </c>
      <c r="AI289" s="185"/>
      <c r="AJ289" s="188"/>
      <c r="CC289" s="562"/>
      <c r="CD289" s="425"/>
    </row>
    <row r="290" spans="2:82" ht="30" customHeight="1" x14ac:dyDescent="0.3">
      <c r="B290" s="562"/>
      <c r="C290" s="563"/>
      <c r="D290" s="425"/>
      <c r="E290" s="250" t="str">
        <f t="shared" si="42"/>
        <v/>
      </c>
      <c r="F290" s="556"/>
      <c r="G290" s="252" t="str">
        <f>IFERROR(VLOOKUP(F290,'Data (hidden)'!N:O,2,FALSE),"")</f>
        <v/>
      </c>
      <c r="H290" s="557"/>
      <c r="I290" s="558"/>
      <c r="J290" s="123">
        <f t="shared" si="45"/>
        <v>0</v>
      </c>
      <c r="K290" s="123" t="e">
        <f t="shared" si="46"/>
        <v>#VALUE!</v>
      </c>
      <c r="L290" s="123">
        <f t="shared" si="43"/>
        <v>0</v>
      </c>
      <c r="M290" s="124" t="str">
        <f t="shared" si="44"/>
        <v/>
      </c>
      <c r="N290" s="112"/>
      <c r="O290" s="101"/>
      <c r="P290" s="101"/>
      <c r="Q290" s="101"/>
      <c r="R290" s="102"/>
      <c r="S290" s="102"/>
      <c r="T290" s="102"/>
      <c r="U290" s="103"/>
      <c r="V290" s="100"/>
      <c r="W290" s="101"/>
      <c r="X290" s="113"/>
      <c r="Y290" s="114"/>
      <c r="Z290" s="102"/>
      <c r="AA290" s="101"/>
      <c r="AB290" s="111"/>
      <c r="AE290" s="187"/>
      <c r="AF290" s="185"/>
      <c r="AG290" s="185" t="str">
        <f t="shared" si="47"/>
        <v/>
      </c>
      <c r="AH290" s="186" t="str">
        <f t="shared" si="48"/>
        <v/>
      </c>
      <c r="AI290" s="185"/>
      <c r="AJ290" s="188"/>
      <c r="CC290" s="562"/>
      <c r="CD290" s="425"/>
    </row>
    <row r="291" spans="2:82" ht="30" customHeight="1" x14ac:dyDescent="0.3">
      <c r="B291" s="562"/>
      <c r="C291" s="563"/>
      <c r="D291" s="425"/>
      <c r="E291" s="250" t="str">
        <f t="shared" si="42"/>
        <v/>
      </c>
      <c r="F291" s="556"/>
      <c r="G291" s="252" t="str">
        <f>IFERROR(VLOOKUP(F291,'Data (hidden)'!N:O,2,FALSE),"")</f>
        <v/>
      </c>
      <c r="H291" s="557"/>
      <c r="I291" s="558"/>
      <c r="J291" s="123">
        <f t="shared" si="45"/>
        <v>0</v>
      </c>
      <c r="K291" s="123" t="e">
        <f t="shared" si="46"/>
        <v>#VALUE!</v>
      </c>
      <c r="L291" s="123">
        <f t="shared" si="43"/>
        <v>0</v>
      </c>
      <c r="M291" s="124" t="str">
        <f t="shared" si="44"/>
        <v/>
      </c>
      <c r="N291" s="112"/>
      <c r="O291" s="101"/>
      <c r="P291" s="101"/>
      <c r="Q291" s="101"/>
      <c r="R291" s="102"/>
      <c r="S291" s="102"/>
      <c r="T291" s="102"/>
      <c r="U291" s="103"/>
      <c r="V291" s="100"/>
      <c r="W291" s="101"/>
      <c r="X291" s="113"/>
      <c r="Y291" s="114"/>
      <c r="Z291" s="102"/>
      <c r="AA291" s="101"/>
      <c r="AB291" s="111"/>
      <c r="AE291" s="187"/>
      <c r="AF291" s="185"/>
      <c r="AG291" s="185" t="str">
        <f t="shared" si="47"/>
        <v/>
      </c>
      <c r="AH291" s="186" t="str">
        <f t="shared" si="48"/>
        <v/>
      </c>
      <c r="AI291" s="185"/>
      <c r="AJ291" s="188"/>
      <c r="CC291" s="562"/>
      <c r="CD291" s="425"/>
    </row>
    <row r="292" spans="2:82" ht="30" customHeight="1" x14ac:dyDescent="0.3">
      <c r="B292" s="562"/>
      <c r="C292" s="563"/>
      <c r="D292" s="425"/>
      <c r="E292" s="250" t="str">
        <f t="shared" si="42"/>
        <v/>
      </c>
      <c r="F292" s="556"/>
      <c r="G292" s="252" t="str">
        <f>IFERROR(VLOOKUP(F292,'Data (hidden)'!N:O,2,FALSE),"")</f>
        <v/>
      </c>
      <c r="H292" s="557"/>
      <c r="I292" s="558"/>
      <c r="J292" s="123">
        <f t="shared" si="45"/>
        <v>0</v>
      </c>
      <c r="K292" s="123" t="e">
        <f t="shared" si="46"/>
        <v>#VALUE!</v>
      </c>
      <c r="L292" s="123">
        <f t="shared" si="43"/>
        <v>0</v>
      </c>
      <c r="M292" s="124" t="str">
        <f t="shared" si="44"/>
        <v/>
      </c>
      <c r="N292" s="112"/>
      <c r="O292" s="101"/>
      <c r="P292" s="101"/>
      <c r="Q292" s="101"/>
      <c r="R292" s="102"/>
      <c r="S292" s="102"/>
      <c r="T292" s="102"/>
      <c r="U292" s="103"/>
      <c r="V292" s="100"/>
      <c r="W292" s="101"/>
      <c r="X292" s="113"/>
      <c r="Y292" s="114"/>
      <c r="Z292" s="102"/>
      <c r="AA292" s="101"/>
      <c r="AB292" s="111"/>
      <c r="AE292" s="187"/>
      <c r="AF292" s="185"/>
      <c r="AG292" s="185" t="str">
        <f t="shared" si="47"/>
        <v/>
      </c>
      <c r="AH292" s="186" t="str">
        <f t="shared" si="48"/>
        <v/>
      </c>
      <c r="AI292" s="185"/>
      <c r="AJ292" s="188"/>
      <c r="CC292" s="562"/>
      <c r="CD292" s="425"/>
    </row>
    <row r="293" spans="2:82" ht="30" customHeight="1" x14ac:dyDescent="0.3">
      <c r="B293" s="562"/>
      <c r="C293" s="563"/>
      <c r="D293" s="425"/>
      <c r="E293" s="250" t="str">
        <f t="shared" si="42"/>
        <v/>
      </c>
      <c r="F293" s="556"/>
      <c r="G293" s="252" t="str">
        <f>IFERROR(VLOOKUP(F293,'Data (hidden)'!N:O,2,FALSE),"")</f>
        <v/>
      </c>
      <c r="H293" s="557"/>
      <c r="I293" s="558"/>
      <c r="J293" s="123">
        <f t="shared" si="45"/>
        <v>0</v>
      </c>
      <c r="K293" s="123" t="e">
        <f t="shared" si="46"/>
        <v>#VALUE!</v>
      </c>
      <c r="L293" s="123">
        <f t="shared" si="43"/>
        <v>0</v>
      </c>
      <c r="M293" s="124" t="str">
        <f t="shared" si="44"/>
        <v/>
      </c>
      <c r="N293" s="112"/>
      <c r="O293" s="101"/>
      <c r="P293" s="101"/>
      <c r="Q293" s="101"/>
      <c r="R293" s="102"/>
      <c r="S293" s="102"/>
      <c r="T293" s="102"/>
      <c r="U293" s="103"/>
      <c r="V293" s="100"/>
      <c r="W293" s="101"/>
      <c r="X293" s="113"/>
      <c r="Y293" s="114"/>
      <c r="Z293" s="102"/>
      <c r="AA293" s="101"/>
      <c r="AB293" s="111"/>
      <c r="AE293" s="187"/>
      <c r="AF293" s="185"/>
      <c r="AG293" s="185" t="str">
        <f t="shared" si="47"/>
        <v/>
      </c>
      <c r="AH293" s="186" t="str">
        <f t="shared" si="48"/>
        <v/>
      </c>
      <c r="AI293" s="185"/>
      <c r="AJ293" s="188"/>
      <c r="CC293" s="562"/>
      <c r="CD293" s="425"/>
    </row>
    <row r="294" spans="2:82" ht="30" customHeight="1" x14ac:dyDescent="0.3">
      <c r="B294" s="562"/>
      <c r="C294" s="563"/>
      <c r="D294" s="425"/>
      <c r="E294" s="250" t="str">
        <f t="shared" si="42"/>
        <v/>
      </c>
      <c r="F294" s="556"/>
      <c r="G294" s="252" t="str">
        <f>IFERROR(VLOOKUP(F294,'Data (hidden)'!N:O,2,FALSE),"")</f>
        <v/>
      </c>
      <c r="H294" s="557"/>
      <c r="I294" s="558"/>
      <c r="J294" s="123">
        <f t="shared" si="45"/>
        <v>0</v>
      </c>
      <c r="K294" s="123" t="e">
        <f t="shared" si="46"/>
        <v>#VALUE!</v>
      </c>
      <c r="L294" s="123">
        <f t="shared" si="43"/>
        <v>0</v>
      </c>
      <c r="M294" s="124" t="str">
        <f t="shared" si="44"/>
        <v/>
      </c>
      <c r="N294" s="112"/>
      <c r="O294" s="101"/>
      <c r="P294" s="101"/>
      <c r="Q294" s="101"/>
      <c r="R294" s="102"/>
      <c r="S294" s="102"/>
      <c r="T294" s="102"/>
      <c r="U294" s="103"/>
      <c r="V294" s="100"/>
      <c r="W294" s="101"/>
      <c r="X294" s="113"/>
      <c r="Y294" s="114"/>
      <c r="Z294" s="102"/>
      <c r="AA294" s="101"/>
      <c r="AB294" s="111"/>
      <c r="AE294" s="187"/>
      <c r="AF294" s="185"/>
      <c r="AG294" s="185" t="str">
        <f t="shared" si="47"/>
        <v/>
      </c>
      <c r="AH294" s="186" t="str">
        <f t="shared" si="48"/>
        <v/>
      </c>
      <c r="AI294" s="185"/>
      <c r="AJ294" s="188"/>
      <c r="CC294" s="562"/>
      <c r="CD294" s="425"/>
    </row>
    <row r="295" spans="2:82" ht="30" customHeight="1" x14ac:dyDescent="0.3">
      <c r="B295" s="562"/>
      <c r="C295" s="563"/>
      <c r="D295" s="425"/>
      <c r="E295" s="250" t="str">
        <f t="shared" si="42"/>
        <v/>
      </c>
      <c r="F295" s="556"/>
      <c r="G295" s="252" t="str">
        <f>IFERROR(VLOOKUP(F295,'Data (hidden)'!N:O,2,FALSE),"")</f>
        <v/>
      </c>
      <c r="H295" s="557"/>
      <c r="I295" s="558"/>
      <c r="J295" s="123">
        <f t="shared" si="45"/>
        <v>0</v>
      </c>
      <c r="K295" s="123" t="e">
        <f t="shared" si="46"/>
        <v>#VALUE!</v>
      </c>
      <c r="L295" s="123">
        <f t="shared" si="43"/>
        <v>0</v>
      </c>
      <c r="M295" s="124" t="str">
        <f t="shared" si="44"/>
        <v/>
      </c>
      <c r="N295" s="112"/>
      <c r="O295" s="101"/>
      <c r="P295" s="101"/>
      <c r="Q295" s="101"/>
      <c r="R295" s="102"/>
      <c r="S295" s="102"/>
      <c r="T295" s="102"/>
      <c r="U295" s="103"/>
      <c r="V295" s="100"/>
      <c r="W295" s="101"/>
      <c r="X295" s="113"/>
      <c r="Y295" s="114"/>
      <c r="Z295" s="102"/>
      <c r="AA295" s="101"/>
      <c r="AB295" s="111"/>
      <c r="AE295" s="187"/>
      <c r="AF295" s="185"/>
      <c r="AG295" s="185" t="str">
        <f t="shared" si="47"/>
        <v/>
      </c>
      <c r="AH295" s="186" t="str">
        <f t="shared" si="48"/>
        <v/>
      </c>
      <c r="AI295" s="185"/>
      <c r="AJ295" s="188"/>
      <c r="CC295" s="562"/>
      <c r="CD295" s="425"/>
    </row>
    <row r="296" spans="2:82" ht="30" customHeight="1" x14ac:dyDescent="0.3">
      <c r="B296" s="562"/>
      <c r="C296" s="563"/>
      <c r="D296" s="425"/>
      <c r="E296" s="250" t="str">
        <f t="shared" si="42"/>
        <v/>
      </c>
      <c r="F296" s="556"/>
      <c r="G296" s="252" t="str">
        <f>IFERROR(VLOOKUP(F296,'Data (hidden)'!N:O,2,FALSE),"")</f>
        <v/>
      </c>
      <c r="H296" s="557"/>
      <c r="I296" s="558"/>
      <c r="J296" s="123">
        <f t="shared" si="45"/>
        <v>0</v>
      </c>
      <c r="K296" s="123" t="e">
        <f t="shared" si="46"/>
        <v>#VALUE!</v>
      </c>
      <c r="L296" s="123">
        <f t="shared" si="43"/>
        <v>0</v>
      </c>
      <c r="M296" s="124" t="str">
        <f t="shared" si="44"/>
        <v/>
      </c>
      <c r="N296" s="112"/>
      <c r="O296" s="101"/>
      <c r="P296" s="101"/>
      <c r="Q296" s="101"/>
      <c r="R296" s="102"/>
      <c r="S296" s="102"/>
      <c r="T296" s="102"/>
      <c r="U296" s="103"/>
      <c r="V296" s="100"/>
      <c r="W296" s="101"/>
      <c r="X296" s="113"/>
      <c r="Y296" s="114"/>
      <c r="Z296" s="102"/>
      <c r="AA296" s="101"/>
      <c r="AB296" s="111"/>
      <c r="AE296" s="187"/>
      <c r="AF296" s="185"/>
      <c r="AG296" s="185" t="str">
        <f t="shared" si="47"/>
        <v/>
      </c>
      <c r="AH296" s="186" t="str">
        <f t="shared" si="48"/>
        <v/>
      </c>
      <c r="AI296" s="185"/>
      <c r="AJ296" s="188"/>
      <c r="CC296" s="562"/>
      <c r="CD296" s="425"/>
    </row>
    <row r="297" spans="2:82" ht="30" customHeight="1" x14ac:dyDescent="0.3">
      <c r="B297" s="562"/>
      <c r="C297" s="563"/>
      <c r="D297" s="425"/>
      <c r="E297" s="250" t="str">
        <f t="shared" si="42"/>
        <v/>
      </c>
      <c r="F297" s="556"/>
      <c r="G297" s="252" t="str">
        <f>IFERROR(VLOOKUP(F297,'Data (hidden)'!N:O,2,FALSE),"")</f>
        <v/>
      </c>
      <c r="H297" s="557"/>
      <c r="I297" s="558"/>
      <c r="J297" s="123">
        <f t="shared" si="45"/>
        <v>0</v>
      </c>
      <c r="K297" s="123" t="e">
        <f t="shared" si="46"/>
        <v>#VALUE!</v>
      </c>
      <c r="L297" s="123">
        <f t="shared" si="43"/>
        <v>0</v>
      </c>
      <c r="M297" s="124" t="str">
        <f t="shared" si="44"/>
        <v/>
      </c>
      <c r="N297" s="112"/>
      <c r="O297" s="101"/>
      <c r="P297" s="101"/>
      <c r="Q297" s="101"/>
      <c r="R297" s="102"/>
      <c r="S297" s="102"/>
      <c r="T297" s="102"/>
      <c r="U297" s="103"/>
      <c r="V297" s="100"/>
      <c r="W297" s="101"/>
      <c r="X297" s="113"/>
      <c r="Y297" s="114"/>
      <c r="Z297" s="102"/>
      <c r="AA297" s="101"/>
      <c r="AB297" s="111"/>
      <c r="AE297" s="187"/>
      <c r="AF297" s="185"/>
      <c r="AG297" s="185" t="str">
        <f t="shared" si="47"/>
        <v/>
      </c>
      <c r="AH297" s="186" t="str">
        <f t="shared" si="48"/>
        <v/>
      </c>
      <c r="AI297" s="185"/>
      <c r="AJ297" s="188"/>
      <c r="CC297" s="562"/>
      <c r="CD297" s="425"/>
    </row>
    <row r="298" spans="2:82" ht="30" customHeight="1" x14ac:dyDescent="0.3">
      <c r="B298" s="562"/>
      <c r="C298" s="563"/>
      <c r="D298" s="425"/>
      <c r="E298" s="250" t="str">
        <f t="shared" si="42"/>
        <v/>
      </c>
      <c r="F298" s="556"/>
      <c r="G298" s="252" t="str">
        <f>IFERROR(VLOOKUP(F298,'Data (hidden)'!N:O,2,FALSE),"")</f>
        <v/>
      </c>
      <c r="H298" s="557"/>
      <c r="I298" s="558"/>
      <c r="J298" s="123">
        <f t="shared" si="45"/>
        <v>0</v>
      </c>
      <c r="K298" s="123" t="e">
        <f t="shared" si="46"/>
        <v>#VALUE!</v>
      </c>
      <c r="L298" s="123">
        <f t="shared" si="43"/>
        <v>0</v>
      </c>
      <c r="M298" s="124" t="str">
        <f t="shared" si="44"/>
        <v/>
      </c>
      <c r="N298" s="112"/>
      <c r="O298" s="101"/>
      <c r="P298" s="101"/>
      <c r="Q298" s="101"/>
      <c r="R298" s="102"/>
      <c r="S298" s="102"/>
      <c r="T298" s="102"/>
      <c r="U298" s="103"/>
      <c r="V298" s="100"/>
      <c r="W298" s="101"/>
      <c r="X298" s="113"/>
      <c r="Y298" s="114"/>
      <c r="Z298" s="102"/>
      <c r="AA298" s="101"/>
      <c r="AB298" s="111"/>
      <c r="AE298" s="187"/>
      <c r="AF298" s="185"/>
      <c r="AG298" s="185" t="str">
        <f t="shared" si="47"/>
        <v/>
      </c>
      <c r="AH298" s="186" t="str">
        <f t="shared" si="48"/>
        <v/>
      </c>
      <c r="AI298" s="185"/>
      <c r="AJ298" s="188"/>
      <c r="CC298" s="562"/>
      <c r="CD298" s="425"/>
    </row>
    <row r="299" spans="2:82" ht="30" customHeight="1" x14ac:dyDescent="0.3">
      <c r="B299" s="562"/>
      <c r="C299" s="563"/>
      <c r="D299" s="425"/>
      <c r="E299" s="250" t="str">
        <f t="shared" si="42"/>
        <v/>
      </c>
      <c r="F299" s="556"/>
      <c r="G299" s="252" t="str">
        <f>IFERROR(VLOOKUP(F299,'Data (hidden)'!N:O,2,FALSE),"")</f>
        <v/>
      </c>
      <c r="H299" s="557"/>
      <c r="I299" s="558"/>
      <c r="J299" s="123">
        <f t="shared" si="45"/>
        <v>0</v>
      </c>
      <c r="K299" s="123" t="e">
        <f t="shared" si="46"/>
        <v>#VALUE!</v>
      </c>
      <c r="L299" s="123">
        <f t="shared" si="43"/>
        <v>0</v>
      </c>
      <c r="M299" s="124" t="str">
        <f t="shared" si="44"/>
        <v/>
      </c>
      <c r="N299" s="112"/>
      <c r="O299" s="101"/>
      <c r="P299" s="101"/>
      <c r="Q299" s="101"/>
      <c r="R299" s="102"/>
      <c r="S299" s="102"/>
      <c r="T299" s="102"/>
      <c r="U299" s="103"/>
      <c r="V299" s="100"/>
      <c r="W299" s="101"/>
      <c r="X299" s="113"/>
      <c r="Y299" s="114"/>
      <c r="Z299" s="102"/>
      <c r="AA299" s="101"/>
      <c r="AB299" s="111"/>
      <c r="AE299" s="187"/>
      <c r="AF299" s="185"/>
      <c r="AG299" s="185" t="str">
        <f t="shared" si="47"/>
        <v/>
      </c>
      <c r="AH299" s="186" t="str">
        <f t="shared" si="48"/>
        <v/>
      </c>
      <c r="AI299" s="185"/>
      <c r="AJ299" s="188"/>
      <c r="CC299" s="562"/>
      <c r="CD299" s="425"/>
    </row>
    <row r="300" spans="2:82" ht="30" customHeight="1" x14ac:dyDescent="0.3">
      <c r="B300" s="562"/>
      <c r="C300" s="563"/>
      <c r="D300" s="425"/>
      <c r="E300" s="250" t="str">
        <f t="shared" si="42"/>
        <v/>
      </c>
      <c r="F300" s="556"/>
      <c r="G300" s="252" t="str">
        <f>IFERROR(VLOOKUP(F300,'Data (hidden)'!N:O,2,FALSE),"")</f>
        <v/>
      </c>
      <c r="H300" s="557"/>
      <c r="I300" s="558"/>
      <c r="J300" s="123">
        <f t="shared" si="45"/>
        <v>0</v>
      </c>
      <c r="K300" s="123" t="e">
        <f t="shared" si="46"/>
        <v>#VALUE!</v>
      </c>
      <c r="L300" s="123">
        <f t="shared" si="43"/>
        <v>0</v>
      </c>
      <c r="M300" s="124" t="str">
        <f t="shared" si="44"/>
        <v/>
      </c>
      <c r="N300" s="112"/>
      <c r="O300" s="101"/>
      <c r="P300" s="101"/>
      <c r="Q300" s="101"/>
      <c r="R300" s="102"/>
      <c r="S300" s="102"/>
      <c r="T300" s="102"/>
      <c r="U300" s="103"/>
      <c r="V300" s="100"/>
      <c r="W300" s="101"/>
      <c r="X300" s="113"/>
      <c r="Y300" s="114"/>
      <c r="Z300" s="102"/>
      <c r="AA300" s="101"/>
      <c r="AB300" s="111"/>
      <c r="AE300" s="187"/>
      <c r="AF300" s="185"/>
      <c r="AG300" s="185" t="str">
        <f t="shared" si="47"/>
        <v/>
      </c>
      <c r="AH300" s="186" t="str">
        <f t="shared" si="48"/>
        <v/>
      </c>
      <c r="AI300" s="185"/>
      <c r="AJ300" s="188"/>
      <c r="CC300" s="562"/>
      <c r="CD300" s="425"/>
    </row>
    <row r="301" spans="2:82" ht="30" customHeight="1" x14ac:dyDescent="0.3">
      <c r="B301" s="562"/>
      <c r="C301" s="563"/>
      <c r="D301" s="425"/>
      <c r="E301" s="250" t="str">
        <f t="shared" si="42"/>
        <v/>
      </c>
      <c r="F301" s="556"/>
      <c r="G301" s="252" t="str">
        <f>IFERROR(VLOOKUP(F301,'Data (hidden)'!N:O,2,FALSE),"")</f>
        <v/>
      </c>
      <c r="H301" s="557"/>
      <c r="I301" s="558"/>
      <c r="J301" s="123">
        <f t="shared" si="45"/>
        <v>0</v>
      </c>
      <c r="K301" s="123" t="e">
        <f t="shared" si="46"/>
        <v>#VALUE!</v>
      </c>
      <c r="L301" s="123">
        <f t="shared" si="43"/>
        <v>0</v>
      </c>
      <c r="M301" s="124" t="str">
        <f t="shared" si="44"/>
        <v/>
      </c>
      <c r="N301" s="112"/>
      <c r="O301" s="101"/>
      <c r="P301" s="101"/>
      <c r="Q301" s="101"/>
      <c r="R301" s="102"/>
      <c r="S301" s="102"/>
      <c r="T301" s="102"/>
      <c r="U301" s="103"/>
      <c r="V301" s="100"/>
      <c r="W301" s="101"/>
      <c r="X301" s="113"/>
      <c r="Y301" s="114"/>
      <c r="Z301" s="102"/>
      <c r="AA301" s="101"/>
      <c r="AB301" s="111"/>
      <c r="AE301" s="187"/>
      <c r="AF301" s="185"/>
      <c r="AG301" s="185" t="str">
        <f t="shared" si="47"/>
        <v/>
      </c>
      <c r="AH301" s="186" t="str">
        <f t="shared" si="48"/>
        <v/>
      </c>
      <c r="AI301" s="185"/>
      <c r="AJ301" s="188"/>
      <c r="CC301" s="562"/>
      <c r="CD301" s="425"/>
    </row>
    <row r="302" spans="2:82" ht="30" customHeight="1" x14ac:dyDescent="0.3">
      <c r="B302" s="562"/>
      <c r="C302" s="563"/>
      <c r="D302" s="425"/>
      <c r="E302" s="250" t="str">
        <f t="shared" si="42"/>
        <v/>
      </c>
      <c r="F302" s="556"/>
      <c r="G302" s="252" t="str">
        <f>IFERROR(VLOOKUP(F302,'Data (hidden)'!N:O,2,FALSE),"")</f>
        <v/>
      </c>
      <c r="H302" s="557"/>
      <c r="I302" s="558"/>
      <c r="J302" s="123">
        <f t="shared" si="45"/>
        <v>0</v>
      </c>
      <c r="K302" s="123" t="e">
        <f t="shared" si="46"/>
        <v>#VALUE!</v>
      </c>
      <c r="L302" s="123">
        <f t="shared" si="43"/>
        <v>0</v>
      </c>
      <c r="M302" s="124" t="str">
        <f t="shared" si="44"/>
        <v/>
      </c>
      <c r="N302" s="112"/>
      <c r="O302" s="101"/>
      <c r="P302" s="101"/>
      <c r="Q302" s="101"/>
      <c r="R302" s="102"/>
      <c r="S302" s="102"/>
      <c r="T302" s="102"/>
      <c r="U302" s="103"/>
      <c r="V302" s="100"/>
      <c r="W302" s="101"/>
      <c r="X302" s="113"/>
      <c r="Y302" s="114"/>
      <c r="Z302" s="102"/>
      <c r="AA302" s="101"/>
      <c r="AB302" s="111"/>
      <c r="AE302" s="187"/>
      <c r="AF302" s="185"/>
      <c r="AG302" s="185" t="str">
        <f t="shared" si="47"/>
        <v/>
      </c>
      <c r="AH302" s="186" t="str">
        <f t="shared" si="48"/>
        <v/>
      </c>
      <c r="AI302" s="185"/>
      <c r="AJ302" s="188"/>
      <c r="CC302" s="562"/>
      <c r="CD302" s="425"/>
    </row>
    <row r="303" spans="2:82" ht="30" customHeight="1" x14ac:dyDescent="0.3">
      <c r="B303" s="562"/>
      <c r="C303" s="563"/>
      <c r="D303" s="425"/>
      <c r="E303" s="250" t="str">
        <f t="shared" si="42"/>
        <v/>
      </c>
      <c r="F303" s="556"/>
      <c r="G303" s="252" t="str">
        <f>IFERROR(VLOOKUP(F303,'Data (hidden)'!N:O,2,FALSE),"")</f>
        <v/>
      </c>
      <c r="H303" s="557"/>
      <c r="I303" s="558"/>
      <c r="J303" s="123">
        <f t="shared" si="45"/>
        <v>0</v>
      </c>
      <c r="K303" s="123" t="e">
        <f t="shared" si="46"/>
        <v>#VALUE!</v>
      </c>
      <c r="L303" s="123">
        <f t="shared" si="43"/>
        <v>0</v>
      </c>
      <c r="M303" s="124" t="str">
        <f t="shared" si="44"/>
        <v/>
      </c>
      <c r="N303" s="112"/>
      <c r="O303" s="101"/>
      <c r="P303" s="101"/>
      <c r="Q303" s="101"/>
      <c r="R303" s="102"/>
      <c r="S303" s="102"/>
      <c r="T303" s="102"/>
      <c r="U303" s="103"/>
      <c r="V303" s="100"/>
      <c r="W303" s="101"/>
      <c r="X303" s="113"/>
      <c r="Y303" s="114"/>
      <c r="Z303" s="102"/>
      <c r="AA303" s="101"/>
      <c r="AB303" s="111"/>
      <c r="AE303" s="187"/>
      <c r="AF303" s="185"/>
      <c r="AG303" s="185" t="str">
        <f t="shared" si="47"/>
        <v/>
      </c>
      <c r="AH303" s="186" t="str">
        <f t="shared" si="48"/>
        <v/>
      </c>
      <c r="AI303" s="185"/>
      <c r="AJ303" s="188"/>
      <c r="CC303" s="562"/>
      <c r="CD303" s="425"/>
    </row>
    <row r="304" spans="2:82" ht="30" customHeight="1" x14ac:dyDescent="0.3">
      <c r="B304" s="562"/>
      <c r="C304" s="563"/>
      <c r="D304" s="425"/>
      <c r="E304" s="250" t="str">
        <f t="shared" si="42"/>
        <v/>
      </c>
      <c r="F304" s="556"/>
      <c r="G304" s="252" t="str">
        <f>IFERROR(VLOOKUP(F304,'Data (hidden)'!N:O,2,FALSE),"")</f>
        <v/>
      </c>
      <c r="H304" s="557"/>
      <c r="I304" s="558"/>
      <c r="J304" s="123">
        <f t="shared" si="45"/>
        <v>0</v>
      </c>
      <c r="K304" s="123" t="e">
        <f t="shared" si="46"/>
        <v>#VALUE!</v>
      </c>
      <c r="L304" s="123">
        <f t="shared" si="43"/>
        <v>0</v>
      </c>
      <c r="M304" s="124" t="str">
        <f t="shared" si="44"/>
        <v/>
      </c>
      <c r="N304" s="112"/>
      <c r="O304" s="101"/>
      <c r="P304" s="101"/>
      <c r="Q304" s="101"/>
      <c r="R304" s="102"/>
      <c r="S304" s="102"/>
      <c r="T304" s="102"/>
      <c r="U304" s="103"/>
      <c r="V304" s="100"/>
      <c r="W304" s="101"/>
      <c r="X304" s="113"/>
      <c r="Y304" s="114"/>
      <c r="Z304" s="102"/>
      <c r="AA304" s="101"/>
      <c r="AB304" s="111"/>
      <c r="AE304" s="187"/>
      <c r="AF304" s="185"/>
      <c r="AG304" s="185" t="str">
        <f t="shared" si="47"/>
        <v/>
      </c>
      <c r="AH304" s="186" t="str">
        <f t="shared" si="48"/>
        <v/>
      </c>
      <c r="AI304" s="185"/>
      <c r="AJ304" s="188"/>
      <c r="CC304" s="562"/>
      <c r="CD304" s="425"/>
    </row>
    <row r="305" spans="2:82" ht="30" customHeight="1" x14ac:dyDescent="0.3">
      <c r="B305" s="562"/>
      <c r="C305" s="563"/>
      <c r="D305" s="425"/>
      <c r="E305" s="250" t="str">
        <f t="shared" si="42"/>
        <v/>
      </c>
      <c r="F305" s="556"/>
      <c r="G305" s="252" t="str">
        <f>IFERROR(VLOOKUP(F305,'Data (hidden)'!N:O,2,FALSE),"")</f>
        <v/>
      </c>
      <c r="H305" s="557"/>
      <c r="I305" s="558"/>
      <c r="J305" s="123">
        <f t="shared" si="45"/>
        <v>0</v>
      </c>
      <c r="K305" s="123" t="e">
        <f t="shared" si="46"/>
        <v>#VALUE!</v>
      </c>
      <c r="L305" s="123">
        <f t="shared" si="43"/>
        <v>0</v>
      </c>
      <c r="M305" s="124" t="str">
        <f t="shared" si="44"/>
        <v/>
      </c>
      <c r="N305" s="112"/>
      <c r="O305" s="101"/>
      <c r="P305" s="101"/>
      <c r="Q305" s="101"/>
      <c r="R305" s="102"/>
      <c r="S305" s="102"/>
      <c r="T305" s="102"/>
      <c r="U305" s="103"/>
      <c r="V305" s="100"/>
      <c r="W305" s="101"/>
      <c r="X305" s="113"/>
      <c r="Y305" s="114"/>
      <c r="Z305" s="102"/>
      <c r="AA305" s="101"/>
      <c r="AB305" s="111"/>
      <c r="AE305" s="187"/>
      <c r="AF305" s="185"/>
      <c r="AG305" s="185" t="str">
        <f t="shared" si="47"/>
        <v/>
      </c>
      <c r="AH305" s="186" t="str">
        <f t="shared" si="48"/>
        <v/>
      </c>
      <c r="AI305" s="185"/>
      <c r="AJ305" s="188"/>
      <c r="CC305" s="562"/>
      <c r="CD305" s="425"/>
    </row>
    <row r="306" spans="2:82" ht="30" customHeight="1" x14ac:dyDescent="0.3">
      <c r="B306" s="562"/>
      <c r="C306" s="563"/>
      <c r="D306" s="425"/>
      <c r="E306" s="250" t="str">
        <f t="shared" si="42"/>
        <v/>
      </c>
      <c r="F306" s="556"/>
      <c r="G306" s="252" t="str">
        <f>IFERROR(VLOOKUP(F306,'Data (hidden)'!N:O,2,FALSE),"")</f>
        <v/>
      </c>
      <c r="H306" s="557"/>
      <c r="I306" s="558"/>
      <c r="J306" s="123">
        <f t="shared" si="45"/>
        <v>0</v>
      </c>
      <c r="K306" s="123" t="e">
        <f t="shared" si="46"/>
        <v>#VALUE!</v>
      </c>
      <c r="L306" s="123">
        <f t="shared" si="43"/>
        <v>0</v>
      </c>
      <c r="M306" s="124" t="str">
        <f t="shared" si="44"/>
        <v/>
      </c>
      <c r="N306" s="112"/>
      <c r="O306" s="101"/>
      <c r="P306" s="101"/>
      <c r="Q306" s="101"/>
      <c r="R306" s="102"/>
      <c r="S306" s="102"/>
      <c r="T306" s="102"/>
      <c r="U306" s="103"/>
      <c r="V306" s="100"/>
      <c r="W306" s="101"/>
      <c r="X306" s="113"/>
      <c r="Y306" s="114"/>
      <c r="Z306" s="102"/>
      <c r="AA306" s="101"/>
      <c r="AB306" s="111"/>
      <c r="AE306" s="187"/>
      <c r="AF306" s="185"/>
      <c r="AG306" s="185" t="str">
        <f t="shared" si="47"/>
        <v/>
      </c>
      <c r="AH306" s="186" t="str">
        <f t="shared" si="48"/>
        <v/>
      </c>
      <c r="AI306" s="185"/>
      <c r="AJ306" s="188"/>
      <c r="CC306" s="562"/>
      <c r="CD306" s="425"/>
    </row>
    <row r="307" spans="2:82" ht="30" customHeight="1" x14ac:dyDescent="0.3">
      <c r="B307" s="562"/>
      <c r="C307" s="563"/>
      <c r="D307" s="425"/>
      <c r="E307" s="250" t="str">
        <f t="shared" si="42"/>
        <v/>
      </c>
      <c r="F307" s="556"/>
      <c r="G307" s="252" t="str">
        <f>IFERROR(VLOOKUP(F307,'Data (hidden)'!N:O,2,FALSE),"")</f>
        <v/>
      </c>
      <c r="H307" s="557"/>
      <c r="I307" s="558"/>
      <c r="J307" s="123">
        <f t="shared" si="45"/>
        <v>0</v>
      </c>
      <c r="K307" s="123" t="e">
        <f t="shared" si="46"/>
        <v>#VALUE!</v>
      </c>
      <c r="L307" s="123">
        <f t="shared" si="43"/>
        <v>0</v>
      </c>
      <c r="M307" s="124" t="str">
        <f t="shared" si="44"/>
        <v/>
      </c>
      <c r="N307" s="112"/>
      <c r="O307" s="101"/>
      <c r="P307" s="101"/>
      <c r="Q307" s="101"/>
      <c r="R307" s="102"/>
      <c r="S307" s="102"/>
      <c r="T307" s="102"/>
      <c r="U307" s="103"/>
      <c r="V307" s="100"/>
      <c r="W307" s="101"/>
      <c r="X307" s="113"/>
      <c r="Y307" s="114"/>
      <c r="Z307" s="102"/>
      <c r="AA307" s="101"/>
      <c r="AB307" s="111"/>
      <c r="AE307" s="187"/>
      <c r="AF307" s="185"/>
      <c r="AG307" s="185" t="str">
        <f t="shared" si="47"/>
        <v/>
      </c>
      <c r="AH307" s="186" t="str">
        <f t="shared" si="48"/>
        <v/>
      </c>
      <c r="AI307" s="185"/>
      <c r="AJ307" s="188"/>
      <c r="CC307" s="562"/>
      <c r="CD307" s="425"/>
    </row>
    <row r="308" spans="2:82" ht="30" customHeight="1" x14ac:dyDescent="0.3">
      <c r="B308" s="562"/>
      <c r="C308" s="563"/>
      <c r="D308" s="425"/>
      <c r="E308" s="250" t="str">
        <f t="shared" ref="E308:E371" si="49">IF(SUM(C308-(C308*L308))=0,"",SUM(C308-(C308*L308)))</f>
        <v/>
      </c>
      <c r="F308" s="556"/>
      <c r="G308" s="252" t="str">
        <f>IFERROR(VLOOKUP(F308,'Data (hidden)'!N:O,2,FALSE),"")</f>
        <v/>
      </c>
      <c r="H308" s="557"/>
      <c r="I308" s="558"/>
      <c r="J308" s="123">
        <f t="shared" si="45"/>
        <v>0</v>
      </c>
      <c r="K308" s="123" t="e">
        <f t="shared" si="46"/>
        <v>#VALUE!</v>
      </c>
      <c r="L308" s="123">
        <f t="shared" si="43"/>
        <v>0</v>
      </c>
      <c r="M308" s="124" t="str">
        <f t="shared" si="44"/>
        <v/>
      </c>
      <c r="N308" s="112"/>
      <c r="O308" s="101"/>
      <c r="P308" s="101"/>
      <c r="Q308" s="101"/>
      <c r="R308" s="102"/>
      <c r="S308" s="102"/>
      <c r="T308" s="102"/>
      <c r="U308" s="103"/>
      <c r="V308" s="100"/>
      <c r="W308" s="101"/>
      <c r="X308" s="113"/>
      <c r="Y308" s="114"/>
      <c r="Z308" s="102"/>
      <c r="AA308" s="101"/>
      <c r="AB308" s="111"/>
      <c r="AE308" s="187"/>
      <c r="AF308" s="185"/>
      <c r="AG308" s="185" t="str">
        <f t="shared" si="47"/>
        <v/>
      </c>
      <c r="AH308" s="186" t="str">
        <f t="shared" si="48"/>
        <v/>
      </c>
      <c r="AI308" s="185"/>
      <c r="AJ308" s="188"/>
      <c r="CC308" s="562"/>
      <c r="CD308" s="425"/>
    </row>
    <row r="309" spans="2:82" ht="30" customHeight="1" x14ac:dyDescent="0.3">
      <c r="B309" s="562"/>
      <c r="C309" s="563"/>
      <c r="D309" s="425"/>
      <c r="E309" s="250" t="str">
        <f t="shared" si="49"/>
        <v/>
      </c>
      <c r="F309" s="556"/>
      <c r="G309" s="252" t="str">
        <f>IFERROR(VLOOKUP(F309,'Data (hidden)'!N:O,2,FALSE),"")</f>
        <v/>
      </c>
      <c r="H309" s="557"/>
      <c r="I309" s="558"/>
      <c r="J309" s="123">
        <f t="shared" si="45"/>
        <v>0</v>
      </c>
      <c r="K309" s="123" t="e">
        <f t="shared" si="46"/>
        <v>#VALUE!</v>
      </c>
      <c r="L309" s="123">
        <f t="shared" si="43"/>
        <v>0</v>
      </c>
      <c r="M309" s="124" t="str">
        <f t="shared" si="44"/>
        <v/>
      </c>
      <c r="N309" s="112"/>
      <c r="O309" s="101"/>
      <c r="P309" s="101"/>
      <c r="Q309" s="101"/>
      <c r="R309" s="102"/>
      <c r="S309" s="102"/>
      <c r="T309" s="102"/>
      <c r="U309" s="103"/>
      <c r="V309" s="100"/>
      <c r="W309" s="101"/>
      <c r="X309" s="113"/>
      <c r="Y309" s="114"/>
      <c r="Z309" s="102"/>
      <c r="AA309" s="101"/>
      <c r="AB309" s="111"/>
      <c r="AE309" s="187"/>
      <c r="AF309" s="185"/>
      <c r="AG309" s="185" t="str">
        <f t="shared" si="47"/>
        <v/>
      </c>
      <c r="AH309" s="186" t="str">
        <f t="shared" si="48"/>
        <v/>
      </c>
      <c r="AI309" s="185"/>
      <c r="AJ309" s="188"/>
      <c r="CC309" s="562"/>
      <c r="CD309" s="425"/>
    </row>
    <row r="310" spans="2:82" ht="30" customHeight="1" x14ac:dyDescent="0.3">
      <c r="B310" s="562"/>
      <c r="C310" s="563"/>
      <c r="D310" s="425"/>
      <c r="E310" s="250" t="str">
        <f t="shared" si="49"/>
        <v/>
      </c>
      <c r="F310" s="556"/>
      <c r="G310" s="252" t="str">
        <f>IFERROR(VLOOKUP(F310,'Data (hidden)'!N:O,2,FALSE),"")</f>
        <v/>
      </c>
      <c r="H310" s="557"/>
      <c r="I310" s="558"/>
      <c r="J310" s="123">
        <f t="shared" si="45"/>
        <v>0</v>
      </c>
      <c r="K310" s="123" t="e">
        <f t="shared" si="46"/>
        <v>#VALUE!</v>
      </c>
      <c r="L310" s="123">
        <f t="shared" si="43"/>
        <v>0</v>
      </c>
      <c r="M310" s="124" t="str">
        <f t="shared" si="44"/>
        <v/>
      </c>
      <c r="N310" s="112"/>
      <c r="O310" s="101"/>
      <c r="P310" s="101"/>
      <c r="Q310" s="101"/>
      <c r="R310" s="102"/>
      <c r="S310" s="102"/>
      <c r="T310" s="102"/>
      <c r="U310" s="103"/>
      <c r="V310" s="100"/>
      <c r="W310" s="101"/>
      <c r="X310" s="113"/>
      <c r="Y310" s="114"/>
      <c r="Z310" s="102"/>
      <c r="AA310" s="101"/>
      <c r="AB310" s="111"/>
      <c r="AE310" s="187"/>
      <c r="AF310" s="185"/>
      <c r="AG310" s="185" t="str">
        <f t="shared" si="47"/>
        <v/>
      </c>
      <c r="AH310" s="186" t="str">
        <f t="shared" si="48"/>
        <v/>
      </c>
      <c r="AI310" s="185"/>
      <c r="AJ310" s="188"/>
      <c r="CC310" s="562"/>
      <c r="CD310" s="425"/>
    </row>
    <row r="311" spans="2:82" ht="30" customHeight="1" x14ac:dyDescent="0.3">
      <c r="B311" s="562"/>
      <c r="C311" s="563"/>
      <c r="D311" s="425"/>
      <c r="E311" s="250" t="str">
        <f t="shared" si="49"/>
        <v/>
      </c>
      <c r="F311" s="556"/>
      <c r="G311" s="252" t="str">
        <f>IFERROR(VLOOKUP(F311,'Data (hidden)'!N:O,2,FALSE),"")</f>
        <v/>
      </c>
      <c r="H311" s="557"/>
      <c r="I311" s="558"/>
      <c r="J311" s="123">
        <f t="shared" si="45"/>
        <v>0</v>
      </c>
      <c r="K311" s="123" t="e">
        <f t="shared" si="46"/>
        <v>#VALUE!</v>
      </c>
      <c r="L311" s="123">
        <f t="shared" si="43"/>
        <v>0</v>
      </c>
      <c r="M311" s="124" t="str">
        <f t="shared" si="44"/>
        <v/>
      </c>
      <c r="N311" s="112"/>
      <c r="O311" s="101"/>
      <c r="P311" s="101"/>
      <c r="Q311" s="101"/>
      <c r="R311" s="102"/>
      <c r="S311" s="102"/>
      <c r="T311" s="102"/>
      <c r="U311" s="103"/>
      <c r="V311" s="100"/>
      <c r="W311" s="101"/>
      <c r="X311" s="113"/>
      <c r="Y311" s="114"/>
      <c r="Z311" s="102"/>
      <c r="AA311" s="101"/>
      <c r="AB311" s="111"/>
      <c r="AE311" s="187"/>
      <c r="AF311" s="185"/>
      <c r="AG311" s="185" t="str">
        <f t="shared" si="47"/>
        <v/>
      </c>
      <c r="AH311" s="186" t="str">
        <f t="shared" si="48"/>
        <v/>
      </c>
      <c r="AI311" s="185"/>
      <c r="AJ311" s="188"/>
      <c r="CC311" s="562"/>
      <c r="CD311" s="425"/>
    </row>
    <row r="312" spans="2:82" ht="30" customHeight="1" x14ac:dyDescent="0.3">
      <c r="B312" s="562"/>
      <c r="C312" s="563"/>
      <c r="D312" s="425"/>
      <c r="E312" s="250" t="str">
        <f t="shared" si="49"/>
        <v/>
      </c>
      <c r="F312" s="556"/>
      <c r="G312" s="252" t="str">
        <f>IFERROR(VLOOKUP(F312,'Data (hidden)'!N:O,2,FALSE),"")</f>
        <v/>
      </c>
      <c r="H312" s="557"/>
      <c r="I312" s="558"/>
      <c r="J312" s="123">
        <f t="shared" si="45"/>
        <v>0</v>
      </c>
      <c r="K312" s="123" t="e">
        <f t="shared" si="46"/>
        <v>#VALUE!</v>
      </c>
      <c r="L312" s="123">
        <f t="shared" si="43"/>
        <v>0</v>
      </c>
      <c r="M312" s="124" t="str">
        <f t="shared" si="44"/>
        <v/>
      </c>
      <c r="N312" s="112"/>
      <c r="O312" s="101"/>
      <c r="P312" s="101"/>
      <c r="Q312" s="101"/>
      <c r="R312" s="102"/>
      <c r="S312" s="102"/>
      <c r="T312" s="102"/>
      <c r="U312" s="103"/>
      <c r="V312" s="100"/>
      <c r="W312" s="101"/>
      <c r="X312" s="113"/>
      <c r="Y312" s="114"/>
      <c r="Z312" s="102"/>
      <c r="AA312" s="101"/>
      <c r="AB312" s="111"/>
      <c r="AE312" s="187"/>
      <c r="AF312" s="185"/>
      <c r="AG312" s="185" t="str">
        <f t="shared" si="47"/>
        <v/>
      </c>
      <c r="AH312" s="186" t="str">
        <f t="shared" si="48"/>
        <v/>
      </c>
      <c r="AI312" s="185"/>
      <c r="AJ312" s="188"/>
      <c r="CC312" s="562"/>
      <c r="CD312" s="425"/>
    </row>
    <row r="313" spans="2:82" ht="30" customHeight="1" x14ac:dyDescent="0.3">
      <c r="B313" s="562"/>
      <c r="C313" s="563"/>
      <c r="D313" s="425"/>
      <c r="E313" s="250" t="str">
        <f t="shared" si="49"/>
        <v/>
      </c>
      <c r="F313" s="556"/>
      <c r="G313" s="252" t="str">
        <f>IFERROR(VLOOKUP(F313,'Data (hidden)'!N:O,2,FALSE),"")</f>
        <v/>
      </c>
      <c r="H313" s="557"/>
      <c r="I313" s="558"/>
      <c r="J313" s="123">
        <f t="shared" si="45"/>
        <v>0</v>
      </c>
      <c r="K313" s="123" t="e">
        <f t="shared" si="46"/>
        <v>#VALUE!</v>
      </c>
      <c r="L313" s="123">
        <f t="shared" si="43"/>
        <v>0</v>
      </c>
      <c r="M313" s="124" t="str">
        <f t="shared" si="44"/>
        <v/>
      </c>
      <c r="N313" s="112"/>
      <c r="O313" s="101"/>
      <c r="P313" s="101"/>
      <c r="Q313" s="101"/>
      <c r="R313" s="102"/>
      <c r="S313" s="102"/>
      <c r="T313" s="102"/>
      <c r="U313" s="103"/>
      <c r="V313" s="100"/>
      <c r="W313" s="101"/>
      <c r="X313" s="113"/>
      <c r="Y313" s="114"/>
      <c r="Z313" s="102"/>
      <c r="AA313" s="101"/>
      <c r="AB313" s="111"/>
      <c r="AE313" s="187"/>
      <c r="AF313" s="185"/>
      <c r="AG313" s="185" t="str">
        <f t="shared" si="47"/>
        <v/>
      </c>
      <c r="AH313" s="186" t="str">
        <f t="shared" si="48"/>
        <v/>
      </c>
      <c r="AI313" s="185"/>
      <c r="AJ313" s="188"/>
      <c r="CC313" s="562"/>
      <c r="CD313" s="425"/>
    </row>
    <row r="314" spans="2:82" ht="30" customHeight="1" x14ac:dyDescent="0.3">
      <c r="B314" s="562"/>
      <c r="C314" s="563"/>
      <c r="D314" s="425"/>
      <c r="E314" s="250" t="str">
        <f t="shared" si="49"/>
        <v/>
      </c>
      <c r="F314" s="556"/>
      <c r="G314" s="252" t="str">
        <f>IFERROR(VLOOKUP(F314,'Data (hidden)'!N:O,2,FALSE),"")</f>
        <v/>
      </c>
      <c r="H314" s="557"/>
      <c r="I314" s="558"/>
      <c r="J314" s="123">
        <f t="shared" si="45"/>
        <v>0</v>
      </c>
      <c r="K314" s="123" t="e">
        <f t="shared" si="46"/>
        <v>#VALUE!</v>
      </c>
      <c r="L314" s="123">
        <f t="shared" si="43"/>
        <v>0</v>
      </c>
      <c r="M314" s="124" t="str">
        <f t="shared" si="44"/>
        <v/>
      </c>
      <c r="N314" s="112"/>
      <c r="O314" s="101"/>
      <c r="P314" s="101"/>
      <c r="Q314" s="101"/>
      <c r="R314" s="102"/>
      <c r="S314" s="102"/>
      <c r="T314" s="102"/>
      <c r="U314" s="103"/>
      <c r="V314" s="100"/>
      <c r="W314" s="101"/>
      <c r="X314" s="113"/>
      <c r="Y314" s="114"/>
      <c r="Z314" s="102"/>
      <c r="AA314" s="101"/>
      <c r="AB314" s="111"/>
      <c r="AE314" s="187"/>
      <c r="AF314" s="185"/>
      <c r="AG314" s="185" t="str">
        <f t="shared" si="47"/>
        <v/>
      </c>
      <c r="AH314" s="186" t="str">
        <f t="shared" si="48"/>
        <v/>
      </c>
      <c r="AI314" s="185"/>
      <c r="AJ314" s="188"/>
      <c r="CC314" s="562"/>
      <c r="CD314" s="425"/>
    </row>
    <row r="315" spans="2:82" ht="30" customHeight="1" x14ac:dyDescent="0.3">
      <c r="B315" s="562"/>
      <c r="C315" s="563"/>
      <c r="D315" s="425"/>
      <c r="E315" s="250" t="str">
        <f t="shared" si="49"/>
        <v/>
      </c>
      <c r="F315" s="556"/>
      <c r="G315" s="252" t="str">
        <f>IFERROR(VLOOKUP(F315,'Data (hidden)'!N:O,2,FALSE),"")</f>
        <v/>
      </c>
      <c r="H315" s="557"/>
      <c r="I315" s="558"/>
      <c r="J315" s="123">
        <f t="shared" si="45"/>
        <v>0</v>
      </c>
      <c r="K315" s="123" t="e">
        <f t="shared" si="46"/>
        <v>#VALUE!</v>
      </c>
      <c r="L315" s="123">
        <f t="shared" si="43"/>
        <v>0</v>
      </c>
      <c r="M315" s="124" t="str">
        <f t="shared" si="44"/>
        <v/>
      </c>
      <c r="N315" s="112"/>
      <c r="O315" s="101"/>
      <c r="P315" s="101"/>
      <c r="Q315" s="101"/>
      <c r="R315" s="102"/>
      <c r="S315" s="102"/>
      <c r="T315" s="102"/>
      <c r="U315" s="103"/>
      <c r="V315" s="100"/>
      <c r="W315" s="101"/>
      <c r="X315" s="113"/>
      <c r="Y315" s="114"/>
      <c r="Z315" s="102"/>
      <c r="AA315" s="101"/>
      <c r="AB315" s="111"/>
      <c r="AE315" s="187"/>
      <c r="AF315" s="185"/>
      <c r="AG315" s="185" t="str">
        <f t="shared" si="47"/>
        <v/>
      </c>
      <c r="AH315" s="186" t="str">
        <f t="shared" si="48"/>
        <v/>
      </c>
      <c r="AI315" s="185"/>
      <c r="AJ315" s="188"/>
      <c r="CC315" s="562"/>
      <c r="CD315" s="425"/>
    </row>
    <row r="316" spans="2:82" ht="30" customHeight="1" x14ac:dyDescent="0.3">
      <c r="B316" s="562"/>
      <c r="C316" s="563"/>
      <c r="D316" s="425"/>
      <c r="E316" s="250" t="str">
        <f t="shared" si="49"/>
        <v/>
      </c>
      <c r="F316" s="556"/>
      <c r="G316" s="252" t="str">
        <f>IFERROR(VLOOKUP(F316,'Data (hidden)'!N:O,2,FALSE),"")</f>
        <v/>
      </c>
      <c r="H316" s="557"/>
      <c r="I316" s="558"/>
      <c r="J316" s="123">
        <f t="shared" si="45"/>
        <v>0</v>
      </c>
      <c r="K316" s="123" t="e">
        <f t="shared" si="46"/>
        <v>#VALUE!</v>
      </c>
      <c r="L316" s="123">
        <f t="shared" si="43"/>
        <v>0</v>
      </c>
      <c r="M316" s="124" t="str">
        <f t="shared" si="44"/>
        <v/>
      </c>
      <c r="N316" s="112"/>
      <c r="O316" s="101"/>
      <c r="P316" s="101"/>
      <c r="Q316" s="101"/>
      <c r="R316" s="102"/>
      <c r="S316" s="102"/>
      <c r="T316" s="102"/>
      <c r="U316" s="103"/>
      <c r="V316" s="100"/>
      <c r="W316" s="101"/>
      <c r="X316" s="113"/>
      <c r="Y316" s="114"/>
      <c r="Z316" s="102"/>
      <c r="AA316" s="101"/>
      <c r="AB316" s="111"/>
      <c r="AE316" s="187"/>
      <c r="AF316" s="185"/>
      <c r="AG316" s="185" t="str">
        <f t="shared" si="47"/>
        <v/>
      </c>
      <c r="AH316" s="186" t="str">
        <f t="shared" si="48"/>
        <v/>
      </c>
      <c r="AI316" s="185"/>
      <c r="AJ316" s="188"/>
      <c r="CC316" s="562"/>
      <c r="CD316" s="425"/>
    </row>
    <row r="317" spans="2:82" ht="30" customHeight="1" x14ac:dyDescent="0.3">
      <c r="B317" s="562"/>
      <c r="C317" s="563"/>
      <c r="D317" s="425"/>
      <c r="E317" s="250" t="str">
        <f t="shared" si="49"/>
        <v/>
      </c>
      <c r="F317" s="556"/>
      <c r="G317" s="252" t="str">
        <f>IFERROR(VLOOKUP(F317,'Data (hidden)'!N:O,2,FALSE),"")</f>
        <v/>
      </c>
      <c r="H317" s="557"/>
      <c r="I317" s="558"/>
      <c r="J317" s="123">
        <f t="shared" si="45"/>
        <v>0</v>
      </c>
      <c r="K317" s="123" t="e">
        <f t="shared" si="46"/>
        <v>#VALUE!</v>
      </c>
      <c r="L317" s="123">
        <f t="shared" si="43"/>
        <v>0</v>
      </c>
      <c r="M317" s="124" t="str">
        <f t="shared" si="44"/>
        <v/>
      </c>
      <c r="N317" s="112"/>
      <c r="O317" s="101"/>
      <c r="P317" s="101"/>
      <c r="Q317" s="101"/>
      <c r="R317" s="102"/>
      <c r="S317" s="102"/>
      <c r="T317" s="102"/>
      <c r="U317" s="103"/>
      <c r="V317" s="100"/>
      <c r="W317" s="101"/>
      <c r="X317" s="113"/>
      <c r="Y317" s="114"/>
      <c r="Z317" s="102"/>
      <c r="AA317" s="101"/>
      <c r="AB317" s="111"/>
      <c r="AE317" s="187"/>
      <c r="AF317" s="185"/>
      <c r="AG317" s="185" t="str">
        <f t="shared" si="47"/>
        <v/>
      </c>
      <c r="AH317" s="186" t="str">
        <f t="shared" si="48"/>
        <v/>
      </c>
      <c r="AI317" s="185"/>
      <c r="AJ317" s="188"/>
      <c r="CC317" s="562"/>
      <c r="CD317" s="425"/>
    </row>
    <row r="318" spans="2:82" ht="30" customHeight="1" x14ac:dyDescent="0.3">
      <c r="B318" s="562"/>
      <c r="C318" s="563"/>
      <c r="D318" s="425"/>
      <c r="E318" s="250" t="str">
        <f t="shared" si="49"/>
        <v/>
      </c>
      <c r="F318" s="556"/>
      <c r="G318" s="252" t="str">
        <f>IFERROR(VLOOKUP(F318,'Data (hidden)'!N:O,2,FALSE),"")</f>
        <v/>
      </c>
      <c r="H318" s="557"/>
      <c r="I318" s="558"/>
      <c r="J318" s="123">
        <f t="shared" si="45"/>
        <v>0</v>
      </c>
      <c r="K318" s="123" t="e">
        <f t="shared" si="46"/>
        <v>#VALUE!</v>
      </c>
      <c r="L318" s="123">
        <f t="shared" si="43"/>
        <v>0</v>
      </c>
      <c r="M318" s="124" t="str">
        <f t="shared" si="44"/>
        <v/>
      </c>
      <c r="N318" s="112"/>
      <c r="O318" s="101"/>
      <c r="P318" s="101"/>
      <c r="Q318" s="101"/>
      <c r="R318" s="102"/>
      <c r="S318" s="102"/>
      <c r="T318" s="102"/>
      <c r="U318" s="103"/>
      <c r="V318" s="100"/>
      <c r="W318" s="101"/>
      <c r="X318" s="113"/>
      <c r="Y318" s="114"/>
      <c r="Z318" s="102"/>
      <c r="AA318" s="101"/>
      <c r="AB318" s="111"/>
      <c r="AE318" s="187"/>
      <c r="AF318" s="185"/>
      <c r="AG318" s="185" t="str">
        <f t="shared" si="47"/>
        <v/>
      </c>
      <c r="AH318" s="186" t="str">
        <f t="shared" si="48"/>
        <v/>
      </c>
      <c r="AI318" s="185"/>
      <c r="AJ318" s="188"/>
      <c r="CC318" s="562"/>
      <c r="CD318" s="425"/>
    </row>
    <row r="319" spans="2:82" ht="30" customHeight="1" x14ac:dyDescent="0.3">
      <c r="B319" s="562"/>
      <c r="C319" s="563"/>
      <c r="D319" s="425"/>
      <c r="E319" s="250" t="str">
        <f t="shared" si="49"/>
        <v/>
      </c>
      <c r="F319" s="556"/>
      <c r="G319" s="252" t="str">
        <f>IFERROR(VLOOKUP(F319,'Data (hidden)'!N:O,2,FALSE),"")</f>
        <v/>
      </c>
      <c r="H319" s="557"/>
      <c r="I319" s="558"/>
      <c r="J319" s="123">
        <f t="shared" si="45"/>
        <v>0</v>
      </c>
      <c r="K319" s="123" t="e">
        <f t="shared" si="46"/>
        <v>#VALUE!</v>
      </c>
      <c r="L319" s="123">
        <f t="shared" si="43"/>
        <v>0</v>
      </c>
      <c r="M319" s="124" t="str">
        <f t="shared" si="44"/>
        <v/>
      </c>
      <c r="N319" s="112"/>
      <c r="O319" s="101"/>
      <c r="P319" s="101"/>
      <c r="Q319" s="101"/>
      <c r="R319" s="102"/>
      <c r="S319" s="102"/>
      <c r="T319" s="102"/>
      <c r="U319" s="103"/>
      <c r="V319" s="100"/>
      <c r="W319" s="101"/>
      <c r="X319" s="113"/>
      <c r="Y319" s="114"/>
      <c r="Z319" s="102"/>
      <c r="AA319" s="101"/>
      <c r="AB319" s="111"/>
      <c r="AE319" s="187"/>
      <c r="AF319" s="185"/>
      <c r="AG319" s="185" t="str">
        <f t="shared" si="47"/>
        <v/>
      </c>
      <c r="AH319" s="186" t="str">
        <f t="shared" si="48"/>
        <v/>
      </c>
      <c r="AI319" s="185"/>
      <c r="AJ319" s="188"/>
      <c r="CC319" s="562"/>
      <c r="CD319" s="425"/>
    </row>
    <row r="320" spans="2:82" ht="30" customHeight="1" x14ac:dyDescent="0.3">
      <c r="B320" s="562"/>
      <c r="C320" s="563"/>
      <c r="D320" s="425"/>
      <c r="E320" s="250" t="str">
        <f t="shared" si="49"/>
        <v/>
      </c>
      <c r="F320" s="556"/>
      <c r="G320" s="252" t="str">
        <f>IFERROR(VLOOKUP(F320,'Data (hidden)'!N:O,2,FALSE),"")</f>
        <v/>
      </c>
      <c r="H320" s="557"/>
      <c r="I320" s="558"/>
      <c r="J320" s="123">
        <f t="shared" si="45"/>
        <v>0</v>
      </c>
      <c r="K320" s="123" t="e">
        <f t="shared" si="46"/>
        <v>#VALUE!</v>
      </c>
      <c r="L320" s="123">
        <f t="shared" si="43"/>
        <v>0</v>
      </c>
      <c r="M320" s="124" t="str">
        <f t="shared" si="44"/>
        <v/>
      </c>
      <c r="N320" s="112"/>
      <c r="O320" s="101"/>
      <c r="P320" s="101"/>
      <c r="Q320" s="101"/>
      <c r="R320" s="102"/>
      <c r="S320" s="102"/>
      <c r="T320" s="102"/>
      <c r="U320" s="103"/>
      <c r="V320" s="100"/>
      <c r="W320" s="101"/>
      <c r="X320" s="113"/>
      <c r="Y320" s="114"/>
      <c r="Z320" s="102"/>
      <c r="AA320" s="101"/>
      <c r="AB320" s="111"/>
      <c r="AE320" s="187"/>
      <c r="AF320" s="185"/>
      <c r="AG320" s="185" t="str">
        <f t="shared" si="47"/>
        <v/>
      </c>
      <c r="AH320" s="186" t="str">
        <f t="shared" si="48"/>
        <v/>
      </c>
      <c r="AI320" s="185"/>
      <c r="AJ320" s="188"/>
      <c r="CC320" s="562"/>
      <c r="CD320" s="425"/>
    </row>
    <row r="321" spans="2:82" ht="30" customHeight="1" x14ac:dyDescent="0.3">
      <c r="B321" s="562"/>
      <c r="C321" s="563"/>
      <c r="D321" s="425"/>
      <c r="E321" s="250" t="str">
        <f t="shared" si="49"/>
        <v/>
      </c>
      <c r="F321" s="556"/>
      <c r="G321" s="252" t="str">
        <f>IFERROR(VLOOKUP(F321,'Data (hidden)'!N:O,2,FALSE),"")</f>
        <v/>
      </c>
      <c r="H321" s="557"/>
      <c r="I321" s="558"/>
      <c r="J321" s="123">
        <f t="shared" si="45"/>
        <v>0</v>
      </c>
      <c r="K321" s="123" t="e">
        <f t="shared" si="46"/>
        <v>#VALUE!</v>
      </c>
      <c r="L321" s="123">
        <f t="shared" si="43"/>
        <v>0</v>
      </c>
      <c r="M321" s="124" t="str">
        <f t="shared" si="44"/>
        <v/>
      </c>
      <c r="N321" s="112"/>
      <c r="O321" s="101"/>
      <c r="P321" s="101"/>
      <c r="Q321" s="101"/>
      <c r="R321" s="102"/>
      <c r="S321" s="102"/>
      <c r="T321" s="102"/>
      <c r="U321" s="103"/>
      <c r="V321" s="100"/>
      <c r="W321" s="101"/>
      <c r="X321" s="113"/>
      <c r="Y321" s="114"/>
      <c r="Z321" s="102"/>
      <c r="AA321" s="101"/>
      <c r="AB321" s="111"/>
      <c r="AE321" s="187"/>
      <c r="AF321" s="185"/>
      <c r="AG321" s="185" t="str">
        <f t="shared" si="47"/>
        <v/>
      </c>
      <c r="AH321" s="186" t="str">
        <f t="shared" si="48"/>
        <v/>
      </c>
      <c r="AI321" s="185"/>
      <c r="AJ321" s="188"/>
      <c r="CC321" s="562"/>
      <c r="CD321" s="425"/>
    </row>
    <row r="322" spans="2:82" ht="30" customHeight="1" x14ac:dyDescent="0.3">
      <c r="B322" s="562"/>
      <c r="C322" s="563"/>
      <c r="D322" s="425"/>
      <c r="E322" s="250" t="str">
        <f t="shared" si="49"/>
        <v/>
      </c>
      <c r="F322" s="556"/>
      <c r="G322" s="252" t="str">
        <f>IFERROR(VLOOKUP(F322,'Data (hidden)'!N:O,2,FALSE),"")</f>
        <v/>
      </c>
      <c r="H322" s="557"/>
      <c r="I322" s="558"/>
      <c r="J322" s="123">
        <f t="shared" si="45"/>
        <v>0</v>
      </c>
      <c r="K322" s="123" t="e">
        <f t="shared" si="46"/>
        <v>#VALUE!</v>
      </c>
      <c r="L322" s="123">
        <f t="shared" si="43"/>
        <v>0</v>
      </c>
      <c r="M322" s="124" t="str">
        <f t="shared" si="44"/>
        <v/>
      </c>
      <c r="N322" s="112"/>
      <c r="O322" s="101"/>
      <c r="P322" s="101"/>
      <c r="Q322" s="101"/>
      <c r="R322" s="102"/>
      <c r="S322" s="102"/>
      <c r="T322" s="102"/>
      <c r="U322" s="103"/>
      <c r="V322" s="100"/>
      <c r="W322" s="101"/>
      <c r="X322" s="113"/>
      <c r="Y322" s="114"/>
      <c r="Z322" s="102"/>
      <c r="AA322" s="101"/>
      <c r="AB322" s="111"/>
      <c r="AE322" s="187"/>
      <c r="AF322" s="185"/>
      <c r="AG322" s="185" t="str">
        <f t="shared" si="47"/>
        <v/>
      </c>
      <c r="AH322" s="186" t="str">
        <f t="shared" si="48"/>
        <v/>
      </c>
      <c r="AI322" s="185"/>
      <c r="AJ322" s="188"/>
      <c r="CC322" s="562"/>
      <c r="CD322" s="425"/>
    </row>
    <row r="323" spans="2:82" ht="30" customHeight="1" x14ac:dyDescent="0.3">
      <c r="B323" s="562"/>
      <c r="C323" s="563"/>
      <c r="D323" s="425"/>
      <c r="E323" s="250" t="str">
        <f t="shared" si="49"/>
        <v/>
      </c>
      <c r="F323" s="556"/>
      <c r="G323" s="252" t="str">
        <f>IFERROR(VLOOKUP(F323,'Data (hidden)'!N:O,2,FALSE),"")</f>
        <v/>
      </c>
      <c r="H323" s="557"/>
      <c r="I323" s="558"/>
      <c r="J323" s="123">
        <f t="shared" si="45"/>
        <v>0</v>
      </c>
      <c r="K323" s="123" t="e">
        <f t="shared" si="46"/>
        <v>#VALUE!</v>
      </c>
      <c r="L323" s="123">
        <f t="shared" si="43"/>
        <v>0</v>
      </c>
      <c r="M323" s="124" t="str">
        <f t="shared" si="44"/>
        <v/>
      </c>
      <c r="N323" s="112"/>
      <c r="O323" s="101"/>
      <c r="P323" s="101"/>
      <c r="Q323" s="101"/>
      <c r="R323" s="102"/>
      <c r="S323" s="102"/>
      <c r="T323" s="102"/>
      <c r="U323" s="103"/>
      <c r="V323" s="100"/>
      <c r="W323" s="101"/>
      <c r="X323" s="113"/>
      <c r="Y323" s="114"/>
      <c r="Z323" s="102"/>
      <c r="AA323" s="101"/>
      <c r="AB323" s="111"/>
      <c r="AE323" s="187"/>
      <c r="AF323" s="185"/>
      <c r="AG323" s="185" t="str">
        <f t="shared" si="47"/>
        <v/>
      </c>
      <c r="AH323" s="186" t="str">
        <f t="shared" si="48"/>
        <v/>
      </c>
      <c r="AI323" s="185"/>
      <c r="AJ323" s="188"/>
      <c r="CC323" s="562"/>
      <c r="CD323" s="425"/>
    </row>
    <row r="324" spans="2:82" ht="30" customHeight="1" x14ac:dyDescent="0.3">
      <c r="B324" s="562"/>
      <c r="C324" s="563"/>
      <c r="D324" s="425"/>
      <c r="E324" s="250" t="str">
        <f t="shared" si="49"/>
        <v/>
      </c>
      <c r="F324" s="556"/>
      <c r="G324" s="252" t="str">
        <f>IFERROR(VLOOKUP(F324,'Data (hidden)'!N:O,2,FALSE),"")</f>
        <v/>
      </c>
      <c r="H324" s="557"/>
      <c r="I324" s="558"/>
      <c r="J324" s="123">
        <f t="shared" si="45"/>
        <v>0</v>
      </c>
      <c r="K324" s="123" t="e">
        <f t="shared" si="46"/>
        <v>#VALUE!</v>
      </c>
      <c r="L324" s="123">
        <f t="shared" si="43"/>
        <v>0</v>
      </c>
      <c r="M324" s="124" t="str">
        <f t="shared" si="44"/>
        <v/>
      </c>
      <c r="N324" s="112"/>
      <c r="O324" s="101"/>
      <c r="P324" s="101"/>
      <c r="Q324" s="101"/>
      <c r="R324" s="102"/>
      <c r="S324" s="102"/>
      <c r="T324" s="102"/>
      <c r="U324" s="103"/>
      <c r="V324" s="100"/>
      <c r="W324" s="101"/>
      <c r="X324" s="113"/>
      <c r="Y324" s="114"/>
      <c r="Z324" s="102"/>
      <c r="AA324" s="101"/>
      <c r="AB324" s="111"/>
      <c r="AE324" s="187"/>
      <c r="AF324" s="185"/>
      <c r="AG324" s="185" t="str">
        <f t="shared" si="47"/>
        <v/>
      </c>
      <c r="AH324" s="186" t="str">
        <f t="shared" si="48"/>
        <v/>
      </c>
      <c r="AI324" s="185"/>
      <c r="AJ324" s="188"/>
      <c r="CC324" s="562"/>
      <c r="CD324" s="425"/>
    </row>
    <row r="325" spans="2:82" ht="30" customHeight="1" x14ac:dyDescent="0.3">
      <c r="B325" s="562"/>
      <c r="C325" s="563"/>
      <c r="D325" s="425"/>
      <c r="E325" s="250" t="str">
        <f t="shared" si="49"/>
        <v/>
      </c>
      <c r="F325" s="556"/>
      <c r="G325" s="252" t="str">
        <f>IFERROR(VLOOKUP(F325,'Data (hidden)'!N:O,2,FALSE),"")</f>
        <v/>
      </c>
      <c r="H325" s="557"/>
      <c r="I325" s="558"/>
      <c r="J325" s="123">
        <f t="shared" si="45"/>
        <v>0</v>
      </c>
      <c r="K325" s="123" t="e">
        <f t="shared" si="46"/>
        <v>#VALUE!</v>
      </c>
      <c r="L325" s="123">
        <f t="shared" si="43"/>
        <v>0</v>
      </c>
      <c r="M325" s="124" t="str">
        <f t="shared" si="44"/>
        <v/>
      </c>
      <c r="N325" s="112"/>
      <c r="O325" s="101"/>
      <c r="P325" s="101"/>
      <c r="Q325" s="101"/>
      <c r="R325" s="102"/>
      <c r="S325" s="102"/>
      <c r="T325" s="102"/>
      <c r="U325" s="103"/>
      <c r="V325" s="100"/>
      <c r="W325" s="101"/>
      <c r="X325" s="113"/>
      <c r="Y325" s="114"/>
      <c r="Z325" s="102"/>
      <c r="AA325" s="101"/>
      <c r="AB325" s="111"/>
      <c r="AE325" s="187"/>
      <c r="AF325" s="185"/>
      <c r="AG325" s="185" t="str">
        <f t="shared" si="47"/>
        <v/>
      </c>
      <c r="AH325" s="186" t="str">
        <f t="shared" si="48"/>
        <v/>
      </c>
      <c r="AI325" s="185"/>
      <c r="AJ325" s="188"/>
      <c r="CC325" s="562"/>
      <c r="CD325" s="425"/>
    </row>
    <row r="326" spans="2:82" ht="30" customHeight="1" x14ac:dyDescent="0.3">
      <c r="B326" s="562"/>
      <c r="C326" s="563"/>
      <c r="D326" s="425"/>
      <c r="E326" s="250" t="str">
        <f t="shared" si="49"/>
        <v/>
      </c>
      <c r="F326" s="556"/>
      <c r="G326" s="252" t="str">
        <f>IFERROR(VLOOKUP(F326,'Data (hidden)'!N:O,2,FALSE),"")</f>
        <v/>
      </c>
      <c r="H326" s="557"/>
      <c r="I326" s="558"/>
      <c r="J326" s="123">
        <f t="shared" si="45"/>
        <v>0</v>
      </c>
      <c r="K326" s="123" t="e">
        <f t="shared" si="46"/>
        <v>#VALUE!</v>
      </c>
      <c r="L326" s="123">
        <f t="shared" si="43"/>
        <v>0</v>
      </c>
      <c r="M326" s="124" t="str">
        <f t="shared" si="44"/>
        <v/>
      </c>
      <c r="N326" s="112"/>
      <c r="O326" s="101"/>
      <c r="P326" s="101"/>
      <c r="Q326" s="101"/>
      <c r="R326" s="102"/>
      <c r="S326" s="102"/>
      <c r="T326" s="102"/>
      <c r="U326" s="103"/>
      <c r="V326" s="100"/>
      <c r="W326" s="101"/>
      <c r="X326" s="113"/>
      <c r="Y326" s="114"/>
      <c r="Z326" s="102"/>
      <c r="AA326" s="101"/>
      <c r="AB326" s="111"/>
      <c r="AE326" s="187"/>
      <c r="AF326" s="185"/>
      <c r="AG326" s="185" t="str">
        <f t="shared" si="47"/>
        <v/>
      </c>
      <c r="AH326" s="186" t="str">
        <f t="shared" si="48"/>
        <v/>
      </c>
      <c r="AI326" s="185"/>
      <c r="AJ326" s="188"/>
      <c r="CC326" s="562"/>
      <c r="CD326" s="425"/>
    </row>
    <row r="327" spans="2:82" ht="30" customHeight="1" x14ac:dyDescent="0.3">
      <c r="B327" s="562"/>
      <c r="C327" s="563"/>
      <c r="D327" s="425"/>
      <c r="E327" s="250" t="str">
        <f t="shared" si="49"/>
        <v/>
      </c>
      <c r="F327" s="556"/>
      <c r="G327" s="252" t="str">
        <f>IFERROR(VLOOKUP(F327,'Data (hidden)'!N:O,2,FALSE),"")</f>
        <v/>
      </c>
      <c r="H327" s="557"/>
      <c r="I327" s="558"/>
      <c r="J327" s="123">
        <f t="shared" si="45"/>
        <v>0</v>
      </c>
      <c r="K327" s="123" t="e">
        <f t="shared" si="46"/>
        <v>#VALUE!</v>
      </c>
      <c r="L327" s="123">
        <f t="shared" si="43"/>
        <v>0</v>
      </c>
      <c r="M327" s="124" t="str">
        <f t="shared" si="44"/>
        <v/>
      </c>
      <c r="N327" s="112"/>
      <c r="O327" s="101"/>
      <c r="P327" s="101"/>
      <c r="Q327" s="101"/>
      <c r="R327" s="102"/>
      <c r="S327" s="102"/>
      <c r="T327" s="102"/>
      <c r="U327" s="103"/>
      <c r="V327" s="100"/>
      <c r="W327" s="101"/>
      <c r="X327" s="113"/>
      <c r="Y327" s="114"/>
      <c r="Z327" s="102"/>
      <c r="AA327" s="101"/>
      <c r="AB327" s="111"/>
      <c r="AE327" s="187"/>
      <c r="AF327" s="185"/>
      <c r="AG327" s="185" t="str">
        <f t="shared" si="47"/>
        <v/>
      </c>
      <c r="AH327" s="186" t="str">
        <f t="shared" si="48"/>
        <v/>
      </c>
      <c r="AI327" s="185"/>
      <c r="AJ327" s="188"/>
      <c r="CC327" s="562"/>
      <c r="CD327" s="425"/>
    </row>
    <row r="328" spans="2:82" ht="30" customHeight="1" x14ac:dyDescent="0.3">
      <c r="B328" s="562"/>
      <c r="C328" s="563"/>
      <c r="D328" s="425"/>
      <c r="E328" s="250" t="str">
        <f t="shared" si="49"/>
        <v/>
      </c>
      <c r="F328" s="556"/>
      <c r="G328" s="252" t="str">
        <f>IFERROR(VLOOKUP(F328,'Data (hidden)'!N:O,2,FALSE),"")</f>
        <v/>
      </c>
      <c r="H328" s="557"/>
      <c r="I328" s="558"/>
      <c r="J328" s="123">
        <f t="shared" si="45"/>
        <v>0</v>
      </c>
      <c r="K328" s="123" t="e">
        <f t="shared" si="46"/>
        <v>#VALUE!</v>
      </c>
      <c r="L328" s="123">
        <f t="shared" si="43"/>
        <v>0</v>
      </c>
      <c r="M328" s="124" t="str">
        <f t="shared" si="44"/>
        <v/>
      </c>
      <c r="N328" s="112"/>
      <c r="O328" s="101"/>
      <c r="P328" s="101"/>
      <c r="Q328" s="101"/>
      <c r="R328" s="102"/>
      <c r="S328" s="102"/>
      <c r="T328" s="102"/>
      <c r="U328" s="103"/>
      <c r="V328" s="100"/>
      <c r="W328" s="101"/>
      <c r="X328" s="113"/>
      <c r="Y328" s="114"/>
      <c r="Z328" s="102"/>
      <c r="AA328" s="101"/>
      <c r="AB328" s="111"/>
      <c r="AE328" s="187"/>
      <c r="AF328" s="185"/>
      <c r="AG328" s="185" t="str">
        <f t="shared" si="47"/>
        <v/>
      </c>
      <c r="AH328" s="186" t="str">
        <f t="shared" si="48"/>
        <v/>
      </c>
      <c r="AI328" s="185"/>
      <c r="AJ328" s="188"/>
      <c r="CC328" s="562"/>
      <c r="CD328" s="425"/>
    </row>
    <row r="329" spans="2:82" ht="30" customHeight="1" x14ac:dyDescent="0.3">
      <c r="B329" s="562"/>
      <c r="C329" s="563"/>
      <c r="D329" s="425"/>
      <c r="E329" s="250" t="str">
        <f t="shared" si="49"/>
        <v/>
      </c>
      <c r="F329" s="556"/>
      <c r="G329" s="252" t="str">
        <f>IFERROR(VLOOKUP(F329,'Data (hidden)'!N:O,2,FALSE),"")</f>
        <v/>
      </c>
      <c r="H329" s="557"/>
      <c r="I329" s="558"/>
      <c r="J329" s="123">
        <f t="shared" si="45"/>
        <v>0</v>
      </c>
      <c r="K329" s="123" t="e">
        <f t="shared" si="46"/>
        <v>#VALUE!</v>
      </c>
      <c r="L329" s="123">
        <f t="shared" si="43"/>
        <v>0</v>
      </c>
      <c r="M329" s="124" t="str">
        <f t="shared" si="44"/>
        <v/>
      </c>
      <c r="N329" s="112"/>
      <c r="O329" s="101"/>
      <c r="P329" s="101"/>
      <c r="Q329" s="101"/>
      <c r="R329" s="102"/>
      <c r="S329" s="102"/>
      <c r="T329" s="102"/>
      <c r="U329" s="103"/>
      <c r="V329" s="100"/>
      <c r="W329" s="101"/>
      <c r="X329" s="113"/>
      <c r="Y329" s="114"/>
      <c r="Z329" s="102"/>
      <c r="AA329" s="101"/>
      <c r="AB329" s="111"/>
      <c r="AE329" s="187"/>
      <c r="AF329" s="185"/>
      <c r="AG329" s="185" t="str">
        <f t="shared" si="47"/>
        <v/>
      </c>
      <c r="AH329" s="186" t="str">
        <f t="shared" si="48"/>
        <v/>
      </c>
      <c r="AI329" s="185"/>
      <c r="AJ329" s="188"/>
      <c r="CC329" s="562"/>
      <c r="CD329" s="425"/>
    </row>
    <row r="330" spans="2:82" ht="30" customHeight="1" x14ac:dyDescent="0.3">
      <c r="B330" s="562"/>
      <c r="C330" s="563"/>
      <c r="D330" s="425"/>
      <c r="E330" s="250" t="str">
        <f t="shared" si="49"/>
        <v/>
      </c>
      <c r="F330" s="556"/>
      <c r="G330" s="252" t="str">
        <f>IFERROR(VLOOKUP(F330,'Data (hidden)'!N:O,2,FALSE),"")</f>
        <v/>
      </c>
      <c r="H330" s="557"/>
      <c r="I330" s="558"/>
      <c r="J330" s="123">
        <f t="shared" si="45"/>
        <v>0</v>
      </c>
      <c r="K330" s="123" t="e">
        <f t="shared" si="46"/>
        <v>#VALUE!</v>
      </c>
      <c r="L330" s="123">
        <f t="shared" si="43"/>
        <v>0</v>
      </c>
      <c r="M330" s="124" t="str">
        <f t="shared" si="44"/>
        <v/>
      </c>
      <c r="N330" s="112"/>
      <c r="O330" s="101"/>
      <c r="P330" s="101"/>
      <c r="Q330" s="101"/>
      <c r="R330" s="102"/>
      <c r="S330" s="102"/>
      <c r="T330" s="102"/>
      <c r="U330" s="103"/>
      <c r="V330" s="100"/>
      <c r="W330" s="101"/>
      <c r="X330" s="113"/>
      <c r="Y330" s="114"/>
      <c r="Z330" s="102"/>
      <c r="AA330" s="101"/>
      <c r="AB330" s="111"/>
      <c r="AE330" s="187"/>
      <c r="AF330" s="185"/>
      <c r="AG330" s="185" t="str">
        <f t="shared" si="47"/>
        <v/>
      </c>
      <c r="AH330" s="186" t="str">
        <f t="shared" si="48"/>
        <v/>
      </c>
      <c r="AI330" s="185"/>
      <c r="AJ330" s="188"/>
      <c r="CC330" s="562"/>
      <c r="CD330" s="425"/>
    </row>
    <row r="331" spans="2:82" ht="30" customHeight="1" x14ac:dyDescent="0.3">
      <c r="B331" s="562"/>
      <c r="C331" s="563"/>
      <c r="D331" s="425"/>
      <c r="E331" s="250" t="str">
        <f t="shared" si="49"/>
        <v/>
      </c>
      <c r="F331" s="556"/>
      <c r="G331" s="252" t="str">
        <f>IFERROR(VLOOKUP(F331,'Data (hidden)'!N:O,2,FALSE),"")</f>
        <v/>
      </c>
      <c r="H331" s="557"/>
      <c r="I331" s="558"/>
      <c r="J331" s="123">
        <f t="shared" si="45"/>
        <v>0</v>
      </c>
      <c r="K331" s="123" t="e">
        <f t="shared" si="46"/>
        <v>#VALUE!</v>
      </c>
      <c r="L331" s="123">
        <f t="shared" si="43"/>
        <v>0</v>
      </c>
      <c r="M331" s="124" t="str">
        <f t="shared" si="44"/>
        <v/>
      </c>
      <c r="N331" s="112"/>
      <c r="O331" s="101"/>
      <c r="P331" s="101"/>
      <c r="Q331" s="101"/>
      <c r="R331" s="102"/>
      <c r="S331" s="102"/>
      <c r="T331" s="102"/>
      <c r="U331" s="103"/>
      <c r="V331" s="100"/>
      <c r="W331" s="101"/>
      <c r="X331" s="113"/>
      <c r="Y331" s="114"/>
      <c r="Z331" s="102"/>
      <c r="AA331" s="101"/>
      <c r="AB331" s="111"/>
      <c r="AE331" s="187"/>
      <c r="AF331" s="185"/>
      <c r="AG331" s="185" t="str">
        <f t="shared" si="47"/>
        <v/>
      </c>
      <c r="AH331" s="186" t="str">
        <f t="shared" si="48"/>
        <v/>
      </c>
      <c r="AI331" s="185"/>
      <c r="AJ331" s="188"/>
      <c r="CC331" s="562"/>
      <c r="CD331" s="425"/>
    </row>
    <row r="332" spans="2:82" ht="30" customHeight="1" x14ac:dyDescent="0.3">
      <c r="B332" s="562"/>
      <c r="C332" s="563"/>
      <c r="D332" s="425"/>
      <c r="E332" s="250" t="str">
        <f t="shared" si="49"/>
        <v/>
      </c>
      <c r="F332" s="556"/>
      <c r="G332" s="252" t="str">
        <f>IFERROR(VLOOKUP(F332,'Data (hidden)'!N:O,2,FALSE),"")</f>
        <v/>
      </c>
      <c r="H332" s="557"/>
      <c r="I332" s="558"/>
      <c r="J332" s="123">
        <f t="shared" si="45"/>
        <v>0</v>
      </c>
      <c r="K332" s="123" t="e">
        <f t="shared" si="46"/>
        <v>#VALUE!</v>
      </c>
      <c r="L332" s="123">
        <f t="shared" si="43"/>
        <v>0</v>
      </c>
      <c r="M332" s="124" t="str">
        <f t="shared" si="44"/>
        <v/>
      </c>
      <c r="N332" s="112"/>
      <c r="O332" s="101"/>
      <c r="P332" s="101"/>
      <c r="Q332" s="101"/>
      <c r="R332" s="102"/>
      <c r="S332" s="102"/>
      <c r="T332" s="102"/>
      <c r="U332" s="103"/>
      <c r="V332" s="100"/>
      <c r="W332" s="101"/>
      <c r="X332" s="113"/>
      <c r="Y332" s="114"/>
      <c r="Z332" s="102"/>
      <c r="AA332" s="101"/>
      <c r="AB332" s="111"/>
      <c r="AE332" s="187"/>
      <c r="AF332" s="185"/>
      <c r="AG332" s="185" t="str">
        <f t="shared" si="47"/>
        <v/>
      </c>
      <c r="AH332" s="186" t="str">
        <f t="shared" si="48"/>
        <v/>
      </c>
      <c r="AI332" s="185"/>
      <c r="AJ332" s="188"/>
      <c r="CC332" s="562"/>
      <c r="CD332" s="425"/>
    </row>
    <row r="333" spans="2:82" ht="30" customHeight="1" x14ac:dyDescent="0.3">
      <c r="B333" s="562"/>
      <c r="C333" s="563"/>
      <c r="D333" s="425"/>
      <c r="E333" s="250" t="str">
        <f t="shared" si="49"/>
        <v/>
      </c>
      <c r="F333" s="556"/>
      <c r="G333" s="252" t="str">
        <f>IFERROR(VLOOKUP(F333,'Data (hidden)'!N:O,2,FALSE),"")</f>
        <v/>
      </c>
      <c r="H333" s="557"/>
      <c r="I333" s="558"/>
      <c r="J333" s="123">
        <f t="shared" si="45"/>
        <v>0</v>
      </c>
      <c r="K333" s="123" t="e">
        <f t="shared" si="46"/>
        <v>#VALUE!</v>
      </c>
      <c r="L333" s="123">
        <f t="shared" si="43"/>
        <v>0</v>
      </c>
      <c r="M333" s="124" t="str">
        <f t="shared" si="44"/>
        <v/>
      </c>
      <c r="N333" s="112"/>
      <c r="O333" s="101"/>
      <c r="P333" s="101"/>
      <c r="Q333" s="101"/>
      <c r="R333" s="102"/>
      <c r="S333" s="102"/>
      <c r="T333" s="102"/>
      <c r="U333" s="103"/>
      <c r="V333" s="100"/>
      <c r="W333" s="101"/>
      <c r="X333" s="113"/>
      <c r="Y333" s="114"/>
      <c r="Z333" s="102"/>
      <c r="AA333" s="101"/>
      <c r="AB333" s="111"/>
      <c r="AE333" s="187"/>
      <c r="AF333" s="185"/>
      <c r="AG333" s="185" t="str">
        <f t="shared" si="47"/>
        <v/>
      </c>
      <c r="AH333" s="186" t="str">
        <f t="shared" si="48"/>
        <v/>
      </c>
      <c r="AI333" s="185"/>
      <c r="AJ333" s="188"/>
      <c r="CC333" s="562"/>
      <c r="CD333" s="425"/>
    </row>
    <row r="334" spans="2:82" ht="30" customHeight="1" x14ac:dyDescent="0.3">
      <c r="B334" s="562"/>
      <c r="C334" s="563"/>
      <c r="D334" s="425"/>
      <c r="E334" s="250" t="str">
        <f t="shared" si="49"/>
        <v/>
      </c>
      <c r="F334" s="556"/>
      <c r="G334" s="252" t="str">
        <f>IFERROR(VLOOKUP(F334,'Data (hidden)'!N:O,2,FALSE),"")</f>
        <v/>
      </c>
      <c r="H334" s="557"/>
      <c r="I334" s="558"/>
      <c r="J334" s="123">
        <f t="shared" si="45"/>
        <v>0</v>
      </c>
      <c r="K334" s="123" t="e">
        <f t="shared" si="46"/>
        <v>#VALUE!</v>
      </c>
      <c r="L334" s="123">
        <f t="shared" si="43"/>
        <v>0</v>
      </c>
      <c r="M334" s="124" t="str">
        <f t="shared" si="44"/>
        <v/>
      </c>
      <c r="N334" s="112"/>
      <c r="O334" s="101"/>
      <c r="P334" s="101"/>
      <c r="Q334" s="101"/>
      <c r="R334" s="102"/>
      <c r="S334" s="102"/>
      <c r="T334" s="102"/>
      <c r="U334" s="103"/>
      <c r="V334" s="100"/>
      <c r="W334" s="101"/>
      <c r="X334" s="113"/>
      <c r="Y334" s="114"/>
      <c r="Z334" s="102"/>
      <c r="AA334" s="101"/>
      <c r="AB334" s="111"/>
      <c r="AE334" s="187"/>
      <c r="AF334" s="185"/>
      <c r="AG334" s="185" t="str">
        <f t="shared" si="47"/>
        <v/>
      </c>
      <c r="AH334" s="186" t="str">
        <f t="shared" si="48"/>
        <v/>
      </c>
      <c r="AI334" s="185"/>
      <c r="AJ334" s="188"/>
      <c r="CC334" s="562"/>
      <c r="CD334" s="425"/>
    </row>
    <row r="335" spans="2:82" ht="30" customHeight="1" x14ac:dyDescent="0.3">
      <c r="B335" s="562"/>
      <c r="C335" s="563"/>
      <c r="D335" s="425"/>
      <c r="E335" s="250" t="str">
        <f t="shared" si="49"/>
        <v/>
      </c>
      <c r="F335" s="556"/>
      <c r="G335" s="252" t="str">
        <f>IFERROR(VLOOKUP(F335,'Data (hidden)'!N:O,2,FALSE),"")</f>
        <v/>
      </c>
      <c r="H335" s="557"/>
      <c r="I335" s="558"/>
      <c r="J335" s="123">
        <f t="shared" si="45"/>
        <v>0</v>
      </c>
      <c r="K335" s="123" t="e">
        <f t="shared" si="46"/>
        <v>#VALUE!</v>
      </c>
      <c r="L335" s="123">
        <f t="shared" si="43"/>
        <v>0</v>
      </c>
      <c r="M335" s="124" t="str">
        <f t="shared" si="44"/>
        <v/>
      </c>
      <c r="N335" s="112"/>
      <c r="O335" s="101"/>
      <c r="P335" s="101"/>
      <c r="Q335" s="101"/>
      <c r="R335" s="102"/>
      <c r="S335" s="102"/>
      <c r="T335" s="102"/>
      <c r="U335" s="103"/>
      <c r="V335" s="100"/>
      <c r="W335" s="101"/>
      <c r="X335" s="113"/>
      <c r="Y335" s="114"/>
      <c r="Z335" s="102"/>
      <c r="AA335" s="101"/>
      <c r="AB335" s="111"/>
      <c r="AE335" s="187"/>
      <c r="AF335" s="185"/>
      <c r="AG335" s="185" t="str">
        <f t="shared" si="47"/>
        <v/>
      </c>
      <c r="AH335" s="186" t="str">
        <f t="shared" si="48"/>
        <v/>
      </c>
      <c r="AI335" s="185"/>
      <c r="AJ335" s="188"/>
      <c r="CC335" s="562"/>
      <c r="CD335" s="425"/>
    </row>
    <row r="336" spans="2:82" ht="30" customHeight="1" x14ac:dyDescent="0.3">
      <c r="B336" s="562"/>
      <c r="C336" s="563"/>
      <c r="D336" s="425"/>
      <c r="E336" s="250" t="str">
        <f t="shared" si="49"/>
        <v/>
      </c>
      <c r="F336" s="556"/>
      <c r="G336" s="252" t="str">
        <f>IFERROR(VLOOKUP(F336,'Data (hidden)'!N:O,2,FALSE),"")</f>
        <v/>
      </c>
      <c r="H336" s="557"/>
      <c r="I336" s="558"/>
      <c r="J336" s="123">
        <f t="shared" si="45"/>
        <v>0</v>
      </c>
      <c r="K336" s="123" t="e">
        <f t="shared" si="46"/>
        <v>#VALUE!</v>
      </c>
      <c r="L336" s="123">
        <f t="shared" si="43"/>
        <v>0</v>
      </c>
      <c r="M336" s="124" t="str">
        <f t="shared" si="44"/>
        <v/>
      </c>
      <c r="N336" s="112"/>
      <c r="O336" s="101"/>
      <c r="P336" s="101"/>
      <c r="Q336" s="101"/>
      <c r="R336" s="102"/>
      <c r="S336" s="102"/>
      <c r="T336" s="102"/>
      <c r="U336" s="103"/>
      <c r="V336" s="100"/>
      <c r="W336" s="101"/>
      <c r="X336" s="113"/>
      <c r="Y336" s="114"/>
      <c r="Z336" s="102"/>
      <c r="AA336" s="101"/>
      <c r="AB336" s="111"/>
      <c r="AE336" s="187"/>
      <c r="AF336" s="185"/>
      <c r="AG336" s="185" t="str">
        <f t="shared" si="47"/>
        <v/>
      </c>
      <c r="AH336" s="186" t="str">
        <f t="shared" si="48"/>
        <v/>
      </c>
      <c r="AI336" s="185"/>
      <c r="AJ336" s="188"/>
      <c r="CC336" s="562"/>
      <c r="CD336" s="425"/>
    </row>
    <row r="337" spans="2:82" ht="30" customHeight="1" x14ac:dyDescent="0.3">
      <c r="B337" s="562"/>
      <c r="C337" s="563"/>
      <c r="D337" s="425"/>
      <c r="E337" s="250" t="str">
        <f t="shared" si="49"/>
        <v/>
      </c>
      <c r="F337" s="556"/>
      <c r="G337" s="252" t="str">
        <f>IFERROR(VLOOKUP(F337,'Data (hidden)'!N:O,2,FALSE),"")</f>
        <v/>
      </c>
      <c r="H337" s="557"/>
      <c r="I337" s="558"/>
      <c r="J337" s="123">
        <f t="shared" si="45"/>
        <v>0</v>
      </c>
      <c r="K337" s="123" t="e">
        <f t="shared" si="46"/>
        <v>#VALUE!</v>
      </c>
      <c r="L337" s="123">
        <f t="shared" si="43"/>
        <v>0</v>
      </c>
      <c r="M337" s="124" t="str">
        <f t="shared" si="44"/>
        <v/>
      </c>
      <c r="N337" s="112"/>
      <c r="O337" s="101"/>
      <c r="P337" s="101"/>
      <c r="Q337" s="101"/>
      <c r="R337" s="102"/>
      <c r="S337" s="102"/>
      <c r="T337" s="102"/>
      <c r="U337" s="103"/>
      <c r="V337" s="100"/>
      <c r="W337" s="101"/>
      <c r="X337" s="113"/>
      <c r="Y337" s="114"/>
      <c r="Z337" s="102"/>
      <c r="AA337" s="101"/>
      <c r="AB337" s="111"/>
      <c r="AE337" s="187"/>
      <c r="AF337" s="185"/>
      <c r="AG337" s="185" t="str">
        <f t="shared" si="47"/>
        <v/>
      </c>
      <c r="AH337" s="186" t="str">
        <f t="shared" si="48"/>
        <v/>
      </c>
      <c r="AI337" s="185"/>
      <c r="AJ337" s="188"/>
      <c r="CC337" s="562"/>
      <c r="CD337" s="425"/>
    </row>
    <row r="338" spans="2:82" ht="30" customHeight="1" x14ac:dyDescent="0.3">
      <c r="B338" s="562"/>
      <c r="C338" s="563"/>
      <c r="D338" s="425"/>
      <c r="E338" s="250" t="str">
        <f t="shared" si="49"/>
        <v/>
      </c>
      <c r="F338" s="556"/>
      <c r="G338" s="252" t="str">
        <f>IFERROR(VLOOKUP(F338,'Data (hidden)'!N:O,2,FALSE),"")</f>
        <v/>
      </c>
      <c r="H338" s="557"/>
      <c r="I338" s="558"/>
      <c r="J338" s="123">
        <f t="shared" si="45"/>
        <v>0</v>
      </c>
      <c r="K338" s="123" t="e">
        <f t="shared" si="46"/>
        <v>#VALUE!</v>
      </c>
      <c r="L338" s="123">
        <f t="shared" si="43"/>
        <v>0</v>
      </c>
      <c r="M338" s="124" t="str">
        <f t="shared" si="44"/>
        <v/>
      </c>
      <c r="N338" s="112"/>
      <c r="O338" s="101"/>
      <c r="P338" s="101"/>
      <c r="Q338" s="101"/>
      <c r="R338" s="102"/>
      <c r="S338" s="102"/>
      <c r="T338" s="102"/>
      <c r="U338" s="103"/>
      <c r="V338" s="100"/>
      <c r="W338" s="101"/>
      <c r="X338" s="113"/>
      <c r="Y338" s="114"/>
      <c r="Z338" s="102"/>
      <c r="AA338" s="101"/>
      <c r="AB338" s="111"/>
      <c r="AE338" s="187"/>
      <c r="AF338" s="185"/>
      <c r="AG338" s="185" t="str">
        <f t="shared" si="47"/>
        <v/>
      </c>
      <c r="AH338" s="186" t="str">
        <f t="shared" si="48"/>
        <v/>
      </c>
      <c r="AI338" s="185"/>
      <c r="AJ338" s="188"/>
      <c r="CC338" s="562"/>
      <c r="CD338" s="425"/>
    </row>
    <row r="339" spans="2:82" ht="30" customHeight="1" x14ac:dyDescent="0.3">
      <c r="B339" s="562"/>
      <c r="C339" s="563"/>
      <c r="D339" s="425"/>
      <c r="E339" s="250" t="str">
        <f t="shared" si="49"/>
        <v/>
      </c>
      <c r="F339" s="556"/>
      <c r="G339" s="252" t="str">
        <f>IFERROR(VLOOKUP(F339,'Data (hidden)'!N:O,2,FALSE),"")</f>
        <v/>
      </c>
      <c r="H339" s="557"/>
      <c r="I339" s="558"/>
      <c r="J339" s="123">
        <f t="shared" si="45"/>
        <v>0</v>
      </c>
      <c r="K339" s="123" t="e">
        <f t="shared" si="46"/>
        <v>#VALUE!</v>
      </c>
      <c r="L339" s="123">
        <f t="shared" ref="L339:L402" si="50">D339*0.01</f>
        <v>0</v>
      </c>
      <c r="M339" s="124" t="str">
        <f t="shared" ref="M339:M402" si="51">IFERROR(K339*I339,"")</f>
        <v/>
      </c>
      <c r="N339" s="112"/>
      <c r="O339" s="101"/>
      <c r="P339" s="101"/>
      <c r="Q339" s="101"/>
      <c r="R339" s="102"/>
      <c r="S339" s="102"/>
      <c r="T339" s="102"/>
      <c r="U339" s="103"/>
      <c r="V339" s="100"/>
      <c r="W339" s="101"/>
      <c r="X339" s="113"/>
      <c r="Y339" s="114"/>
      <c r="Z339" s="102"/>
      <c r="AA339" s="101"/>
      <c r="AB339" s="111"/>
      <c r="AE339" s="187"/>
      <c r="AF339" s="185"/>
      <c r="AG339" s="185" t="str">
        <f t="shared" si="47"/>
        <v/>
      </c>
      <c r="AH339" s="186" t="str">
        <f t="shared" si="48"/>
        <v/>
      </c>
      <c r="AI339" s="185"/>
      <c r="AJ339" s="188"/>
      <c r="CC339" s="562"/>
      <c r="CD339" s="425"/>
    </row>
    <row r="340" spans="2:82" ht="30" customHeight="1" x14ac:dyDescent="0.3">
      <c r="B340" s="562"/>
      <c r="C340" s="563"/>
      <c r="D340" s="425"/>
      <c r="E340" s="250" t="str">
        <f t="shared" si="49"/>
        <v/>
      </c>
      <c r="F340" s="556"/>
      <c r="G340" s="252" t="str">
        <f>IFERROR(VLOOKUP(F340,'Data (hidden)'!N:O,2,FALSE),"")</f>
        <v/>
      </c>
      <c r="H340" s="557"/>
      <c r="I340" s="558"/>
      <c r="J340" s="123">
        <f t="shared" ref="J340:J403" si="52">H340*0.01</f>
        <v>0</v>
      </c>
      <c r="K340" s="123" t="e">
        <f t="shared" ref="K340:K403" si="53">E340*J340</f>
        <v>#VALUE!</v>
      </c>
      <c r="L340" s="123">
        <f t="shared" si="50"/>
        <v>0</v>
      </c>
      <c r="M340" s="124" t="str">
        <f t="shared" si="51"/>
        <v/>
      </c>
      <c r="N340" s="112"/>
      <c r="O340" s="101"/>
      <c r="P340" s="101"/>
      <c r="Q340" s="101"/>
      <c r="R340" s="102"/>
      <c r="S340" s="102"/>
      <c r="T340" s="102"/>
      <c r="U340" s="103"/>
      <c r="V340" s="100"/>
      <c r="W340" s="101"/>
      <c r="X340" s="113"/>
      <c r="Y340" s="114"/>
      <c r="Z340" s="102"/>
      <c r="AA340" s="101"/>
      <c r="AB340" s="111"/>
      <c r="AE340" s="187"/>
      <c r="AF340" s="185"/>
      <c r="AG340" s="185" t="str">
        <f t="shared" ref="AG340:AG403" si="54">IF(ISNUMBER(B340), B340, "")</f>
        <v/>
      </c>
      <c r="AH340" s="186" t="str">
        <f t="shared" ref="AH340:AH403" si="55">E340</f>
        <v/>
      </c>
      <c r="AI340" s="185"/>
      <c r="AJ340" s="188"/>
      <c r="CC340" s="562"/>
      <c r="CD340" s="425"/>
    </row>
    <row r="341" spans="2:82" ht="30" customHeight="1" x14ac:dyDescent="0.3">
      <c r="B341" s="562"/>
      <c r="C341" s="563"/>
      <c r="D341" s="425"/>
      <c r="E341" s="250" t="str">
        <f t="shared" si="49"/>
        <v/>
      </c>
      <c r="F341" s="556"/>
      <c r="G341" s="252" t="str">
        <f>IFERROR(VLOOKUP(F341,'Data (hidden)'!N:O,2,FALSE),"")</f>
        <v/>
      </c>
      <c r="H341" s="557"/>
      <c r="I341" s="558"/>
      <c r="J341" s="123">
        <f t="shared" si="52"/>
        <v>0</v>
      </c>
      <c r="K341" s="123" t="e">
        <f t="shared" si="53"/>
        <v>#VALUE!</v>
      </c>
      <c r="L341" s="123">
        <f t="shared" si="50"/>
        <v>0</v>
      </c>
      <c r="M341" s="124" t="str">
        <f t="shared" si="51"/>
        <v/>
      </c>
      <c r="N341" s="112"/>
      <c r="O341" s="101"/>
      <c r="P341" s="101"/>
      <c r="Q341" s="101"/>
      <c r="R341" s="102"/>
      <c r="S341" s="102"/>
      <c r="T341" s="102"/>
      <c r="U341" s="103"/>
      <c r="V341" s="100"/>
      <c r="W341" s="101"/>
      <c r="X341" s="113"/>
      <c r="Y341" s="114"/>
      <c r="Z341" s="102"/>
      <c r="AA341" s="101"/>
      <c r="AB341" s="111"/>
      <c r="AE341" s="187"/>
      <c r="AF341" s="185"/>
      <c r="AG341" s="185" t="str">
        <f t="shared" si="54"/>
        <v/>
      </c>
      <c r="AH341" s="186" t="str">
        <f t="shared" si="55"/>
        <v/>
      </c>
      <c r="AI341" s="185"/>
      <c r="AJ341" s="188"/>
      <c r="CC341" s="562"/>
      <c r="CD341" s="425"/>
    </row>
    <row r="342" spans="2:82" ht="30" customHeight="1" x14ac:dyDescent="0.3">
      <c r="B342" s="562"/>
      <c r="C342" s="563"/>
      <c r="D342" s="425"/>
      <c r="E342" s="250" t="str">
        <f t="shared" si="49"/>
        <v/>
      </c>
      <c r="F342" s="556"/>
      <c r="G342" s="252" t="str">
        <f>IFERROR(VLOOKUP(F342,'Data (hidden)'!N:O,2,FALSE),"")</f>
        <v/>
      </c>
      <c r="H342" s="557"/>
      <c r="I342" s="558"/>
      <c r="J342" s="123">
        <f t="shared" si="52"/>
        <v>0</v>
      </c>
      <c r="K342" s="123" t="e">
        <f t="shared" si="53"/>
        <v>#VALUE!</v>
      </c>
      <c r="L342" s="123">
        <f t="shared" si="50"/>
        <v>0</v>
      </c>
      <c r="M342" s="124" t="str">
        <f t="shared" si="51"/>
        <v/>
      </c>
      <c r="N342" s="112"/>
      <c r="O342" s="101"/>
      <c r="P342" s="101"/>
      <c r="Q342" s="101"/>
      <c r="R342" s="102"/>
      <c r="S342" s="102"/>
      <c r="T342" s="102"/>
      <c r="U342" s="103"/>
      <c r="V342" s="100"/>
      <c r="W342" s="101"/>
      <c r="X342" s="113"/>
      <c r="Y342" s="114"/>
      <c r="Z342" s="102"/>
      <c r="AA342" s="101"/>
      <c r="AB342" s="111"/>
      <c r="AE342" s="187"/>
      <c r="AF342" s="185"/>
      <c r="AG342" s="185" t="str">
        <f t="shared" si="54"/>
        <v/>
      </c>
      <c r="AH342" s="186" t="str">
        <f t="shared" si="55"/>
        <v/>
      </c>
      <c r="AI342" s="185"/>
      <c r="AJ342" s="188"/>
      <c r="CC342" s="562"/>
      <c r="CD342" s="425"/>
    </row>
    <row r="343" spans="2:82" ht="30" customHeight="1" x14ac:dyDescent="0.3">
      <c r="B343" s="562"/>
      <c r="C343" s="563"/>
      <c r="D343" s="425"/>
      <c r="E343" s="250" t="str">
        <f t="shared" si="49"/>
        <v/>
      </c>
      <c r="F343" s="556"/>
      <c r="G343" s="252" t="str">
        <f>IFERROR(VLOOKUP(F343,'Data (hidden)'!N:O,2,FALSE),"")</f>
        <v/>
      </c>
      <c r="H343" s="557"/>
      <c r="I343" s="558"/>
      <c r="J343" s="123">
        <f t="shared" si="52"/>
        <v>0</v>
      </c>
      <c r="K343" s="123" t="e">
        <f t="shared" si="53"/>
        <v>#VALUE!</v>
      </c>
      <c r="L343" s="123">
        <f t="shared" si="50"/>
        <v>0</v>
      </c>
      <c r="M343" s="124" t="str">
        <f t="shared" si="51"/>
        <v/>
      </c>
      <c r="N343" s="112"/>
      <c r="O343" s="101"/>
      <c r="P343" s="101"/>
      <c r="Q343" s="101"/>
      <c r="R343" s="102"/>
      <c r="S343" s="102"/>
      <c r="T343" s="102"/>
      <c r="U343" s="103"/>
      <c r="V343" s="100"/>
      <c r="W343" s="101"/>
      <c r="X343" s="113"/>
      <c r="Y343" s="114"/>
      <c r="Z343" s="102"/>
      <c r="AA343" s="101"/>
      <c r="AB343" s="111"/>
      <c r="AE343" s="187"/>
      <c r="AF343" s="185"/>
      <c r="AG343" s="185" t="str">
        <f t="shared" si="54"/>
        <v/>
      </c>
      <c r="AH343" s="186" t="str">
        <f t="shared" si="55"/>
        <v/>
      </c>
      <c r="AI343" s="185"/>
      <c r="AJ343" s="188"/>
      <c r="CC343" s="562"/>
      <c r="CD343" s="425"/>
    </row>
    <row r="344" spans="2:82" ht="30" customHeight="1" x14ac:dyDescent="0.3">
      <c r="B344" s="562"/>
      <c r="C344" s="563"/>
      <c r="D344" s="425"/>
      <c r="E344" s="250" t="str">
        <f t="shared" si="49"/>
        <v/>
      </c>
      <c r="F344" s="556"/>
      <c r="G344" s="252" t="str">
        <f>IFERROR(VLOOKUP(F344,'Data (hidden)'!N:O,2,FALSE),"")</f>
        <v/>
      </c>
      <c r="H344" s="557"/>
      <c r="I344" s="558"/>
      <c r="J344" s="123">
        <f t="shared" si="52"/>
        <v>0</v>
      </c>
      <c r="K344" s="123" t="e">
        <f t="shared" si="53"/>
        <v>#VALUE!</v>
      </c>
      <c r="L344" s="123">
        <f t="shared" si="50"/>
        <v>0</v>
      </c>
      <c r="M344" s="124" t="str">
        <f t="shared" si="51"/>
        <v/>
      </c>
      <c r="N344" s="112"/>
      <c r="O344" s="101"/>
      <c r="P344" s="101"/>
      <c r="Q344" s="101"/>
      <c r="R344" s="102"/>
      <c r="S344" s="102"/>
      <c r="T344" s="102"/>
      <c r="U344" s="103"/>
      <c r="V344" s="100"/>
      <c r="W344" s="101"/>
      <c r="X344" s="113"/>
      <c r="Y344" s="114"/>
      <c r="Z344" s="102"/>
      <c r="AA344" s="101"/>
      <c r="AB344" s="111"/>
      <c r="AE344" s="187"/>
      <c r="AF344" s="185"/>
      <c r="AG344" s="185" t="str">
        <f t="shared" si="54"/>
        <v/>
      </c>
      <c r="AH344" s="186" t="str">
        <f t="shared" si="55"/>
        <v/>
      </c>
      <c r="AI344" s="185"/>
      <c r="AJ344" s="188"/>
      <c r="CC344" s="562"/>
      <c r="CD344" s="425"/>
    </row>
    <row r="345" spans="2:82" ht="30" customHeight="1" x14ac:dyDescent="0.3">
      <c r="B345" s="562"/>
      <c r="C345" s="563"/>
      <c r="D345" s="425"/>
      <c r="E345" s="250" t="str">
        <f t="shared" si="49"/>
        <v/>
      </c>
      <c r="F345" s="556"/>
      <c r="G345" s="252" t="str">
        <f>IFERROR(VLOOKUP(F345,'Data (hidden)'!N:O,2,FALSE),"")</f>
        <v/>
      </c>
      <c r="H345" s="557"/>
      <c r="I345" s="558"/>
      <c r="J345" s="123">
        <f t="shared" si="52"/>
        <v>0</v>
      </c>
      <c r="K345" s="123" t="e">
        <f t="shared" si="53"/>
        <v>#VALUE!</v>
      </c>
      <c r="L345" s="123">
        <f t="shared" si="50"/>
        <v>0</v>
      </c>
      <c r="M345" s="124" t="str">
        <f t="shared" si="51"/>
        <v/>
      </c>
      <c r="N345" s="112"/>
      <c r="O345" s="101"/>
      <c r="P345" s="101"/>
      <c r="Q345" s="101"/>
      <c r="R345" s="102"/>
      <c r="S345" s="102"/>
      <c r="T345" s="102"/>
      <c r="U345" s="103"/>
      <c r="V345" s="100"/>
      <c r="W345" s="101"/>
      <c r="X345" s="113"/>
      <c r="Y345" s="114"/>
      <c r="Z345" s="102"/>
      <c r="AA345" s="101"/>
      <c r="AB345" s="111"/>
      <c r="AE345" s="187"/>
      <c r="AF345" s="185"/>
      <c r="AG345" s="185" t="str">
        <f t="shared" si="54"/>
        <v/>
      </c>
      <c r="AH345" s="186" t="str">
        <f t="shared" si="55"/>
        <v/>
      </c>
      <c r="AI345" s="185"/>
      <c r="AJ345" s="188"/>
      <c r="CC345" s="562"/>
      <c r="CD345" s="425"/>
    </row>
    <row r="346" spans="2:82" ht="30" customHeight="1" x14ac:dyDescent="0.3">
      <c r="B346" s="562"/>
      <c r="C346" s="563"/>
      <c r="D346" s="425"/>
      <c r="E346" s="250" t="str">
        <f t="shared" si="49"/>
        <v/>
      </c>
      <c r="F346" s="556"/>
      <c r="G346" s="252" t="str">
        <f>IFERROR(VLOOKUP(F346,'Data (hidden)'!N:O,2,FALSE),"")</f>
        <v/>
      </c>
      <c r="H346" s="557"/>
      <c r="I346" s="558"/>
      <c r="J346" s="123">
        <f t="shared" si="52"/>
        <v>0</v>
      </c>
      <c r="K346" s="123" t="e">
        <f t="shared" si="53"/>
        <v>#VALUE!</v>
      </c>
      <c r="L346" s="123">
        <f t="shared" si="50"/>
        <v>0</v>
      </c>
      <c r="M346" s="124" t="str">
        <f t="shared" si="51"/>
        <v/>
      </c>
      <c r="N346" s="112"/>
      <c r="O346" s="101"/>
      <c r="P346" s="101"/>
      <c r="Q346" s="101"/>
      <c r="R346" s="102"/>
      <c r="S346" s="102"/>
      <c r="T346" s="102"/>
      <c r="U346" s="103"/>
      <c r="V346" s="100"/>
      <c r="W346" s="101"/>
      <c r="X346" s="113"/>
      <c r="Y346" s="114"/>
      <c r="Z346" s="102"/>
      <c r="AA346" s="101"/>
      <c r="AB346" s="111"/>
      <c r="AE346" s="187"/>
      <c r="AF346" s="185"/>
      <c r="AG346" s="185" t="str">
        <f t="shared" si="54"/>
        <v/>
      </c>
      <c r="AH346" s="186" t="str">
        <f t="shared" si="55"/>
        <v/>
      </c>
      <c r="AI346" s="185"/>
      <c r="AJ346" s="188"/>
      <c r="CC346" s="562"/>
      <c r="CD346" s="425"/>
    </row>
    <row r="347" spans="2:82" ht="30" customHeight="1" x14ac:dyDescent="0.3">
      <c r="B347" s="562"/>
      <c r="C347" s="563"/>
      <c r="D347" s="425"/>
      <c r="E347" s="250" t="str">
        <f t="shared" si="49"/>
        <v/>
      </c>
      <c r="F347" s="556"/>
      <c r="G347" s="252" t="str">
        <f>IFERROR(VLOOKUP(F347,'Data (hidden)'!N:O,2,FALSE),"")</f>
        <v/>
      </c>
      <c r="H347" s="557"/>
      <c r="I347" s="558"/>
      <c r="J347" s="123">
        <f t="shared" si="52"/>
        <v>0</v>
      </c>
      <c r="K347" s="123" t="e">
        <f t="shared" si="53"/>
        <v>#VALUE!</v>
      </c>
      <c r="L347" s="123">
        <f t="shared" si="50"/>
        <v>0</v>
      </c>
      <c r="M347" s="124" t="str">
        <f t="shared" si="51"/>
        <v/>
      </c>
      <c r="N347" s="112"/>
      <c r="O347" s="101"/>
      <c r="P347" s="101"/>
      <c r="Q347" s="101"/>
      <c r="R347" s="102"/>
      <c r="S347" s="102"/>
      <c r="T347" s="102"/>
      <c r="U347" s="103"/>
      <c r="V347" s="100"/>
      <c r="W347" s="101"/>
      <c r="X347" s="113"/>
      <c r="Y347" s="114"/>
      <c r="Z347" s="102"/>
      <c r="AA347" s="101"/>
      <c r="AB347" s="111"/>
      <c r="AE347" s="187"/>
      <c r="AF347" s="185"/>
      <c r="AG347" s="185" t="str">
        <f t="shared" si="54"/>
        <v/>
      </c>
      <c r="AH347" s="186" t="str">
        <f t="shared" si="55"/>
        <v/>
      </c>
      <c r="AI347" s="185"/>
      <c r="AJ347" s="188"/>
      <c r="CC347" s="562"/>
      <c r="CD347" s="425"/>
    </row>
    <row r="348" spans="2:82" ht="30" customHeight="1" x14ac:dyDescent="0.3">
      <c r="B348" s="562"/>
      <c r="C348" s="563"/>
      <c r="D348" s="425"/>
      <c r="E348" s="250" t="str">
        <f t="shared" si="49"/>
        <v/>
      </c>
      <c r="F348" s="556"/>
      <c r="G348" s="252" t="str">
        <f>IFERROR(VLOOKUP(F348,'Data (hidden)'!N:O,2,FALSE),"")</f>
        <v/>
      </c>
      <c r="H348" s="557"/>
      <c r="I348" s="558"/>
      <c r="J348" s="123">
        <f t="shared" si="52"/>
        <v>0</v>
      </c>
      <c r="K348" s="123" t="e">
        <f t="shared" si="53"/>
        <v>#VALUE!</v>
      </c>
      <c r="L348" s="123">
        <f t="shared" si="50"/>
        <v>0</v>
      </c>
      <c r="M348" s="124" t="str">
        <f t="shared" si="51"/>
        <v/>
      </c>
      <c r="N348" s="112"/>
      <c r="O348" s="101"/>
      <c r="P348" s="101"/>
      <c r="Q348" s="101"/>
      <c r="R348" s="102"/>
      <c r="S348" s="102"/>
      <c r="T348" s="102"/>
      <c r="U348" s="103"/>
      <c r="V348" s="100"/>
      <c r="W348" s="101"/>
      <c r="X348" s="113"/>
      <c r="Y348" s="114"/>
      <c r="Z348" s="102"/>
      <c r="AA348" s="101"/>
      <c r="AB348" s="111"/>
      <c r="AE348" s="187"/>
      <c r="AF348" s="185"/>
      <c r="AG348" s="185" t="str">
        <f t="shared" si="54"/>
        <v/>
      </c>
      <c r="AH348" s="186" t="str">
        <f t="shared" si="55"/>
        <v/>
      </c>
      <c r="AI348" s="185"/>
      <c r="AJ348" s="188"/>
      <c r="CC348" s="562"/>
      <c r="CD348" s="425"/>
    </row>
    <row r="349" spans="2:82" ht="30" customHeight="1" x14ac:dyDescent="0.3">
      <c r="B349" s="562"/>
      <c r="C349" s="563"/>
      <c r="D349" s="425"/>
      <c r="E349" s="250" t="str">
        <f t="shared" si="49"/>
        <v/>
      </c>
      <c r="F349" s="556"/>
      <c r="G349" s="252" t="str">
        <f>IFERROR(VLOOKUP(F349,'Data (hidden)'!N:O,2,FALSE),"")</f>
        <v/>
      </c>
      <c r="H349" s="557"/>
      <c r="I349" s="558"/>
      <c r="J349" s="123">
        <f t="shared" si="52"/>
        <v>0</v>
      </c>
      <c r="K349" s="123" t="e">
        <f t="shared" si="53"/>
        <v>#VALUE!</v>
      </c>
      <c r="L349" s="123">
        <f t="shared" si="50"/>
        <v>0</v>
      </c>
      <c r="M349" s="124" t="str">
        <f t="shared" si="51"/>
        <v/>
      </c>
      <c r="N349" s="112"/>
      <c r="O349" s="101"/>
      <c r="P349" s="101"/>
      <c r="Q349" s="101"/>
      <c r="R349" s="102"/>
      <c r="S349" s="102"/>
      <c r="T349" s="102"/>
      <c r="U349" s="103"/>
      <c r="V349" s="100"/>
      <c r="W349" s="101"/>
      <c r="X349" s="113"/>
      <c r="Y349" s="114"/>
      <c r="Z349" s="102"/>
      <c r="AA349" s="101"/>
      <c r="AB349" s="111"/>
      <c r="AE349" s="187"/>
      <c r="AF349" s="185"/>
      <c r="AG349" s="185" t="str">
        <f t="shared" si="54"/>
        <v/>
      </c>
      <c r="AH349" s="186" t="str">
        <f t="shared" si="55"/>
        <v/>
      </c>
      <c r="AI349" s="185"/>
      <c r="AJ349" s="188"/>
      <c r="CC349" s="562"/>
      <c r="CD349" s="425"/>
    </row>
    <row r="350" spans="2:82" ht="30" customHeight="1" x14ac:dyDescent="0.3">
      <c r="B350" s="562"/>
      <c r="C350" s="563"/>
      <c r="D350" s="425"/>
      <c r="E350" s="250" t="str">
        <f t="shared" si="49"/>
        <v/>
      </c>
      <c r="F350" s="556"/>
      <c r="G350" s="252" t="str">
        <f>IFERROR(VLOOKUP(F350,'Data (hidden)'!N:O,2,FALSE),"")</f>
        <v/>
      </c>
      <c r="H350" s="557"/>
      <c r="I350" s="558"/>
      <c r="J350" s="123">
        <f t="shared" si="52"/>
        <v>0</v>
      </c>
      <c r="K350" s="123" t="e">
        <f t="shared" si="53"/>
        <v>#VALUE!</v>
      </c>
      <c r="L350" s="123">
        <f t="shared" si="50"/>
        <v>0</v>
      </c>
      <c r="M350" s="124" t="str">
        <f t="shared" si="51"/>
        <v/>
      </c>
      <c r="N350" s="112"/>
      <c r="O350" s="101"/>
      <c r="P350" s="101"/>
      <c r="Q350" s="101"/>
      <c r="R350" s="102"/>
      <c r="S350" s="102"/>
      <c r="T350" s="102"/>
      <c r="U350" s="103"/>
      <c r="V350" s="100"/>
      <c r="W350" s="101"/>
      <c r="X350" s="113"/>
      <c r="Y350" s="114"/>
      <c r="Z350" s="102"/>
      <c r="AA350" s="101"/>
      <c r="AB350" s="111"/>
      <c r="AE350" s="187"/>
      <c r="AF350" s="185"/>
      <c r="AG350" s="185" t="str">
        <f t="shared" si="54"/>
        <v/>
      </c>
      <c r="AH350" s="186" t="str">
        <f t="shared" si="55"/>
        <v/>
      </c>
      <c r="AI350" s="185"/>
      <c r="AJ350" s="188"/>
      <c r="CC350" s="562"/>
      <c r="CD350" s="425"/>
    </row>
    <row r="351" spans="2:82" ht="30" customHeight="1" x14ac:dyDescent="0.3">
      <c r="B351" s="562"/>
      <c r="C351" s="563"/>
      <c r="D351" s="425"/>
      <c r="E351" s="250" t="str">
        <f t="shared" si="49"/>
        <v/>
      </c>
      <c r="F351" s="556"/>
      <c r="G351" s="252" t="str">
        <f>IFERROR(VLOOKUP(F351,'Data (hidden)'!N:O,2,FALSE),"")</f>
        <v/>
      </c>
      <c r="H351" s="557"/>
      <c r="I351" s="558"/>
      <c r="J351" s="123">
        <f t="shared" si="52"/>
        <v>0</v>
      </c>
      <c r="K351" s="123" t="e">
        <f t="shared" si="53"/>
        <v>#VALUE!</v>
      </c>
      <c r="L351" s="123">
        <f t="shared" si="50"/>
        <v>0</v>
      </c>
      <c r="M351" s="124" t="str">
        <f t="shared" si="51"/>
        <v/>
      </c>
      <c r="N351" s="112"/>
      <c r="O351" s="101"/>
      <c r="P351" s="101"/>
      <c r="Q351" s="101"/>
      <c r="R351" s="102"/>
      <c r="S351" s="102"/>
      <c r="T351" s="102"/>
      <c r="U351" s="103"/>
      <c r="V351" s="100"/>
      <c r="W351" s="101"/>
      <c r="X351" s="113"/>
      <c r="Y351" s="114"/>
      <c r="Z351" s="102"/>
      <c r="AA351" s="101"/>
      <c r="AB351" s="111"/>
      <c r="AE351" s="187"/>
      <c r="AF351" s="185"/>
      <c r="AG351" s="185" t="str">
        <f t="shared" si="54"/>
        <v/>
      </c>
      <c r="AH351" s="186" t="str">
        <f t="shared" si="55"/>
        <v/>
      </c>
      <c r="AI351" s="185"/>
      <c r="AJ351" s="188"/>
      <c r="CC351" s="562"/>
      <c r="CD351" s="425"/>
    </row>
    <row r="352" spans="2:82" ht="30" customHeight="1" x14ac:dyDescent="0.3">
      <c r="B352" s="562"/>
      <c r="C352" s="563"/>
      <c r="D352" s="425"/>
      <c r="E352" s="250" t="str">
        <f t="shared" si="49"/>
        <v/>
      </c>
      <c r="F352" s="556"/>
      <c r="G352" s="252" t="str">
        <f>IFERROR(VLOOKUP(F352,'Data (hidden)'!N:O,2,FALSE),"")</f>
        <v/>
      </c>
      <c r="H352" s="557"/>
      <c r="I352" s="558"/>
      <c r="J352" s="123">
        <f t="shared" si="52"/>
        <v>0</v>
      </c>
      <c r="K352" s="123" t="e">
        <f t="shared" si="53"/>
        <v>#VALUE!</v>
      </c>
      <c r="L352" s="123">
        <f t="shared" si="50"/>
        <v>0</v>
      </c>
      <c r="M352" s="124" t="str">
        <f t="shared" si="51"/>
        <v/>
      </c>
      <c r="N352" s="112"/>
      <c r="O352" s="101"/>
      <c r="P352" s="101"/>
      <c r="Q352" s="101"/>
      <c r="R352" s="102"/>
      <c r="S352" s="102"/>
      <c r="T352" s="102"/>
      <c r="U352" s="103"/>
      <c r="V352" s="100"/>
      <c r="W352" s="101"/>
      <c r="X352" s="113"/>
      <c r="Y352" s="114"/>
      <c r="Z352" s="102"/>
      <c r="AA352" s="101"/>
      <c r="AB352" s="111"/>
      <c r="AE352" s="187"/>
      <c r="AF352" s="185"/>
      <c r="AG352" s="185" t="str">
        <f t="shared" si="54"/>
        <v/>
      </c>
      <c r="AH352" s="186" t="str">
        <f t="shared" si="55"/>
        <v/>
      </c>
      <c r="AI352" s="185"/>
      <c r="AJ352" s="188"/>
      <c r="CC352" s="562"/>
      <c r="CD352" s="425"/>
    </row>
    <row r="353" spans="2:82" ht="30" customHeight="1" x14ac:dyDescent="0.3">
      <c r="B353" s="562"/>
      <c r="C353" s="563"/>
      <c r="D353" s="425"/>
      <c r="E353" s="250" t="str">
        <f t="shared" si="49"/>
        <v/>
      </c>
      <c r="F353" s="556"/>
      <c r="G353" s="252" t="str">
        <f>IFERROR(VLOOKUP(F353,'Data (hidden)'!N:O,2,FALSE),"")</f>
        <v/>
      </c>
      <c r="H353" s="557"/>
      <c r="I353" s="558"/>
      <c r="J353" s="123">
        <f t="shared" si="52"/>
        <v>0</v>
      </c>
      <c r="K353" s="123" t="e">
        <f t="shared" si="53"/>
        <v>#VALUE!</v>
      </c>
      <c r="L353" s="123">
        <f t="shared" si="50"/>
        <v>0</v>
      </c>
      <c r="M353" s="124" t="str">
        <f t="shared" si="51"/>
        <v/>
      </c>
      <c r="N353" s="112"/>
      <c r="O353" s="101"/>
      <c r="P353" s="101"/>
      <c r="Q353" s="101"/>
      <c r="R353" s="102"/>
      <c r="S353" s="102"/>
      <c r="T353" s="102"/>
      <c r="U353" s="103"/>
      <c r="V353" s="100"/>
      <c r="W353" s="101"/>
      <c r="X353" s="113"/>
      <c r="Y353" s="114"/>
      <c r="Z353" s="102"/>
      <c r="AA353" s="101"/>
      <c r="AB353" s="111"/>
      <c r="AE353" s="187"/>
      <c r="AF353" s="185"/>
      <c r="AG353" s="185" t="str">
        <f t="shared" si="54"/>
        <v/>
      </c>
      <c r="AH353" s="186" t="str">
        <f t="shared" si="55"/>
        <v/>
      </c>
      <c r="AI353" s="185"/>
      <c r="AJ353" s="188"/>
      <c r="CC353" s="562"/>
      <c r="CD353" s="425"/>
    </row>
    <row r="354" spans="2:82" ht="30" customHeight="1" x14ac:dyDescent="0.3">
      <c r="B354" s="562"/>
      <c r="C354" s="563"/>
      <c r="D354" s="425"/>
      <c r="E354" s="250" t="str">
        <f t="shared" si="49"/>
        <v/>
      </c>
      <c r="F354" s="556"/>
      <c r="G354" s="252" t="str">
        <f>IFERROR(VLOOKUP(F354,'Data (hidden)'!N:O,2,FALSE),"")</f>
        <v/>
      </c>
      <c r="H354" s="557"/>
      <c r="I354" s="558"/>
      <c r="J354" s="123">
        <f t="shared" si="52"/>
        <v>0</v>
      </c>
      <c r="K354" s="123" t="e">
        <f t="shared" si="53"/>
        <v>#VALUE!</v>
      </c>
      <c r="L354" s="123">
        <f t="shared" si="50"/>
        <v>0</v>
      </c>
      <c r="M354" s="124" t="str">
        <f t="shared" si="51"/>
        <v/>
      </c>
      <c r="N354" s="112"/>
      <c r="O354" s="101"/>
      <c r="P354" s="101"/>
      <c r="Q354" s="101"/>
      <c r="R354" s="102"/>
      <c r="S354" s="102"/>
      <c r="T354" s="102"/>
      <c r="U354" s="103"/>
      <c r="V354" s="100"/>
      <c r="W354" s="101"/>
      <c r="X354" s="113"/>
      <c r="Y354" s="114"/>
      <c r="Z354" s="102"/>
      <c r="AA354" s="101"/>
      <c r="AB354" s="111"/>
      <c r="AE354" s="187"/>
      <c r="AF354" s="185"/>
      <c r="AG354" s="185" t="str">
        <f t="shared" si="54"/>
        <v/>
      </c>
      <c r="AH354" s="186" t="str">
        <f t="shared" si="55"/>
        <v/>
      </c>
      <c r="AI354" s="185"/>
      <c r="AJ354" s="188"/>
      <c r="CC354" s="562"/>
      <c r="CD354" s="425"/>
    </row>
    <row r="355" spans="2:82" ht="30" customHeight="1" x14ac:dyDescent="0.3">
      <c r="B355" s="562"/>
      <c r="C355" s="563"/>
      <c r="D355" s="425"/>
      <c r="E355" s="250" t="str">
        <f t="shared" si="49"/>
        <v/>
      </c>
      <c r="F355" s="556"/>
      <c r="G355" s="252" t="str">
        <f>IFERROR(VLOOKUP(F355,'Data (hidden)'!N:O,2,FALSE),"")</f>
        <v/>
      </c>
      <c r="H355" s="557"/>
      <c r="I355" s="558"/>
      <c r="J355" s="123">
        <f t="shared" si="52"/>
        <v>0</v>
      </c>
      <c r="K355" s="123" t="e">
        <f t="shared" si="53"/>
        <v>#VALUE!</v>
      </c>
      <c r="L355" s="123">
        <f t="shared" si="50"/>
        <v>0</v>
      </c>
      <c r="M355" s="124" t="str">
        <f t="shared" si="51"/>
        <v/>
      </c>
      <c r="N355" s="112"/>
      <c r="O355" s="101"/>
      <c r="P355" s="101"/>
      <c r="Q355" s="101"/>
      <c r="R355" s="102"/>
      <c r="S355" s="102"/>
      <c r="T355" s="102"/>
      <c r="U355" s="103"/>
      <c r="V355" s="100"/>
      <c r="W355" s="101"/>
      <c r="X355" s="113"/>
      <c r="Y355" s="114"/>
      <c r="Z355" s="102"/>
      <c r="AA355" s="101"/>
      <c r="AB355" s="111"/>
      <c r="AE355" s="187"/>
      <c r="AF355" s="185"/>
      <c r="AG355" s="185" t="str">
        <f t="shared" si="54"/>
        <v/>
      </c>
      <c r="AH355" s="186" t="str">
        <f t="shared" si="55"/>
        <v/>
      </c>
      <c r="AI355" s="185"/>
      <c r="AJ355" s="188"/>
      <c r="CC355" s="562"/>
      <c r="CD355" s="425"/>
    </row>
    <row r="356" spans="2:82" ht="30" customHeight="1" x14ac:dyDescent="0.3">
      <c r="B356" s="562"/>
      <c r="C356" s="563"/>
      <c r="D356" s="425"/>
      <c r="E356" s="250" t="str">
        <f t="shared" si="49"/>
        <v/>
      </c>
      <c r="F356" s="556"/>
      <c r="G356" s="252" t="str">
        <f>IFERROR(VLOOKUP(F356,'Data (hidden)'!N:O,2,FALSE),"")</f>
        <v/>
      </c>
      <c r="H356" s="557"/>
      <c r="I356" s="558"/>
      <c r="J356" s="123">
        <f t="shared" si="52"/>
        <v>0</v>
      </c>
      <c r="K356" s="123" t="e">
        <f t="shared" si="53"/>
        <v>#VALUE!</v>
      </c>
      <c r="L356" s="123">
        <f t="shared" si="50"/>
        <v>0</v>
      </c>
      <c r="M356" s="124" t="str">
        <f t="shared" si="51"/>
        <v/>
      </c>
      <c r="N356" s="112"/>
      <c r="O356" s="101"/>
      <c r="P356" s="101"/>
      <c r="Q356" s="101"/>
      <c r="R356" s="102"/>
      <c r="S356" s="102"/>
      <c r="T356" s="102"/>
      <c r="U356" s="103"/>
      <c r="V356" s="100"/>
      <c r="W356" s="101"/>
      <c r="X356" s="113"/>
      <c r="Y356" s="114"/>
      <c r="Z356" s="102"/>
      <c r="AA356" s="101"/>
      <c r="AB356" s="111"/>
      <c r="AE356" s="187"/>
      <c r="AF356" s="185"/>
      <c r="AG356" s="185" t="str">
        <f t="shared" si="54"/>
        <v/>
      </c>
      <c r="AH356" s="186" t="str">
        <f t="shared" si="55"/>
        <v/>
      </c>
      <c r="AI356" s="185"/>
      <c r="AJ356" s="188"/>
      <c r="CC356" s="562"/>
      <c r="CD356" s="425"/>
    </row>
    <row r="357" spans="2:82" ht="30" customHeight="1" x14ac:dyDescent="0.3">
      <c r="B357" s="562"/>
      <c r="C357" s="563"/>
      <c r="D357" s="425"/>
      <c r="E357" s="250" t="str">
        <f t="shared" si="49"/>
        <v/>
      </c>
      <c r="F357" s="556"/>
      <c r="G357" s="252" t="str">
        <f>IFERROR(VLOOKUP(F357,'Data (hidden)'!N:O,2,FALSE),"")</f>
        <v/>
      </c>
      <c r="H357" s="557"/>
      <c r="I357" s="558"/>
      <c r="J357" s="123">
        <f t="shared" si="52"/>
        <v>0</v>
      </c>
      <c r="K357" s="123" t="e">
        <f t="shared" si="53"/>
        <v>#VALUE!</v>
      </c>
      <c r="L357" s="123">
        <f t="shared" si="50"/>
        <v>0</v>
      </c>
      <c r="M357" s="124" t="str">
        <f t="shared" si="51"/>
        <v/>
      </c>
      <c r="N357" s="112"/>
      <c r="O357" s="101"/>
      <c r="P357" s="101"/>
      <c r="Q357" s="101"/>
      <c r="R357" s="102"/>
      <c r="S357" s="102"/>
      <c r="T357" s="102"/>
      <c r="U357" s="103"/>
      <c r="V357" s="100"/>
      <c r="W357" s="101"/>
      <c r="X357" s="113"/>
      <c r="Y357" s="114"/>
      <c r="Z357" s="102"/>
      <c r="AA357" s="101"/>
      <c r="AB357" s="111"/>
      <c r="AE357" s="187"/>
      <c r="AF357" s="185"/>
      <c r="AG357" s="185" t="str">
        <f t="shared" si="54"/>
        <v/>
      </c>
      <c r="AH357" s="186" t="str">
        <f t="shared" si="55"/>
        <v/>
      </c>
      <c r="AI357" s="185"/>
      <c r="AJ357" s="188"/>
      <c r="CC357" s="562"/>
      <c r="CD357" s="425"/>
    </row>
    <row r="358" spans="2:82" ht="30" customHeight="1" x14ac:dyDescent="0.3">
      <c r="B358" s="562"/>
      <c r="C358" s="563"/>
      <c r="D358" s="425"/>
      <c r="E358" s="250" t="str">
        <f t="shared" si="49"/>
        <v/>
      </c>
      <c r="F358" s="556"/>
      <c r="G358" s="252" t="str">
        <f>IFERROR(VLOOKUP(F358,'Data (hidden)'!N:O,2,FALSE),"")</f>
        <v/>
      </c>
      <c r="H358" s="557"/>
      <c r="I358" s="558"/>
      <c r="J358" s="123">
        <f t="shared" si="52"/>
        <v>0</v>
      </c>
      <c r="K358" s="123" t="e">
        <f t="shared" si="53"/>
        <v>#VALUE!</v>
      </c>
      <c r="L358" s="123">
        <f t="shared" si="50"/>
        <v>0</v>
      </c>
      <c r="M358" s="124" t="str">
        <f t="shared" si="51"/>
        <v/>
      </c>
      <c r="N358" s="112"/>
      <c r="O358" s="101"/>
      <c r="P358" s="101"/>
      <c r="Q358" s="101"/>
      <c r="R358" s="102"/>
      <c r="S358" s="102"/>
      <c r="T358" s="102"/>
      <c r="U358" s="103"/>
      <c r="V358" s="100"/>
      <c r="W358" s="101"/>
      <c r="X358" s="113"/>
      <c r="Y358" s="114"/>
      <c r="Z358" s="102"/>
      <c r="AA358" s="101"/>
      <c r="AB358" s="111"/>
      <c r="AE358" s="187"/>
      <c r="AF358" s="185"/>
      <c r="AG358" s="185" t="str">
        <f t="shared" si="54"/>
        <v/>
      </c>
      <c r="AH358" s="186" t="str">
        <f t="shared" si="55"/>
        <v/>
      </c>
      <c r="AI358" s="185"/>
      <c r="AJ358" s="188"/>
      <c r="CC358" s="562"/>
      <c r="CD358" s="425"/>
    </row>
    <row r="359" spans="2:82" ht="30" customHeight="1" x14ac:dyDescent="0.3">
      <c r="B359" s="562"/>
      <c r="C359" s="563"/>
      <c r="D359" s="425"/>
      <c r="E359" s="250" t="str">
        <f t="shared" si="49"/>
        <v/>
      </c>
      <c r="F359" s="556"/>
      <c r="G359" s="252" t="str">
        <f>IFERROR(VLOOKUP(F359,'Data (hidden)'!N:O,2,FALSE),"")</f>
        <v/>
      </c>
      <c r="H359" s="557"/>
      <c r="I359" s="558"/>
      <c r="J359" s="123">
        <f t="shared" si="52"/>
        <v>0</v>
      </c>
      <c r="K359" s="123" t="e">
        <f t="shared" si="53"/>
        <v>#VALUE!</v>
      </c>
      <c r="L359" s="123">
        <f t="shared" si="50"/>
        <v>0</v>
      </c>
      <c r="M359" s="124" t="str">
        <f t="shared" si="51"/>
        <v/>
      </c>
      <c r="N359" s="112"/>
      <c r="O359" s="101"/>
      <c r="P359" s="101"/>
      <c r="Q359" s="101"/>
      <c r="R359" s="102"/>
      <c r="S359" s="102"/>
      <c r="T359" s="102"/>
      <c r="U359" s="103"/>
      <c r="V359" s="100"/>
      <c r="W359" s="101"/>
      <c r="X359" s="113"/>
      <c r="Y359" s="114"/>
      <c r="Z359" s="102"/>
      <c r="AA359" s="101"/>
      <c r="AB359" s="111"/>
      <c r="AE359" s="187"/>
      <c r="AF359" s="185"/>
      <c r="AG359" s="185" t="str">
        <f t="shared" si="54"/>
        <v/>
      </c>
      <c r="AH359" s="186" t="str">
        <f t="shared" si="55"/>
        <v/>
      </c>
      <c r="AI359" s="185"/>
      <c r="AJ359" s="188"/>
      <c r="CC359" s="562"/>
      <c r="CD359" s="425"/>
    </row>
    <row r="360" spans="2:82" ht="30" customHeight="1" x14ac:dyDescent="0.3">
      <c r="B360" s="562"/>
      <c r="C360" s="563"/>
      <c r="D360" s="425"/>
      <c r="E360" s="250" t="str">
        <f t="shared" si="49"/>
        <v/>
      </c>
      <c r="F360" s="556"/>
      <c r="G360" s="252" t="str">
        <f>IFERROR(VLOOKUP(F360,'Data (hidden)'!N:O,2,FALSE),"")</f>
        <v/>
      </c>
      <c r="H360" s="557"/>
      <c r="I360" s="558"/>
      <c r="J360" s="123">
        <f t="shared" si="52"/>
        <v>0</v>
      </c>
      <c r="K360" s="123" t="e">
        <f t="shared" si="53"/>
        <v>#VALUE!</v>
      </c>
      <c r="L360" s="123">
        <f t="shared" si="50"/>
        <v>0</v>
      </c>
      <c r="M360" s="124" t="str">
        <f t="shared" si="51"/>
        <v/>
      </c>
      <c r="N360" s="112"/>
      <c r="O360" s="101"/>
      <c r="P360" s="101"/>
      <c r="Q360" s="101"/>
      <c r="R360" s="102"/>
      <c r="S360" s="102"/>
      <c r="T360" s="102"/>
      <c r="U360" s="103"/>
      <c r="V360" s="100"/>
      <c r="W360" s="101"/>
      <c r="X360" s="113"/>
      <c r="Y360" s="114"/>
      <c r="Z360" s="102"/>
      <c r="AA360" s="101"/>
      <c r="AB360" s="111"/>
      <c r="AE360" s="187"/>
      <c r="AF360" s="185"/>
      <c r="AG360" s="185" t="str">
        <f t="shared" si="54"/>
        <v/>
      </c>
      <c r="AH360" s="186" t="str">
        <f t="shared" si="55"/>
        <v/>
      </c>
      <c r="AI360" s="185"/>
      <c r="AJ360" s="188"/>
      <c r="CC360" s="562"/>
      <c r="CD360" s="425"/>
    </row>
    <row r="361" spans="2:82" ht="30" customHeight="1" x14ac:dyDescent="0.3">
      <c r="B361" s="562"/>
      <c r="C361" s="563"/>
      <c r="D361" s="425"/>
      <c r="E361" s="250" t="str">
        <f t="shared" si="49"/>
        <v/>
      </c>
      <c r="F361" s="556"/>
      <c r="G361" s="252" t="str">
        <f>IFERROR(VLOOKUP(F361,'Data (hidden)'!N:O,2,FALSE),"")</f>
        <v/>
      </c>
      <c r="H361" s="557"/>
      <c r="I361" s="558"/>
      <c r="J361" s="123">
        <f t="shared" si="52"/>
        <v>0</v>
      </c>
      <c r="K361" s="123" t="e">
        <f t="shared" si="53"/>
        <v>#VALUE!</v>
      </c>
      <c r="L361" s="123">
        <f t="shared" si="50"/>
        <v>0</v>
      </c>
      <c r="M361" s="124" t="str">
        <f t="shared" si="51"/>
        <v/>
      </c>
      <c r="N361" s="112"/>
      <c r="O361" s="101"/>
      <c r="P361" s="101"/>
      <c r="Q361" s="101"/>
      <c r="R361" s="102"/>
      <c r="S361" s="102"/>
      <c r="T361" s="102"/>
      <c r="U361" s="103"/>
      <c r="V361" s="100"/>
      <c r="W361" s="101"/>
      <c r="X361" s="113"/>
      <c r="Y361" s="114"/>
      <c r="Z361" s="102"/>
      <c r="AA361" s="101"/>
      <c r="AB361" s="111"/>
      <c r="AE361" s="187"/>
      <c r="AF361" s="185"/>
      <c r="AG361" s="185" t="str">
        <f t="shared" si="54"/>
        <v/>
      </c>
      <c r="AH361" s="186" t="str">
        <f t="shared" si="55"/>
        <v/>
      </c>
      <c r="AI361" s="185"/>
      <c r="AJ361" s="188"/>
      <c r="CC361" s="562"/>
      <c r="CD361" s="425"/>
    </row>
    <row r="362" spans="2:82" ht="30" customHeight="1" x14ac:dyDescent="0.3">
      <c r="B362" s="562"/>
      <c r="C362" s="563"/>
      <c r="D362" s="425"/>
      <c r="E362" s="250" t="str">
        <f t="shared" si="49"/>
        <v/>
      </c>
      <c r="F362" s="556"/>
      <c r="G362" s="252" t="str">
        <f>IFERROR(VLOOKUP(F362,'Data (hidden)'!N:O,2,FALSE),"")</f>
        <v/>
      </c>
      <c r="H362" s="557"/>
      <c r="I362" s="558"/>
      <c r="J362" s="123">
        <f t="shared" si="52"/>
        <v>0</v>
      </c>
      <c r="K362" s="123" t="e">
        <f t="shared" si="53"/>
        <v>#VALUE!</v>
      </c>
      <c r="L362" s="123">
        <f t="shared" si="50"/>
        <v>0</v>
      </c>
      <c r="M362" s="124" t="str">
        <f t="shared" si="51"/>
        <v/>
      </c>
      <c r="N362" s="112"/>
      <c r="O362" s="101"/>
      <c r="P362" s="101"/>
      <c r="Q362" s="101"/>
      <c r="R362" s="102"/>
      <c r="S362" s="102"/>
      <c r="T362" s="102"/>
      <c r="U362" s="103"/>
      <c r="V362" s="100"/>
      <c r="W362" s="101"/>
      <c r="X362" s="113"/>
      <c r="Y362" s="114"/>
      <c r="Z362" s="102"/>
      <c r="AA362" s="101"/>
      <c r="AB362" s="111"/>
      <c r="AE362" s="187"/>
      <c r="AF362" s="185"/>
      <c r="AG362" s="185" t="str">
        <f t="shared" si="54"/>
        <v/>
      </c>
      <c r="AH362" s="186" t="str">
        <f t="shared" si="55"/>
        <v/>
      </c>
      <c r="AI362" s="185"/>
      <c r="AJ362" s="188"/>
      <c r="CC362" s="562"/>
      <c r="CD362" s="425"/>
    </row>
    <row r="363" spans="2:82" ht="30" customHeight="1" x14ac:dyDescent="0.3">
      <c r="B363" s="562"/>
      <c r="C363" s="563"/>
      <c r="D363" s="425"/>
      <c r="E363" s="250" t="str">
        <f t="shared" si="49"/>
        <v/>
      </c>
      <c r="F363" s="556"/>
      <c r="G363" s="252" t="str">
        <f>IFERROR(VLOOKUP(F363,'Data (hidden)'!N:O,2,FALSE),"")</f>
        <v/>
      </c>
      <c r="H363" s="557"/>
      <c r="I363" s="558"/>
      <c r="J363" s="123">
        <f t="shared" si="52"/>
        <v>0</v>
      </c>
      <c r="K363" s="123" t="e">
        <f t="shared" si="53"/>
        <v>#VALUE!</v>
      </c>
      <c r="L363" s="123">
        <f t="shared" si="50"/>
        <v>0</v>
      </c>
      <c r="M363" s="124" t="str">
        <f t="shared" si="51"/>
        <v/>
      </c>
      <c r="N363" s="112"/>
      <c r="O363" s="101"/>
      <c r="P363" s="101"/>
      <c r="Q363" s="101"/>
      <c r="R363" s="102"/>
      <c r="S363" s="102"/>
      <c r="T363" s="102"/>
      <c r="U363" s="103"/>
      <c r="V363" s="100"/>
      <c r="W363" s="101"/>
      <c r="X363" s="113"/>
      <c r="Y363" s="114"/>
      <c r="Z363" s="102"/>
      <c r="AA363" s="101"/>
      <c r="AB363" s="111"/>
      <c r="AE363" s="187"/>
      <c r="AF363" s="185"/>
      <c r="AG363" s="185" t="str">
        <f t="shared" si="54"/>
        <v/>
      </c>
      <c r="AH363" s="186" t="str">
        <f t="shared" si="55"/>
        <v/>
      </c>
      <c r="AI363" s="185"/>
      <c r="AJ363" s="188"/>
      <c r="CC363" s="562"/>
      <c r="CD363" s="425"/>
    </row>
    <row r="364" spans="2:82" ht="30" customHeight="1" x14ac:dyDescent="0.3">
      <c r="B364" s="562"/>
      <c r="C364" s="563"/>
      <c r="D364" s="425"/>
      <c r="E364" s="250" t="str">
        <f t="shared" si="49"/>
        <v/>
      </c>
      <c r="F364" s="556"/>
      <c r="G364" s="252" t="str">
        <f>IFERROR(VLOOKUP(F364,'Data (hidden)'!N:O,2,FALSE),"")</f>
        <v/>
      </c>
      <c r="H364" s="557"/>
      <c r="I364" s="558"/>
      <c r="J364" s="123">
        <f t="shared" si="52"/>
        <v>0</v>
      </c>
      <c r="K364" s="123" t="e">
        <f t="shared" si="53"/>
        <v>#VALUE!</v>
      </c>
      <c r="L364" s="123">
        <f t="shared" si="50"/>
        <v>0</v>
      </c>
      <c r="M364" s="124" t="str">
        <f t="shared" si="51"/>
        <v/>
      </c>
      <c r="N364" s="112"/>
      <c r="O364" s="101"/>
      <c r="P364" s="101"/>
      <c r="Q364" s="101"/>
      <c r="R364" s="102"/>
      <c r="S364" s="102"/>
      <c r="T364" s="102"/>
      <c r="U364" s="103"/>
      <c r="V364" s="100"/>
      <c r="W364" s="101"/>
      <c r="X364" s="113"/>
      <c r="Y364" s="114"/>
      <c r="Z364" s="102"/>
      <c r="AA364" s="101"/>
      <c r="AB364" s="111"/>
      <c r="AE364" s="187"/>
      <c r="AF364" s="185"/>
      <c r="AG364" s="185" t="str">
        <f t="shared" si="54"/>
        <v/>
      </c>
      <c r="AH364" s="186" t="str">
        <f t="shared" si="55"/>
        <v/>
      </c>
      <c r="AI364" s="185"/>
      <c r="AJ364" s="188"/>
      <c r="CC364" s="562"/>
      <c r="CD364" s="425"/>
    </row>
    <row r="365" spans="2:82" ht="30" customHeight="1" x14ac:dyDescent="0.3">
      <c r="B365" s="562"/>
      <c r="C365" s="563"/>
      <c r="D365" s="425"/>
      <c r="E365" s="250" t="str">
        <f t="shared" si="49"/>
        <v/>
      </c>
      <c r="F365" s="556"/>
      <c r="G365" s="252" t="str">
        <f>IFERROR(VLOOKUP(F365,'Data (hidden)'!N:O,2,FALSE),"")</f>
        <v/>
      </c>
      <c r="H365" s="557"/>
      <c r="I365" s="558"/>
      <c r="J365" s="123">
        <f t="shared" si="52"/>
        <v>0</v>
      </c>
      <c r="K365" s="123" t="e">
        <f t="shared" si="53"/>
        <v>#VALUE!</v>
      </c>
      <c r="L365" s="123">
        <f t="shared" si="50"/>
        <v>0</v>
      </c>
      <c r="M365" s="124" t="str">
        <f t="shared" si="51"/>
        <v/>
      </c>
      <c r="N365" s="112"/>
      <c r="O365" s="101"/>
      <c r="P365" s="101"/>
      <c r="Q365" s="101"/>
      <c r="R365" s="102"/>
      <c r="S365" s="102"/>
      <c r="T365" s="102"/>
      <c r="U365" s="103"/>
      <c r="V365" s="100"/>
      <c r="W365" s="101"/>
      <c r="X365" s="113"/>
      <c r="Y365" s="114"/>
      <c r="Z365" s="102"/>
      <c r="AA365" s="101"/>
      <c r="AB365" s="111"/>
      <c r="AE365" s="187"/>
      <c r="AF365" s="185"/>
      <c r="AG365" s="185" t="str">
        <f t="shared" si="54"/>
        <v/>
      </c>
      <c r="AH365" s="186" t="str">
        <f t="shared" si="55"/>
        <v/>
      </c>
      <c r="AI365" s="185"/>
      <c r="AJ365" s="188"/>
      <c r="CC365" s="562"/>
      <c r="CD365" s="425"/>
    </row>
    <row r="366" spans="2:82" ht="30" customHeight="1" x14ac:dyDescent="0.3">
      <c r="B366" s="562"/>
      <c r="C366" s="563"/>
      <c r="D366" s="425"/>
      <c r="E366" s="250" t="str">
        <f t="shared" si="49"/>
        <v/>
      </c>
      <c r="F366" s="556"/>
      <c r="G366" s="252" t="str">
        <f>IFERROR(VLOOKUP(F366,'Data (hidden)'!N:O,2,FALSE),"")</f>
        <v/>
      </c>
      <c r="H366" s="557"/>
      <c r="I366" s="558"/>
      <c r="J366" s="123">
        <f t="shared" si="52"/>
        <v>0</v>
      </c>
      <c r="K366" s="123" t="e">
        <f t="shared" si="53"/>
        <v>#VALUE!</v>
      </c>
      <c r="L366" s="123">
        <f t="shared" si="50"/>
        <v>0</v>
      </c>
      <c r="M366" s="124" t="str">
        <f t="shared" si="51"/>
        <v/>
      </c>
      <c r="N366" s="112"/>
      <c r="O366" s="101"/>
      <c r="P366" s="101"/>
      <c r="Q366" s="101"/>
      <c r="R366" s="102"/>
      <c r="S366" s="102"/>
      <c r="T366" s="102"/>
      <c r="U366" s="103"/>
      <c r="V366" s="100"/>
      <c r="W366" s="101"/>
      <c r="X366" s="113"/>
      <c r="Y366" s="114"/>
      <c r="Z366" s="102"/>
      <c r="AA366" s="101"/>
      <c r="AB366" s="111"/>
      <c r="AE366" s="187"/>
      <c r="AF366" s="185"/>
      <c r="AG366" s="185" t="str">
        <f t="shared" si="54"/>
        <v/>
      </c>
      <c r="AH366" s="186" t="str">
        <f t="shared" si="55"/>
        <v/>
      </c>
      <c r="AI366" s="185"/>
      <c r="AJ366" s="188"/>
      <c r="CC366" s="562"/>
      <c r="CD366" s="425"/>
    </row>
    <row r="367" spans="2:82" ht="30" customHeight="1" x14ac:dyDescent="0.3">
      <c r="B367" s="562"/>
      <c r="C367" s="563"/>
      <c r="D367" s="425"/>
      <c r="E367" s="250" t="str">
        <f t="shared" si="49"/>
        <v/>
      </c>
      <c r="F367" s="556"/>
      <c r="G367" s="252" t="str">
        <f>IFERROR(VLOOKUP(F367,'Data (hidden)'!N:O,2,FALSE),"")</f>
        <v/>
      </c>
      <c r="H367" s="557"/>
      <c r="I367" s="558"/>
      <c r="J367" s="123">
        <f t="shared" si="52"/>
        <v>0</v>
      </c>
      <c r="K367" s="123" t="e">
        <f t="shared" si="53"/>
        <v>#VALUE!</v>
      </c>
      <c r="L367" s="123">
        <f t="shared" si="50"/>
        <v>0</v>
      </c>
      <c r="M367" s="124" t="str">
        <f t="shared" si="51"/>
        <v/>
      </c>
      <c r="N367" s="112"/>
      <c r="O367" s="101"/>
      <c r="P367" s="101"/>
      <c r="Q367" s="101"/>
      <c r="R367" s="102"/>
      <c r="S367" s="102"/>
      <c r="T367" s="102"/>
      <c r="U367" s="103"/>
      <c r="V367" s="100"/>
      <c r="W367" s="101"/>
      <c r="X367" s="113"/>
      <c r="Y367" s="114"/>
      <c r="Z367" s="102"/>
      <c r="AA367" s="101"/>
      <c r="AB367" s="111"/>
      <c r="AE367" s="187"/>
      <c r="AF367" s="185"/>
      <c r="AG367" s="185" t="str">
        <f t="shared" si="54"/>
        <v/>
      </c>
      <c r="AH367" s="186" t="str">
        <f t="shared" si="55"/>
        <v/>
      </c>
      <c r="AI367" s="185"/>
      <c r="AJ367" s="188"/>
      <c r="CC367" s="562"/>
      <c r="CD367" s="425"/>
    </row>
    <row r="368" spans="2:82" ht="30" customHeight="1" x14ac:dyDescent="0.3">
      <c r="B368" s="562"/>
      <c r="C368" s="563"/>
      <c r="D368" s="425"/>
      <c r="E368" s="250" t="str">
        <f t="shared" si="49"/>
        <v/>
      </c>
      <c r="F368" s="556"/>
      <c r="G368" s="252" t="str">
        <f>IFERROR(VLOOKUP(F368,'Data (hidden)'!N:O,2,FALSE),"")</f>
        <v/>
      </c>
      <c r="H368" s="557"/>
      <c r="I368" s="558"/>
      <c r="J368" s="123">
        <f t="shared" si="52"/>
        <v>0</v>
      </c>
      <c r="K368" s="123" t="e">
        <f t="shared" si="53"/>
        <v>#VALUE!</v>
      </c>
      <c r="L368" s="123">
        <f t="shared" si="50"/>
        <v>0</v>
      </c>
      <c r="M368" s="124" t="str">
        <f t="shared" si="51"/>
        <v/>
      </c>
      <c r="N368" s="112"/>
      <c r="O368" s="101"/>
      <c r="P368" s="101"/>
      <c r="Q368" s="101"/>
      <c r="R368" s="102"/>
      <c r="S368" s="102"/>
      <c r="T368" s="102"/>
      <c r="U368" s="103"/>
      <c r="V368" s="100"/>
      <c r="W368" s="101"/>
      <c r="X368" s="113"/>
      <c r="Y368" s="114"/>
      <c r="Z368" s="102"/>
      <c r="AA368" s="101"/>
      <c r="AB368" s="111"/>
      <c r="AE368" s="187"/>
      <c r="AF368" s="185"/>
      <c r="AG368" s="185" t="str">
        <f t="shared" si="54"/>
        <v/>
      </c>
      <c r="AH368" s="186" t="str">
        <f t="shared" si="55"/>
        <v/>
      </c>
      <c r="AI368" s="185"/>
      <c r="AJ368" s="188"/>
      <c r="CC368" s="562"/>
      <c r="CD368" s="425"/>
    </row>
    <row r="369" spans="2:82" ht="30" customHeight="1" x14ac:dyDescent="0.3">
      <c r="B369" s="562"/>
      <c r="C369" s="563"/>
      <c r="D369" s="425"/>
      <c r="E369" s="250" t="str">
        <f t="shared" si="49"/>
        <v/>
      </c>
      <c r="F369" s="556"/>
      <c r="G369" s="252" t="str">
        <f>IFERROR(VLOOKUP(F369,'Data (hidden)'!N:O,2,FALSE),"")</f>
        <v/>
      </c>
      <c r="H369" s="557"/>
      <c r="I369" s="558"/>
      <c r="J369" s="123">
        <f t="shared" si="52"/>
        <v>0</v>
      </c>
      <c r="K369" s="123" t="e">
        <f t="shared" si="53"/>
        <v>#VALUE!</v>
      </c>
      <c r="L369" s="123">
        <f t="shared" si="50"/>
        <v>0</v>
      </c>
      <c r="M369" s="124" t="str">
        <f t="shared" si="51"/>
        <v/>
      </c>
      <c r="N369" s="112"/>
      <c r="O369" s="101"/>
      <c r="P369" s="101"/>
      <c r="Q369" s="101"/>
      <c r="R369" s="102"/>
      <c r="S369" s="102"/>
      <c r="T369" s="102"/>
      <c r="U369" s="103"/>
      <c r="V369" s="100"/>
      <c r="W369" s="101"/>
      <c r="X369" s="113"/>
      <c r="Y369" s="114"/>
      <c r="Z369" s="102"/>
      <c r="AA369" s="101"/>
      <c r="AB369" s="111"/>
      <c r="AE369" s="187"/>
      <c r="AF369" s="185"/>
      <c r="AG369" s="185" t="str">
        <f t="shared" si="54"/>
        <v/>
      </c>
      <c r="AH369" s="186" t="str">
        <f t="shared" si="55"/>
        <v/>
      </c>
      <c r="AI369" s="185"/>
      <c r="AJ369" s="188"/>
      <c r="CC369" s="562"/>
      <c r="CD369" s="425"/>
    </row>
    <row r="370" spans="2:82" ht="30" customHeight="1" x14ac:dyDescent="0.3">
      <c r="B370" s="562"/>
      <c r="C370" s="563"/>
      <c r="D370" s="425"/>
      <c r="E370" s="250" t="str">
        <f t="shared" si="49"/>
        <v/>
      </c>
      <c r="F370" s="556"/>
      <c r="G370" s="252" t="str">
        <f>IFERROR(VLOOKUP(F370,'Data (hidden)'!N:O,2,FALSE),"")</f>
        <v/>
      </c>
      <c r="H370" s="557"/>
      <c r="I370" s="558"/>
      <c r="J370" s="123">
        <f t="shared" si="52"/>
        <v>0</v>
      </c>
      <c r="K370" s="123" t="e">
        <f t="shared" si="53"/>
        <v>#VALUE!</v>
      </c>
      <c r="L370" s="123">
        <f t="shared" si="50"/>
        <v>0</v>
      </c>
      <c r="M370" s="124" t="str">
        <f t="shared" si="51"/>
        <v/>
      </c>
      <c r="N370" s="112"/>
      <c r="O370" s="101"/>
      <c r="P370" s="101"/>
      <c r="Q370" s="101"/>
      <c r="R370" s="102"/>
      <c r="S370" s="102"/>
      <c r="T370" s="102"/>
      <c r="U370" s="103"/>
      <c r="V370" s="100"/>
      <c r="W370" s="101"/>
      <c r="X370" s="113"/>
      <c r="Y370" s="114"/>
      <c r="Z370" s="102"/>
      <c r="AA370" s="101"/>
      <c r="AB370" s="111"/>
      <c r="AE370" s="187"/>
      <c r="AF370" s="185"/>
      <c r="AG370" s="185" t="str">
        <f t="shared" si="54"/>
        <v/>
      </c>
      <c r="AH370" s="186" t="str">
        <f t="shared" si="55"/>
        <v/>
      </c>
      <c r="AI370" s="185"/>
      <c r="AJ370" s="188"/>
      <c r="CC370" s="562"/>
      <c r="CD370" s="425"/>
    </row>
    <row r="371" spans="2:82" ht="30" customHeight="1" x14ac:dyDescent="0.3">
      <c r="B371" s="562"/>
      <c r="C371" s="563"/>
      <c r="D371" s="425"/>
      <c r="E371" s="250" t="str">
        <f t="shared" si="49"/>
        <v/>
      </c>
      <c r="F371" s="556"/>
      <c r="G371" s="252" t="str">
        <f>IFERROR(VLOOKUP(F371,'Data (hidden)'!N:O,2,FALSE),"")</f>
        <v/>
      </c>
      <c r="H371" s="557"/>
      <c r="I371" s="558"/>
      <c r="J371" s="123">
        <f t="shared" si="52"/>
        <v>0</v>
      </c>
      <c r="K371" s="123" t="e">
        <f t="shared" si="53"/>
        <v>#VALUE!</v>
      </c>
      <c r="L371" s="123">
        <f t="shared" si="50"/>
        <v>0</v>
      </c>
      <c r="M371" s="124" t="str">
        <f t="shared" si="51"/>
        <v/>
      </c>
      <c r="N371" s="112"/>
      <c r="O371" s="101"/>
      <c r="P371" s="101"/>
      <c r="Q371" s="101"/>
      <c r="R371" s="102"/>
      <c r="S371" s="102"/>
      <c r="T371" s="102"/>
      <c r="U371" s="103"/>
      <c r="V371" s="100"/>
      <c r="W371" s="101"/>
      <c r="X371" s="113"/>
      <c r="Y371" s="114"/>
      <c r="Z371" s="102"/>
      <c r="AA371" s="101"/>
      <c r="AB371" s="111"/>
      <c r="AE371" s="187"/>
      <c r="AF371" s="185"/>
      <c r="AG371" s="185" t="str">
        <f t="shared" si="54"/>
        <v/>
      </c>
      <c r="AH371" s="186" t="str">
        <f t="shared" si="55"/>
        <v/>
      </c>
      <c r="AI371" s="185"/>
      <c r="AJ371" s="188"/>
      <c r="CC371" s="562"/>
      <c r="CD371" s="425"/>
    </row>
    <row r="372" spans="2:82" ht="30" customHeight="1" x14ac:dyDescent="0.3">
      <c r="B372" s="562"/>
      <c r="C372" s="563"/>
      <c r="D372" s="425"/>
      <c r="E372" s="250" t="str">
        <f t="shared" ref="E372:E435" si="56">IF(SUM(C372-(C372*L372))=0,"",SUM(C372-(C372*L372)))</f>
        <v/>
      </c>
      <c r="F372" s="556"/>
      <c r="G372" s="252" t="str">
        <f>IFERROR(VLOOKUP(F372,'Data (hidden)'!N:O,2,FALSE),"")</f>
        <v/>
      </c>
      <c r="H372" s="557"/>
      <c r="I372" s="558"/>
      <c r="J372" s="123">
        <f t="shared" si="52"/>
        <v>0</v>
      </c>
      <c r="K372" s="123" t="e">
        <f t="shared" si="53"/>
        <v>#VALUE!</v>
      </c>
      <c r="L372" s="123">
        <f t="shared" si="50"/>
        <v>0</v>
      </c>
      <c r="M372" s="124" t="str">
        <f t="shared" si="51"/>
        <v/>
      </c>
      <c r="N372" s="112"/>
      <c r="O372" s="101"/>
      <c r="P372" s="101"/>
      <c r="Q372" s="101"/>
      <c r="R372" s="102"/>
      <c r="S372" s="102"/>
      <c r="T372" s="102"/>
      <c r="U372" s="103"/>
      <c r="V372" s="100"/>
      <c r="W372" s="101"/>
      <c r="X372" s="113"/>
      <c r="Y372" s="114"/>
      <c r="Z372" s="102"/>
      <c r="AA372" s="101"/>
      <c r="AB372" s="111"/>
      <c r="AE372" s="187"/>
      <c r="AF372" s="185"/>
      <c r="AG372" s="185" t="str">
        <f t="shared" si="54"/>
        <v/>
      </c>
      <c r="AH372" s="186" t="str">
        <f t="shared" si="55"/>
        <v/>
      </c>
      <c r="AI372" s="185"/>
      <c r="AJ372" s="188"/>
      <c r="CC372" s="562"/>
      <c r="CD372" s="425"/>
    </row>
    <row r="373" spans="2:82" ht="30" customHeight="1" x14ac:dyDescent="0.3">
      <c r="B373" s="562"/>
      <c r="C373" s="563"/>
      <c r="D373" s="425"/>
      <c r="E373" s="250" t="str">
        <f t="shared" si="56"/>
        <v/>
      </c>
      <c r="F373" s="556"/>
      <c r="G373" s="252" t="str">
        <f>IFERROR(VLOOKUP(F373,'Data (hidden)'!N:O,2,FALSE),"")</f>
        <v/>
      </c>
      <c r="H373" s="557"/>
      <c r="I373" s="558"/>
      <c r="J373" s="123">
        <f t="shared" si="52"/>
        <v>0</v>
      </c>
      <c r="K373" s="123" t="e">
        <f t="shared" si="53"/>
        <v>#VALUE!</v>
      </c>
      <c r="L373" s="123">
        <f t="shared" si="50"/>
        <v>0</v>
      </c>
      <c r="M373" s="124" t="str">
        <f t="shared" si="51"/>
        <v/>
      </c>
      <c r="N373" s="112"/>
      <c r="O373" s="101"/>
      <c r="P373" s="101"/>
      <c r="Q373" s="101"/>
      <c r="R373" s="102"/>
      <c r="S373" s="102"/>
      <c r="T373" s="102"/>
      <c r="U373" s="103"/>
      <c r="V373" s="100"/>
      <c r="W373" s="101"/>
      <c r="X373" s="113"/>
      <c r="Y373" s="114"/>
      <c r="Z373" s="102"/>
      <c r="AA373" s="101"/>
      <c r="AB373" s="111"/>
      <c r="AE373" s="187"/>
      <c r="AF373" s="185"/>
      <c r="AG373" s="185" t="str">
        <f t="shared" si="54"/>
        <v/>
      </c>
      <c r="AH373" s="186" t="str">
        <f t="shared" si="55"/>
        <v/>
      </c>
      <c r="AI373" s="185"/>
      <c r="AJ373" s="188"/>
      <c r="CC373" s="562"/>
      <c r="CD373" s="425"/>
    </row>
    <row r="374" spans="2:82" ht="30" customHeight="1" x14ac:dyDescent="0.3">
      <c r="B374" s="562"/>
      <c r="C374" s="563"/>
      <c r="D374" s="425"/>
      <c r="E374" s="250" t="str">
        <f t="shared" si="56"/>
        <v/>
      </c>
      <c r="F374" s="556"/>
      <c r="G374" s="252" t="str">
        <f>IFERROR(VLOOKUP(F374,'Data (hidden)'!N:O,2,FALSE),"")</f>
        <v/>
      </c>
      <c r="H374" s="557"/>
      <c r="I374" s="558"/>
      <c r="J374" s="123">
        <f t="shared" si="52"/>
        <v>0</v>
      </c>
      <c r="K374" s="123" t="e">
        <f t="shared" si="53"/>
        <v>#VALUE!</v>
      </c>
      <c r="L374" s="123">
        <f t="shared" si="50"/>
        <v>0</v>
      </c>
      <c r="M374" s="124" t="str">
        <f t="shared" si="51"/>
        <v/>
      </c>
      <c r="N374" s="112"/>
      <c r="O374" s="101"/>
      <c r="P374" s="101"/>
      <c r="Q374" s="101"/>
      <c r="R374" s="102"/>
      <c r="S374" s="102"/>
      <c r="T374" s="102"/>
      <c r="U374" s="103"/>
      <c r="V374" s="100"/>
      <c r="W374" s="101"/>
      <c r="X374" s="113"/>
      <c r="Y374" s="114"/>
      <c r="Z374" s="102"/>
      <c r="AA374" s="101"/>
      <c r="AB374" s="111"/>
      <c r="AE374" s="187"/>
      <c r="AF374" s="185"/>
      <c r="AG374" s="185" t="str">
        <f t="shared" si="54"/>
        <v/>
      </c>
      <c r="AH374" s="186" t="str">
        <f t="shared" si="55"/>
        <v/>
      </c>
      <c r="AI374" s="185"/>
      <c r="AJ374" s="188"/>
      <c r="CC374" s="562"/>
      <c r="CD374" s="425"/>
    </row>
    <row r="375" spans="2:82" ht="30" customHeight="1" x14ac:dyDescent="0.3">
      <c r="B375" s="562"/>
      <c r="C375" s="563"/>
      <c r="D375" s="425"/>
      <c r="E375" s="250" t="str">
        <f t="shared" si="56"/>
        <v/>
      </c>
      <c r="F375" s="556"/>
      <c r="G375" s="252" t="str">
        <f>IFERROR(VLOOKUP(F375,'Data (hidden)'!N:O,2,FALSE),"")</f>
        <v/>
      </c>
      <c r="H375" s="557"/>
      <c r="I375" s="558"/>
      <c r="J375" s="123">
        <f t="shared" si="52"/>
        <v>0</v>
      </c>
      <c r="K375" s="123" t="e">
        <f t="shared" si="53"/>
        <v>#VALUE!</v>
      </c>
      <c r="L375" s="123">
        <f t="shared" si="50"/>
        <v>0</v>
      </c>
      <c r="M375" s="124" t="str">
        <f t="shared" si="51"/>
        <v/>
      </c>
      <c r="N375" s="112"/>
      <c r="O375" s="101"/>
      <c r="P375" s="101"/>
      <c r="Q375" s="101"/>
      <c r="R375" s="102"/>
      <c r="S375" s="102"/>
      <c r="T375" s="102"/>
      <c r="U375" s="103"/>
      <c r="V375" s="100"/>
      <c r="W375" s="101"/>
      <c r="X375" s="113"/>
      <c r="Y375" s="114"/>
      <c r="Z375" s="102"/>
      <c r="AA375" s="101"/>
      <c r="AB375" s="111"/>
      <c r="AE375" s="187"/>
      <c r="AF375" s="185"/>
      <c r="AG375" s="185" t="str">
        <f t="shared" si="54"/>
        <v/>
      </c>
      <c r="AH375" s="186" t="str">
        <f t="shared" si="55"/>
        <v/>
      </c>
      <c r="AI375" s="185"/>
      <c r="AJ375" s="188"/>
      <c r="CC375" s="562"/>
      <c r="CD375" s="425"/>
    </row>
    <row r="376" spans="2:82" ht="30" customHeight="1" x14ac:dyDescent="0.3">
      <c r="B376" s="562"/>
      <c r="C376" s="563"/>
      <c r="D376" s="425"/>
      <c r="E376" s="250" t="str">
        <f t="shared" si="56"/>
        <v/>
      </c>
      <c r="F376" s="556"/>
      <c r="G376" s="252" t="str">
        <f>IFERROR(VLOOKUP(F376,'Data (hidden)'!N:O,2,FALSE),"")</f>
        <v/>
      </c>
      <c r="H376" s="557"/>
      <c r="I376" s="558"/>
      <c r="J376" s="123">
        <f t="shared" si="52"/>
        <v>0</v>
      </c>
      <c r="K376" s="123" t="e">
        <f t="shared" si="53"/>
        <v>#VALUE!</v>
      </c>
      <c r="L376" s="123">
        <f t="shared" si="50"/>
        <v>0</v>
      </c>
      <c r="M376" s="124" t="str">
        <f t="shared" si="51"/>
        <v/>
      </c>
      <c r="N376" s="112"/>
      <c r="O376" s="101"/>
      <c r="P376" s="101"/>
      <c r="Q376" s="101"/>
      <c r="R376" s="102"/>
      <c r="S376" s="102"/>
      <c r="T376" s="102"/>
      <c r="U376" s="103"/>
      <c r="V376" s="100"/>
      <c r="W376" s="101"/>
      <c r="X376" s="113"/>
      <c r="Y376" s="114"/>
      <c r="Z376" s="102"/>
      <c r="AA376" s="101"/>
      <c r="AB376" s="111"/>
      <c r="AE376" s="187"/>
      <c r="AF376" s="185"/>
      <c r="AG376" s="185" t="str">
        <f t="shared" si="54"/>
        <v/>
      </c>
      <c r="AH376" s="186" t="str">
        <f t="shared" si="55"/>
        <v/>
      </c>
      <c r="AI376" s="185"/>
      <c r="AJ376" s="188"/>
      <c r="CC376" s="562"/>
      <c r="CD376" s="425"/>
    </row>
    <row r="377" spans="2:82" ht="30" customHeight="1" x14ac:dyDescent="0.3">
      <c r="B377" s="562"/>
      <c r="C377" s="563"/>
      <c r="D377" s="425"/>
      <c r="E377" s="250" t="str">
        <f t="shared" si="56"/>
        <v/>
      </c>
      <c r="F377" s="556"/>
      <c r="G377" s="252" t="str">
        <f>IFERROR(VLOOKUP(F377,'Data (hidden)'!N:O,2,FALSE),"")</f>
        <v/>
      </c>
      <c r="H377" s="557"/>
      <c r="I377" s="558"/>
      <c r="J377" s="123">
        <f t="shared" si="52"/>
        <v>0</v>
      </c>
      <c r="K377" s="123" t="e">
        <f t="shared" si="53"/>
        <v>#VALUE!</v>
      </c>
      <c r="L377" s="123">
        <f t="shared" si="50"/>
        <v>0</v>
      </c>
      <c r="M377" s="124" t="str">
        <f t="shared" si="51"/>
        <v/>
      </c>
      <c r="N377" s="112"/>
      <c r="O377" s="101"/>
      <c r="P377" s="101"/>
      <c r="Q377" s="101"/>
      <c r="R377" s="102"/>
      <c r="S377" s="102"/>
      <c r="T377" s="102"/>
      <c r="U377" s="103"/>
      <c r="V377" s="100"/>
      <c r="W377" s="101"/>
      <c r="X377" s="113"/>
      <c r="Y377" s="114"/>
      <c r="Z377" s="102"/>
      <c r="AA377" s="101"/>
      <c r="AB377" s="111"/>
      <c r="AE377" s="187"/>
      <c r="AF377" s="185"/>
      <c r="AG377" s="185" t="str">
        <f t="shared" si="54"/>
        <v/>
      </c>
      <c r="AH377" s="186" t="str">
        <f t="shared" si="55"/>
        <v/>
      </c>
      <c r="AI377" s="185"/>
      <c r="AJ377" s="188"/>
      <c r="CC377" s="562"/>
      <c r="CD377" s="425"/>
    </row>
    <row r="378" spans="2:82" ht="30" customHeight="1" x14ac:dyDescent="0.3">
      <c r="B378" s="562"/>
      <c r="C378" s="563"/>
      <c r="D378" s="425"/>
      <c r="E378" s="250" t="str">
        <f t="shared" si="56"/>
        <v/>
      </c>
      <c r="F378" s="556"/>
      <c r="G378" s="252" t="str">
        <f>IFERROR(VLOOKUP(F378,'Data (hidden)'!N:O,2,FALSE),"")</f>
        <v/>
      </c>
      <c r="H378" s="557"/>
      <c r="I378" s="558"/>
      <c r="J378" s="123">
        <f t="shared" si="52"/>
        <v>0</v>
      </c>
      <c r="K378" s="123" t="e">
        <f t="shared" si="53"/>
        <v>#VALUE!</v>
      </c>
      <c r="L378" s="123">
        <f t="shared" si="50"/>
        <v>0</v>
      </c>
      <c r="M378" s="124" t="str">
        <f t="shared" si="51"/>
        <v/>
      </c>
      <c r="N378" s="112"/>
      <c r="O378" s="101"/>
      <c r="P378" s="101"/>
      <c r="Q378" s="101"/>
      <c r="R378" s="102"/>
      <c r="S378" s="102"/>
      <c r="T378" s="102"/>
      <c r="U378" s="103"/>
      <c r="V378" s="100"/>
      <c r="W378" s="101"/>
      <c r="X378" s="113"/>
      <c r="Y378" s="114"/>
      <c r="Z378" s="102"/>
      <c r="AA378" s="101"/>
      <c r="AB378" s="111"/>
      <c r="AE378" s="187"/>
      <c r="AF378" s="185"/>
      <c r="AG378" s="185" t="str">
        <f t="shared" si="54"/>
        <v/>
      </c>
      <c r="AH378" s="186" t="str">
        <f t="shared" si="55"/>
        <v/>
      </c>
      <c r="AI378" s="185"/>
      <c r="AJ378" s="188"/>
      <c r="CC378" s="562"/>
      <c r="CD378" s="425"/>
    </row>
    <row r="379" spans="2:82" ht="30" customHeight="1" x14ac:dyDescent="0.3">
      <c r="B379" s="562"/>
      <c r="C379" s="563"/>
      <c r="D379" s="425"/>
      <c r="E379" s="250" t="str">
        <f t="shared" si="56"/>
        <v/>
      </c>
      <c r="F379" s="556"/>
      <c r="G379" s="252" t="str">
        <f>IFERROR(VLOOKUP(F379,'Data (hidden)'!N:O,2,FALSE),"")</f>
        <v/>
      </c>
      <c r="H379" s="557"/>
      <c r="I379" s="558"/>
      <c r="J379" s="123">
        <f t="shared" si="52"/>
        <v>0</v>
      </c>
      <c r="K379" s="123" t="e">
        <f t="shared" si="53"/>
        <v>#VALUE!</v>
      </c>
      <c r="L379" s="123">
        <f t="shared" si="50"/>
        <v>0</v>
      </c>
      <c r="M379" s="124" t="str">
        <f t="shared" si="51"/>
        <v/>
      </c>
      <c r="N379" s="112"/>
      <c r="O379" s="101"/>
      <c r="P379" s="101"/>
      <c r="Q379" s="101"/>
      <c r="R379" s="102"/>
      <c r="S379" s="102"/>
      <c r="T379" s="102"/>
      <c r="U379" s="103"/>
      <c r="V379" s="100"/>
      <c r="W379" s="101"/>
      <c r="X379" s="113"/>
      <c r="Y379" s="114"/>
      <c r="Z379" s="102"/>
      <c r="AA379" s="101"/>
      <c r="AB379" s="111"/>
      <c r="AE379" s="187"/>
      <c r="AF379" s="185"/>
      <c r="AG379" s="185" t="str">
        <f t="shared" si="54"/>
        <v/>
      </c>
      <c r="AH379" s="186" t="str">
        <f t="shared" si="55"/>
        <v/>
      </c>
      <c r="AI379" s="185"/>
      <c r="AJ379" s="188"/>
      <c r="CC379" s="562"/>
      <c r="CD379" s="425"/>
    </row>
    <row r="380" spans="2:82" ht="30" customHeight="1" x14ac:dyDescent="0.3">
      <c r="B380" s="562"/>
      <c r="C380" s="563"/>
      <c r="D380" s="425"/>
      <c r="E380" s="250" t="str">
        <f t="shared" si="56"/>
        <v/>
      </c>
      <c r="F380" s="556"/>
      <c r="G380" s="252" t="str">
        <f>IFERROR(VLOOKUP(F380,'Data (hidden)'!N:O,2,FALSE),"")</f>
        <v/>
      </c>
      <c r="H380" s="557"/>
      <c r="I380" s="558"/>
      <c r="J380" s="123">
        <f t="shared" si="52"/>
        <v>0</v>
      </c>
      <c r="K380" s="123" t="e">
        <f t="shared" si="53"/>
        <v>#VALUE!</v>
      </c>
      <c r="L380" s="123">
        <f t="shared" si="50"/>
        <v>0</v>
      </c>
      <c r="M380" s="124" t="str">
        <f t="shared" si="51"/>
        <v/>
      </c>
      <c r="N380" s="112"/>
      <c r="O380" s="101"/>
      <c r="P380" s="101"/>
      <c r="Q380" s="101"/>
      <c r="R380" s="102"/>
      <c r="S380" s="102"/>
      <c r="T380" s="102"/>
      <c r="U380" s="103"/>
      <c r="V380" s="100"/>
      <c r="W380" s="101"/>
      <c r="X380" s="113"/>
      <c r="Y380" s="114"/>
      <c r="Z380" s="102"/>
      <c r="AA380" s="101"/>
      <c r="AB380" s="111"/>
      <c r="AE380" s="187"/>
      <c r="AF380" s="185"/>
      <c r="AG380" s="185" t="str">
        <f t="shared" si="54"/>
        <v/>
      </c>
      <c r="AH380" s="186" t="str">
        <f t="shared" si="55"/>
        <v/>
      </c>
      <c r="AI380" s="185"/>
      <c r="AJ380" s="188"/>
      <c r="CC380" s="562"/>
      <c r="CD380" s="425"/>
    </row>
    <row r="381" spans="2:82" ht="30" customHeight="1" x14ac:dyDescent="0.3">
      <c r="B381" s="562"/>
      <c r="C381" s="563"/>
      <c r="D381" s="425"/>
      <c r="E381" s="250" t="str">
        <f t="shared" si="56"/>
        <v/>
      </c>
      <c r="F381" s="556"/>
      <c r="G381" s="252" t="str">
        <f>IFERROR(VLOOKUP(F381,'Data (hidden)'!N:O,2,FALSE),"")</f>
        <v/>
      </c>
      <c r="H381" s="557"/>
      <c r="I381" s="558"/>
      <c r="J381" s="123">
        <f t="shared" si="52"/>
        <v>0</v>
      </c>
      <c r="K381" s="123" t="e">
        <f t="shared" si="53"/>
        <v>#VALUE!</v>
      </c>
      <c r="L381" s="123">
        <f t="shared" si="50"/>
        <v>0</v>
      </c>
      <c r="M381" s="124" t="str">
        <f t="shared" si="51"/>
        <v/>
      </c>
      <c r="N381" s="112"/>
      <c r="O381" s="101"/>
      <c r="P381" s="101"/>
      <c r="Q381" s="101"/>
      <c r="R381" s="102"/>
      <c r="S381" s="102"/>
      <c r="T381" s="102"/>
      <c r="U381" s="103"/>
      <c r="V381" s="100"/>
      <c r="W381" s="101"/>
      <c r="X381" s="113"/>
      <c r="Y381" s="114"/>
      <c r="Z381" s="102"/>
      <c r="AA381" s="101"/>
      <c r="AB381" s="111"/>
      <c r="AE381" s="187"/>
      <c r="AF381" s="185"/>
      <c r="AG381" s="185" t="str">
        <f t="shared" si="54"/>
        <v/>
      </c>
      <c r="AH381" s="186" t="str">
        <f t="shared" si="55"/>
        <v/>
      </c>
      <c r="AI381" s="185"/>
      <c r="AJ381" s="188"/>
      <c r="CC381" s="562"/>
      <c r="CD381" s="425"/>
    </row>
    <row r="382" spans="2:82" ht="30" customHeight="1" x14ac:dyDescent="0.3">
      <c r="B382" s="562"/>
      <c r="C382" s="563"/>
      <c r="D382" s="425"/>
      <c r="E382" s="250" t="str">
        <f t="shared" si="56"/>
        <v/>
      </c>
      <c r="F382" s="556"/>
      <c r="G382" s="252" t="str">
        <f>IFERROR(VLOOKUP(F382,'Data (hidden)'!N:O,2,FALSE),"")</f>
        <v/>
      </c>
      <c r="H382" s="557"/>
      <c r="I382" s="558"/>
      <c r="J382" s="123">
        <f t="shared" si="52"/>
        <v>0</v>
      </c>
      <c r="K382" s="123" t="e">
        <f t="shared" si="53"/>
        <v>#VALUE!</v>
      </c>
      <c r="L382" s="123">
        <f t="shared" si="50"/>
        <v>0</v>
      </c>
      <c r="M382" s="124" t="str">
        <f t="shared" si="51"/>
        <v/>
      </c>
      <c r="N382" s="112"/>
      <c r="O382" s="101"/>
      <c r="P382" s="101"/>
      <c r="Q382" s="101"/>
      <c r="R382" s="102"/>
      <c r="S382" s="102"/>
      <c r="T382" s="102"/>
      <c r="U382" s="103"/>
      <c r="V382" s="100"/>
      <c r="W382" s="101"/>
      <c r="X382" s="113"/>
      <c r="Y382" s="114"/>
      <c r="Z382" s="102"/>
      <c r="AA382" s="101"/>
      <c r="AB382" s="111"/>
      <c r="AE382" s="187"/>
      <c r="AF382" s="185"/>
      <c r="AG382" s="185" t="str">
        <f t="shared" si="54"/>
        <v/>
      </c>
      <c r="AH382" s="186" t="str">
        <f t="shared" si="55"/>
        <v/>
      </c>
      <c r="AI382" s="185"/>
      <c r="AJ382" s="188"/>
      <c r="CC382" s="562"/>
      <c r="CD382" s="425"/>
    </row>
    <row r="383" spans="2:82" ht="30" customHeight="1" x14ac:dyDescent="0.3">
      <c r="B383" s="562"/>
      <c r="C383" s="563"/>
      <c r="D383" s="425"/>
      <c r="E383" s="250" t="str">
        <f t="shared" si="56"/>
        <v/>
      </c>
      <c r="F383" s="556"/>
      <c r="G383" s="252" t="str">
        <f>IFERROR(VLOOKUP(F383,'Data (hidden)'!N:O,2,FALSE),"")</f>
        <v/>
      </c>
      <c r="H383" s="557"/>
      <c r="I383" s="558"/>
      <c r="J383" s="123">
        <f t="shared" si="52"/>
        <v>0</v>
      </c>
      <c r="K383" s="123" t="e">
        <f t="shared" si="53"/>
        <v>#VALUE!</v>
      </c>
      <c r="L383" s="123">
        <f t="shared" si="50"/>
        <v>0</v>
      </c>
      <c r="M383" s="124" t="str">
        <f t="shared" si="51"/>
        <v/>
      </c>
      <c r="N383" s="112"/>
      <c r="O383" s="101"/>
      <c r="P383" s="101"/>
      <c r="Q383" s="101"/>
      <c r="R383" s="102"/>
      <c r="S383" s="102"/>
      <c r="T383" s="102"/>
      <c r="U383" s="103"/>
      <c r="V383" s="100"/>
      <c r="W383" s="101"/>
      <c r="X383" s="113"/>
      <c r="Y383" s="114"/>
      <c r="Z383" s="102"/>
      <c r="AA383" s="101"/>
      <c r="AB383" s="111"/>
      <c r="AE383" s="187"/>
      <c r="AF383" s="185"/>
      <c r="AG383" s="185" t="str">
        <f t="shared" si="54"/>
        <v/>
      </c>
      <c r="AH383" s="186" t="str">
        <f t="shared" si="55"/>
        <v/>
      </c>
      <c r="AI383" s="185"/>
      <c r="AJ383" s="188"/>
      <c r="CC383" s="562"/>
      <c r="CD383" s="425"/>
    </row>
    <row r="384" spans="2:82" ht="30" customHeight="1" x14ac:dyDescent="0.3">
      <c r="B384" s="562"/>
      <c r="C384" s="563"/>
      <c r="D384" s="425"/>
      <c r="E384" s="250" t="str">
        <f t="shared" si="56"/>
        <v/>
      </c>
      <c r="F384" s="556"/>
      <c r="G384" s="252" t="str">
        <f>IFERROR(VLOOKUP(F384,'Data (hidden)'!N:O,2,FALSE),"")</f>
        <v/>
      </c>
      <c r="H384" s="557"/>
      <c r="I384" s="558"/>
      <c r="J384" s="123">
        <f t="shared" si="52"/>
        <v>0</v>
      </c>
      <c r="K384" s="123" t="e">
        <f t="shared" si="53"/>
        <v>#VALUE!</v>
      </c>
      <c r="L384" s="123">
        <f t="shared" si="50"/>
        <v>0</v>
      </c>
      <c r="M384" s="124" t="str">
        <f t="shared" si="51"/>
        <v/>
      </c>
      <c r="N384" s="112"/>
      <c r="O384" s="101"/>
      <c r="P384" s="101"/>
      <c r="Q384" s="101"/>
      <c r="R384" s="102"/>
      <c r="S384" s="102"/>
      <c r="T384" s="102"/>
      <c r="U384" s="103"/>
      <c r="V384" s="100"/>
      <c r="W384" s="101"/>
      <c r="X384" s="113"/>
      <c r="Y384" s="114"/>
      <c r="Z384" s="102"/>
      <c r="AA384" s="101"/>
      <c r="AB384" s="111"/>
      <c r="AE384" s="187"/>
      <c r="AF384" s="185"/>
      <c r="AG384" s="185" t="str">
        <f t="shared" si="54"/>
        <v/>
      </c>
      <c r="AH384" s="186" t="str">
        <f t="shared" si="55"/>
        <v/>
      </c>
      <c r="AI384" s="185"/>
      <c r="AJ384" s="188"/>
      <c r="CC384" s="562"/>
      <c r="CD384" s="425"/>
    </row>
    <row r="385" spans="2:82" ht="30" customHeight="1" x14ac:dyDescent="0.3">
      <c r="B385" s="562"/>
      <c r="C385" s="563"/>
      <c r="D385" s="425"/>
      <c r="E385" s="250" t="str">
        <f t="shared" si="56"/>
        <v/>
      </c>
      <c r="F385" s="556"/>
      <c r="G385" s="252" t="str">
        <f>IFERROR(VLOOKUP(F385,'Data (hidden)'!N:O,2,FALSE),"")</f>
        <v/>
      </c>
      <c r="H385" s="557"/>
      <c r="I385" s="558"/>
      <c r="J385" s="123">
        <f t="shared" si="52"/>
        <v>0</v>
      </c>
      <c r="K385" s="123" t="e">
        <f t="shared" si="53"/>
        <v>#VALUE!</v>
      </c>
      <c r="L385" s="123">
        <f t="shared" si="50"/>
        <v>0</v>
      </c>
      <c r="M385" s="124" t="str">
        <f t="shared" si="51"/>
        <v/>
      </c>
      <c r="N385" s="112"/>
      <c r="O385" s="101"/>
      <c r="P385" s="101"/>
      <c r="Q385" s="101"/>
      <c r="R385" s="102"/>
      <c r="S385" s="102"/>
      <c r="T385" s="102"/>
      <c r="U385" s="103"/>
      <c r="V385" s="100"/>
      <c r="W385" s="101"/>
      <c r="X385" s="113"/>
      <c r="Y385" s="114"/>
      <c r="Z385" s="102"/>
      <c r="AA385" s="101"/>
      <c r="AB385" s="111"/>
      <c r="AE385" s="187"/>
      <c r="AF385" s="185"/>
      <c r="AG385" s="185" t="str">
        <f t="shared" si="54"/>
        <v/>
      </c>
      <c r="AH385" s="186" t="str">
        <f t="shared" si="55"/>
        <v/>
      </c>
      <c r="AI385" s="185"/>
      <c r="AJ385" s="188"/>
      <c r="CC385" s="562"/>
      <c r="CD385" s="425"/>
    </row>
    <row r="386" spans="2:82" ht="30" customHeight="1" x14ac:dyDescent="0.3">
      <c r="B386" s="562"/>
      <c r="C386" s="563"/>
      <c r="D386" s="425"/>
      <c r="E386" s="250" t="str">
        <f t="shared" si="56"/>
        <v/>
      </c>
      <c r="F386" s="556"/>
      <c r="G386" s="252" t="str">
        <f>IFERROR(VLOOKUP(F386,'Data (hidden)'!N:O,2,FALSE),"")</f>
        <v/>
      </c>
      <c r="H386" s="557"/>
      <c r="I386" s="558"/>
      <c r="J386" s="123">
        <f t="shared" si="52"/>
        <v>0</v>
      </c>
      <c r="K386" s="123" t="e">
        <f t="shared" si="53"/>
        <v>#VALUE!</v>
      </c>
      <c r="L386" s="123">
        <f t="shared" si="50"/>
        <v>0</v>
      </c>
      <c r="M386" s="124" t="str">
        <f t="shared" si="51"/>
        <v/>
      </c>
      <c r="N386" s="112"/>
      <c r="O386" s="101"/>
      <c r="P386" s="101"/>
      <c r="Q386" s="101"/>
      <c r="R386" s="102"/>
      <c r="S386" s="102"/>
      <c r="T386" s="102"/>
      <c r="U386" s="103"/>
      <c r="V386" s="100"/>
      <c r="W386" s="101"/>
      <c r="X386" s="113"/>
      <c r="Y386" s="114"/>
      <c r="Z386" s="102"/>
      <c r="AA386" s="101"/>
      <c r="AB386" s="111"/>
      <c r="AE386" s="187"/>
      <c r="AF386" s="185"/>
      <c r="AG386" s="185" t="str">
        <f t="shared" si="54"/>
        <v/>
      </c>
      <c r="AH386" s="186" t="str">
        <f t="shared" si="55"/>
        <v/>
      </c>
      <c r="AI386" s="185"/>
      <c r="AJ386" s="188"/>
      <c r="CC386" s="562"/>
      <c r="CD386" s="425"/>
    </row>
    <row r="387" spans="2:82" ht="30" customHeight="1" x14ac:dyDescent="0.3">
      <c r="B387" s="562"/>
      <c r="C387" s="563"/>
      <c r="D387" s="425"/>
      <c r="E387" s="250" t="str">
        <f t="shared" si="56"/>
        <v/>
      </c>
      <c r="F387" s="556"/>
      <c r="G387" s="252" t="str">
        <f>IFERROR(VLOOKUP(F387,'Data (hidden)'!N:O,2,FALSE),"")</f>
        <v/>
      </c>
      <c r="H387" s="557"/>
      <c r="I387" s="558"/>
      <c r="J387" s="123">
        <f t="shared" si="52"/>
        <v>0</v>
      </c>
      <c r="K387" s="123" t="e">
        <f t="shared" si="53"/>
        <v>#VALUE!</v>
      </c>
      <c r="L387" s="123">
        <f t="shared" si="50"/>
        <v>0</v>
      </c>
      <c r="M387" s="124" t="str">
        <f t="shared" si="51"/>
        <v/>
      </c>
      <c r="N387" s="112"/>
      <c r="O387" s="101"/>
      <c r="P387" s="101"/>
      <c r="Q387" s="101"/>
      <c r="R387" s="102"/>
      <c r="S387" s="102"/>
      <c r="T387" s="102"/>
      <c r="U387" s="103"/>
      <c r="V387" s="100"/>
      <c r="W387" s="101"/>
      <c r="X387" s="113"/>
      <c r="Y387" s="114"/>
      <c r="Z387" s="102"/>
      <c r="AA387" s="101"/>
      <c r="AB387" s="111"/>
      <c r="AE387" s="187"/>
      <c r="AF387" s="185"/>
      <c r="AG387" s="185" t="str">
        <f t="shared" si="54"/>
        <v/>
      </c>
      <c r="AH387" s="186" t="str">
        <f t="shared" si="55"/>
        <v/>
      </c>
      <c r="AI387" s="185"/>
      <c r="AJ387" s="188"/>
      <c r="CC387" s="562"/>
      <c r="CD387" s="425"/>
    </row>
    <row r="388" spans="2:82" ht="30" customHeight="1" x14ac:dyDescent="0.3">
      <c r="B388" s="562"/>
      <c r="C388" s="563"/>
      <c r="D388" s="425"/>
      <c r="E388" s="250" t="str">
        <f t="shared" si="56"/>
        <v/>
      </c>
      <c r="F388" s="556"/>
      <c r="G388" s="252" t="str">
        <f>IFERROR(VLOOKUP(F388,'Data (hidden)'!N:O,2,FALSE),"")</f>
        <v/>
      </c>
      <c r="H388" s="557"/>
      <c r="I388" s="558"/>
      <c r="J388" s="123">
        <f t="shared" si="52"/>
        <v>0</v>
      </c>
      <c r="K388" s="123" t="e">
        <f t="shared" si="53"/>
        <v>#VALUE!</v>
      </c>
      <c r="L388" s="123">
        <f t="shared" si="50"/>
        <v>0</v>
      </c>
      <c r="M388" s="124" t="str">
        <f t="shared" si="51"/>
        <v/>
      </c>
      <c r="N388" s="112"/>
      <c r="O388" s="101"/>
      <c r="P388" s="101"/>
      <c r="Q388" s="101"/>
      <c r="R388" s="102"/>
      <c r="S388" s="102"/>
      <c r="T388" s="102"/>
      <c r="U388" s="103"/>
      <c r="V388" s="100"/>
      <c r="W388" s="101"/>
      <c r="X388" s="113"/>
      <c r="Y388" s="114"/>
      <c r="Z388" s="102"/>
      <c r="AA388" s="101"/>
      <c r="AB388" s="111"/>
      <c r="AE388" s="187"/>
      <c r="AF388" s="185"/>
      <c r="AG388" s="185" t="str">
        <f t="shared" si="54"/>
        <v/>
      </c>
      <c r="AH388" s="186" t="str">
        <f t="shared" si="55"/>
        <v/>
      </c>
      <c r="AI388" s="185"/>
      <c r="AJ388" s="188"/>
      <c r="CC388" s="562"/>
      <c r="CD388" s="425"/>
    </row>
    <row r="389" spans="2:82" ht="30" customHeight="1" x14ac:dyDescent="0.3">
      <c r="B389" s="562"/>
      <c r="C389" s="563"/>
      <c r="D389" s="425"/>
      <c r="E389" s="250" t="str">
        <f t="shared" si="56"/>
        <v/>
      </c>
      <c r="F389" s="556"/>
      <c r="G389" s="252" t="str">
        <f>IFERROR(VLOOKUP(F389,'Data (hidden)'!N:O,2,FALSE),"")</f>
        <v/>
      </c>
      <c r="H389" s="557"/>
      <c r="I389" s="558"/>
      <c r="J389" s="123">
        <f t="shared" si="52"/>
        <v>0</v>
      </c>
      <c r="K389" s="123" t="e">
        <f t="shared" si="53"/>
        <v>#VALUE!</v>
      </c>
      <c r="L389" s="123">
        <f t="shared" si="50"/>
        <v>0</v>
      </c>
      <c r="M389" s="124" t="str">
        <f t="shared" si="51"/>
        <v/>
      </c>
      <c r="N389" s="112"/>
      <c r="O389" s="101"/>
      <c r="P389" s="101"/>
      <c r="Q389" s="101"/>
      <c r="R389" s="102"/>
      <c r="S389" s="102"/>
      <c r="T389" s="102"/>
      <c r="U389" s="103"/>
      <c r="V389" s="100"/>
      <c r="W389" s="101"/>
      <c r="X389" s="113"/>
      <c r="Y389" s="114"/>
      <c r="Z389" s="102"/>
      <c r="AA389" s="101"/>
      <c r="AB389" s="111"/>
      <c r="AE389" s="187"/>
      <c r="AF389" s="185"/>
      <c r="AG389" s="185" t="str">
        <f t="shared" si="54"/>
        <v/>
      </c>
      <c r="AH389" s="186" t="str">
        <f t="shared" si="55"/>
        <v/>
      </c>
      <c r="AI389" s="185"/>
      <c r="AJ389" s="188"/>
      <c r="CC389" s="562"/>
      <c r="CD389" s="425"/>
    </row>
    <row r="390" spans="2:82" ht="30" customHeight="1" x14ac:dyDescent="0.3">
      <c r="B390" s="562"/>
      <c r="C390" s="563"/>
      <c r="D390" s="425"/>
      <c r="E390" s="250" t="str">
        <f t="shared" si="56"/>
        <v/>
      </c>
      <c r="F390" s="556"/>
      <c r="G390" s="252" t="str">
        <f>IFERROR(VLOOKUP(F390,'Data (hidden)'!N:O,2,FALSE),"")</f>
        <v/>
      </c>
      <c r="H390" s="557"/>
      <c r="I390" s="558"/>
      <c r="J390" s="123">
        <f t="shared" si="52"/>
        <v>0</v>
      </c>
      <c r="K390" s="123" t="e">
        <f t="shared" si="53"/>
        <v>#VALUE!</v>
      </c>
      <c r="L390" s="123">
        <f t="shared" si="50"/>
        <v>0</v>
      </c>
      <c r="M390" s="124" t="str">
        <f t="shared" si="51"/>
        <v/>
      </c>
      <c r="N390" s="112"/>
      <c r="O390" s="101"/>
      <c r="P390" s="101"/>
      <c r="Q390" s="101"/>
      <c r="R390" s="102"/>
      <c r="S390" s="102"/>
      <c r="T390" s="102"/>
      <c r="U390" s="103"/>
      <c r="V390" s="100"/>
      <c r="W390" s="101"/>
      <c r="X390" s="113"/>
      <c r="Y390" s="114"/>
      <c r="Z390" s="102"/>
      <c r="AA390" s="101"/>
      <c r="AB390" s="111"/>
      <c r="AE390" s="187"/>
      <c r="AF390" s="185"/>
      <c r="AG390" s="185" t="str">
        <f t="shared" si="54"/>
        <v/>
      </c>
      <c r="AH390" s="186" t="str">
        <f t="shared" si="55"/>
        <v/>
      </c>
      <c r="AI390" s="185"/>
      <c r="AJ390" s="188"/>
      <c r="CC390" s="562"/>
      <c r="CD390" s="425"/>
    </row>
    <row r="391" spans="2:82" ht="30" customHeight="1" x14ac:dyDescent="0.3">
      <c r="B391" s="562"/>
      <c r="C391" s="563"/>
      <c r="D391" s="425"/>
      <c r="E391" s="250" t="str">
        <f t="shared" si="56"/>
        <v/>
      </c>
      <c r="F391" s="556"/>
      <c r="G391" s="252" t="str">
        <f>IFERROR(VLOOKUP(F391,'Data (hidden)'!N:O,2,FALSE),"")</f>
        <v/>
      </c>
      <c r="H391" s="557"/>
      <c r="I391" s="558"/>
      <c r="J391" s="123">
        <f t="shared" si="52"/>
        <v>0</v>
      </c>
      <c r="K391" s="123" t="e">
        <f t="shared" si="53"/>
        <v>#VALUE!</v>
      </c>
      <c r="L391" s="123">
        <f t="shared" si="50"/>
        <v>0</v>
      </c>
      <c r="M391" s="124" t="str">
        <f t="shared" si="51"/>
        <v/>
      </c>
      <c r="N391" s="112"/>
      <c r="O391" s="101"/>
      <c r="P391" s="101"/>
      <c r="Q391" s="101"/>
      <c r="R391" s="102"/>
      <c r="S391" s="102"/>
      <c r="T391" s="102"/>
      <c r="U391" s="103"/>
      <c r="V391" s="100"/>
      <c r="W391" s="101"/>
      <c r="X391" s="113"/>
      <c r="Y391" s="114"/>
      <c r="Z391" s="102"/>
      <c r="AA391" s="101"/>
      <c r="AB391" s="111"/>
      <c r="AE391" s="187"/>
      <c r="AF391" s="185"/>
      <c r="AG391" s="185" t="str">
        <f t="shared" si="54"/>
        <v/>
      </c>
      <c r="AH391" s="186" t="str">
        <f t="shared" si="55"/>
        <v/>
      </c>
      <c r="AI391" s="185"/>
      <c r="AJ391" s="188"/>
      <c r="CC391" s="562"/>
      <c r="CD391" s="425"/>
    </row>
    <row r="392" spans="2:82" ht="30" customHeight="1" x14ac:dyDescent="0.3">
      <c r="B392" s="562"/>
      <c r="C392" s="563"/>
      <c r="D392" s="425"/>
      <c r="E392" s="250" t="str">
        <f t="shared" si="56"/>
        <v/>
      </c>
      <c r="F392" s="556"/>
      <c r="G392" s="252" t="str">
        <f>IFERROR(VLOOKUP(F392,'Data (hidden)'!N:O,2,FALSE),"")</f>
        <v/>
      </c>
      <c r="H392" s="557"/>
      <c r="I392" s="558"/>
      <c r="J392" s="123">
        <f t="shared" si="52"/>
        <v>0</v>
      </c>
      <c r="K392" s="123" t="e">
        <f t="shared" si="53"/>
        <v>#VALUE!</v>
      </c>
      <c r="L392" s="123">
        <f t="shared" si="50"/>
        <v>0</v>
      </c>
      <c r="M392" s="124" t="str">
        <f t="shared" si="51"/>
        <v/>
      </c>
      <c r="N392" s="112"/>
      <c r="O392" s="101"/>
      <c r="P392" s="101"/>
      <c r="Q392" s="101"/>
      <c r="R392" s="102"/>
      <c r="S392" s="102"/>
      <c r="T392" s="102"/>
      <c r="U392" s="103"/>
      <c r="V392" s="100"/>
      <c r="W392" s="101"/>
      <c r="X392" s="113"/>
      <c r="Y392" s="114"/>
      <c r="Z392" s="102"/>
      <c r="AA392" s="101"/>
      <c r="AB392" s="111"/>
      <c r="AE392" s="187"/>
      <c r="AF392" s="185"/>
      <c r="AG392" s="185" t="str">
        <f t="shared" si="54"/>
        <v/>
      </c>
      <c r="AH392" s="186" t="str">
        <f t="shared" si="55"/>
        <v/>
      </c>
      <c r="AI392" s="185"/>
      <c r="AJ392" s="188"/>
      <c r="CC392" s="562"/>
      <c r="CD392" s="425"/>
    </row>
    <row r="393" spans="2:82" ht="30" customHeight="1" x14ac:dyDescent="0.3">
      <c r="B393" s="562"/>
      <c r="C393" s="563"/>
      <c r="D393" s="425"/>
      <c r="E393" s="250" t="str">
        <f t="shared" si="56"/>
        <v/>
      </c>
      <c r="F393" s="556"/>
      <c r="G393" s="252" t="str">
        <f>IFERROR(VLOOKUP(F393,'Data (hidden)'!N:O,2,FALSE),"")</f>
        <v/>
      </c>
      <c r="H393" s="557"/>
      <c r="I393" s="558"/>
      <c r="J393" s="123">
        <f t="shared" si="52"/>
        <v>0</v>
      </c>
      <c r="K393" s="123" t="e">
        <f t="shared" si="53"/>
        <v>#VALUE!</v>
      </c>
      <c r="L393" s="123">
        <f t="shared" si="50"/>
        <v>0</v>
      </c>
      <c r="M393" s="124" t="str">
        <f t="shared" si="51"/>
        <v/>
      </c>
      <c r="N393" s="112"/>
      <c r="O393" s="101"/>
      <c r="P393" s="101"/>
      <c r="Q393" s="101"/>
      <c r="R393" s="102"/>
      <c r="S393" s="102"/>
      <c r="T393" s="102"/>
      <c r="U393" s="103"/>
      <c r="V393" s="100"/>
      <c r="W393" s="101"/>
      <c r="X393" s="113"/>
      <c r="Y393" s="114"/>
      <c r="Z393" s="102"/>
      <c r="AA393" s="101"/>
      <c r="AB393" s="111"/>
      <c r="AE393" s="187"/>
      <c r="AF393" s="185"/>
      <c r="AG393" s="185" t="str">
        <f t="shared" si="54"/>
        <v/>
      </c>
      <c r="AH393" s="186" t="str">
        <f t="shared" si="55"/>
        <v/>
      </c>
      <c r="AI393" s="185"/>
      <c r="AJ393" s="188"/>
      <c r="CC393" s="562"/>
      <c r="CD393" s="425"/>
    </row>
    <row r="394" spans="2:82" ht="30" customHeight="1" x14ac:dyDescent="0.3">
      <c r="B394" s="562"/>
      <c r="C394" s="563"/>
      <c r="D394" s="425"/>
      <c r="E394" s="250" t="str">
        <f t="shared" si="56"/>
        <v/>
      </c>
      <c r="F394" s="556"/>
      <c r="G394" s="252" t="str">
        <f>IFERROR(VLOOKUP(F394,'Data (hidden)'!N:O,2,FALSE),"")</f>
        <v/>
      </c>
      <c r="H394" s="557"/>
      <c r="I394" s="558"/>
      <c r="J394" s="123">
        <f t="shared" si="52"/>
        <v>0</v>
      </c>
      <c r="K394" s="123" t="e">
        <f t="shared" si="53"/>
        <v>#VALUE!</v>
      </c>
      <c r="L394" s="123">
        <f t="shared" si="50"/>
        <v>0</v>
      </c>
      <c r="M394" s="124" t="str">
        <f t="shared" si="51"/>
        <v/>
      </c>
      <c r="N394" s="112"/>
      <c r="O394" s="101"/>
      <c r="P394" s="101"/>
      <c r="Q394" s="101"/>
      <c r="R394" s="102"/>
      <c r="S394" s="102"/>
      <c r="T394" s="102"/>
      <c r="U394" s="103"/>
      <c r="V394" s="100"/>
      <c r="W394" s="101"/>
      <c r="X394" s="113"/>
      <c r="Y394" s="114"/>
      <c r="Z394" s="102"/>
      <c r="AA394" s="101"/>
      <c r="AB394" s="111"/>
      <c r="AE394" s="187"/>
      <c r="AF394" s="185"/>
      <c r="AG394" s="185" t="str">
        <f t="shared" si="54"/>
        <v/>
      </c>
      <c r="AH394" s="186" t="str">
        <f t="shared" si="55"/>
        <v/>
      </c>
      <c r="AI394" s="185"/>
      <c r="AJ394" s="188"/>
      <c r="CC394" s="562"/>
      <c r="CD394" s="425"/>
    </row>
    <row r="395" spans="2:82" ht="30" customHeight="1" x14ac:dyDescent="0.3">
      <c r="B395" s="562"/>
      <c r="C395" s="563"/>
      <c r="D395" s="425"/>
      <c r="E395" s="250" t="str">
        <f t="shared" si="56"/>
        <v/>
      </c>
      <c r="F395" s="556"/>
      <c r="G395" s="252" t="str">
        <f>IFERROR(VLOOKUP(F395,'Data (hidden)'!N:O,2,FALSE),"")</f>
        <v/>
      </c>
      <c r="H395" s="557"/>
      <c r="I395" s="558"/>
      <c r="J395" s="123">
        <f t="shared" si="52"/>
        <v>0</v>
      </c>
      <c r="K395" s="123" t="e">
        <f t="shared" si="53"/>
        <v>#VALUE!</v>
      </c>
      <c r="L395" s="123">
        <f t="shared" si="50"/>
        <v>0</v>
      </c>
      <c r="M395" s="124" t="str">
        <f t="shared" si="51"/>
        <v/>
      </c>
      <c r="N395" s="112"/>
      <c r="O395" s="101"/>
      <c r="P395" s="101"/>
      <c r="Q395" s="101"/>
      <c r="R395" s="102"/>
      <c r="S395" s="102"/>
      <c r="T395" s="102"/>
      <c r="U395" s="103"/>
      <c r="V395" s="100"/>
      <c r="W395" s="101"/>
      <c r="X395" s="113"/>
      <c r="Y395" s="114"/>
      <c r="Z395" s="102"/>
      <c r="AA395" s="101"/>
      <c r="AB395" s="111"/>
      <c r="AE395" s="187"/>
      <c r="AF395" s="185"/>
      <c r="AG395" s="185" t="str">
        <f t="shared" si="54"/>
        <v/>
      </c>
      <c r="AH395" s="186" t="str">
        <f t="shared" si="55"/>
        <v/>
      </c>
      <c r="AI395" s="185"/>
      <c r="AJ395" s="188"/>
      <c r="CC395" s="562"/>
      <c r="CD395" s="425"/>
    </row>
    <row r="396" spans="2:82" ht="30" customHeight="1" x14ac:dyDescent="0.3">
      <c r="B396" s="562"/>
      <c r="C396" s="563"/>
      <c r="D396" s="425"/>
      <c r="E396" s="250" t="str">
        <f t="shared" si="56"/>
        <v/>
      </c>
      <c r="F396" s="556"/>
      <c r="G396" s="252" t="str">
        <f>IFERROR(VLOOKUP(F396,'Data (hidden)'!N:O,2,FALSE),"")</f>
        <v/>
      </c>
      <c r="H396" s="557"/>
      <c r="I396" s="558"/>
      <c r="J396" s="123">
        <f t="shared" si="52"/>
        <v>0</v>
      </c>
      <c r="K396" s="123" t="e">
        <f t="shared" si="53"/>
        <v>#VALUE!</v>
      </c>
      <c r="L396" s="123">
        <f t="shared" si="50"/>
        <v>0</v>
      </c>
      <c r="M396" s="124" t="str">
        <f t="shared" si="51"/>
        <v/>
      </c>
      <c r="N396" s="112"/>
      <c r="O396" s="101"/>
      <c r="P396" s="101"/>
      <c r="Q396" s="101"/>
      <c r="R396" s="102"/>
      <c r="S396" s="102"/>
      <c r="T396" s="102"/>
      <c r="U396" s="103"/>
      <c r="V396" s="100"/>
      <c r="W396" s="101"/>
      <c r="X396" s="113"/>
      <c r="Y396" s="114"/>
      <c r="Z396" s="102"/>
      <c r="AA396" s="101"/>
      <c r="AB396" s="111"/>
      <c r="AE396" s="187"/>
      <c r="AF396" s="185"/>
      <c r="AG396" s="185" t="str">
        <f t="shared" si="54"/>
        <v/>
      </c>
      <c r="AH396" s="186" t="str">
        <f t="shared" si="55"/>
        <v/>
      </c>
      <c r="AI396" s="185"/>
      <c r="AJ396" s="188"/>
      <c r="CC396" s="562"/>
      <c r="CD396" s="425"/>
    </row>
    <row r="397" spans="2:82" ht="30" customHeight="1" x14ac:dyDescent="0.3">
      <c r="B397" s="562"/>
      <c r="C397" s="563"/>
      <c r="D397" s="425"/>
      <c r="E397" s="250" t="str">
        <f t="shared" si="56"/>
        <v/>
      </c>
      <c r="F397" s="556"/>
      <c r="G397" s="252" t="str">
        <f>IFERROR(VLOOKUP(F397,'Data (hidden)'!N:O,2,FALSE),"")</f>
        <v/>
      </c>
      <c r="H397" s="557"/>
      <c r="I397" s="558"/>
      <c r="J397" s="123">
        <f t="shared" si="52"/>
        <v>0</v>
      </c>
      <c r="K397" s="123" t="e">
        <f t="shared" si="53"/>
        <v>#VALUE!</v>
      </c>
      <c r="L397" s="123">
        <f t="shared" si="50"/>
        <v>0</v>
      </c>
      <c r="M397" s="124" t="str">
        <f t="shared" si="51"/>
        <v/>
      </c>
      <c r="N397" s="112"/>
      <c r="O397" s="101"/>
      <c r="P397" s="101"/>
      <c r="Q397" s="101"/>
      <c r="R397" s="102"/>
      <c r="S397" s="102"/>
      <c r="T397" s="102"/>
      <c r="U397" s="103"/>
      <c r="V397" s="100"/>
      <c r="W397" s="101"/>
      <c r="X397" s="113"/>
      <c r="Y397" s="114"/>
      <c r="Z397" s="102"/>
      <c r="AA397" s="101"/>
      <c r="AB397" s="111"/>
      <c r="AE397" s="187"/>
      <c r="AF397" s="185"/>
      <c r="AG397" s="185" t="str">
        <f t="shared" si="54"/>
        <v/>
      </c>
      <c r="AH397" s="186" t="str">
        <f t="shared" si="55"/>
        <v/>
      </c>
      <c r="AI397" s="185"/>
      <c r="AJ397" s="188"/>
      <c r="CC397" s="562"/>
      <c r="CD397" s="425"/>
    </row>
    <row r="398" spans="2:82" ht="30" customHeight="1" x14ac:dyDescent="0.3">
      <c r="B398" s="562"/>
      <c r="C398" s="563"/>
      <c r="D398" s="425"/>
      <c r="E398" s="250" t="str">
        <f t="shared" si="56"/>
        <v/>
      </c>
      <c r="F398" s="556"/>
      <c r="G398" s="252" t="str">
        <f>IFERROR(VLOOKUP(F398,'Data (hidden)'!N:O,2,FALSE),"")</f>
        <v/>
      </c>
      <c r="H398" s="557"/>
      <c r="I398" s="558"/>
      <c r="J398" s="123">
        <f t="shared" si="52"/>
        <v>0</v>
      </c>
      <c r="K398" s="123" t="e">
        <f t="shared" si="53"/>
        <v>#VALUE!</v>
      </c>
      <c r="L398" s="123">
        <f t="shared" si="50"/>
        <v>0</v>
      </c>
      <c r="M398" s="124" t="str">
        <f t="shared" si="51"/>
        <v/>
      </c>
      <c r="N398" s="112"/>
      <c r="O398" s="101"/>
      <c r="P398" s="101"/>
      <c r="Q398" s="101"/>
      <c r="R398" s="102"/>
      <c r="S398" s="102"/>
      <c r="T398" s="102"/>
      <c r="U398" s="103"/>
      <c r="V398" s="100"/>
      <c r="W398" s="101"/>
      <c r="X398" s="113"/>
      <c r="Y398" s="114"/>
      <c r="Z398" s="102"/>
      <c r="AA398" s="101"/>
      <c r="AB398" s="111"/>
      <c r="AE398" s="187"/>
      <c r="AF398" s="185"/>
      <c r="AG398" s="185" t="str">
        <f t="shared" si="54"/>
        <v/>
      </c>
      <c r="AH398" s="186" t="str">
        <f t="shared" si="55"/>
        <v/>
      </c>
      <c r="AI398" s="185"/>
      <c r="AJ398" s="188"/>
      <c r="CC398" s="562"/>
      <c r="CD398" s="425"/>
    </row>
    <row r="399" spans="2:82" ht="30" customHeight="1" x14ac:dyDescent="0.3">
      <c r="B399" s="562"/>
      <c r="C399" s="563"/>
      <c r="D399" s="425"/>
      <c r="E399" s="250" t="str">
        <f t="shared" si="56"/>
        <v/>
      </c>
      <c r="F399" s="556"/>
      <c r="G399" s="252" t="str">
        <f>IFERROR(VLOOKUP(F399,'Data (hidden)'!N:O,2,FALSE),"")</f>
        <v/>
      </c>
      <c r="H399" s="557"/>
      <c r="I399" s="558"/>
      <c r="J399" s="123">
        <f t="shared" si="52"/>
        <v>0</v>
      </c>
      <c r="K399" s="123" t="e">
        <f t="shared" si="53"/>
        <v>#VALUE!</v>
      </c>
      <c r="L399" s="123">
        <f t="shared" si="50"/>
        <v>0</v>
      </c>
      <c r="M399" s="124" t="str">
        <f t="shared" si="51"/>
        <v/>
      </c>
      <c r="N399" s="112"/>
      <c r="O399" s="101"/>
      <c r="P399" s="101"/>
      <c r="Q399" s="101"/>
      <c r="R399" s="102"/>
      <c r="S399" s="102"/>
      <c r="T399" s="102"/>
      <c r="U399" s="103"/>
      <c r="V399" s="100"/>
      <c r="W399" s="101"/>
      <c r="X399" s="113"/>
      <c r="Y399" s="114"/>
      <c r="Z399" s="102"/>
      <c r="AA399" s="101"/>
      <c r="AB399" s="111"/>
      <c r="AE399" s="187"/>
      <c r="AF399" s="185"/>
      <c r="AG399" s="185" t="str">
        <f t="shared" si="54"/>
        <v/>
      </c>
      <c r="AH399" s="186" t="str">
        <f t="shared" si="55"/>
        <v/>
      </c>
      <c r="AI399" s="185"/>
      <c r="AJ399" s="188"/>
      <c r="CC399" s="562"/>
      <c r="CD399" s="425"/>
    </row>
    <row r="400" spans="2:82" ht="30" customHeight="1" x14ac:dyDescent="0.3">
      <c r="B400" s="562"/>
      <c r="C400" s="563"/>
      <c r="D400" s="425"/>
      <c r="E400" s="250" t="str">
        <f t="shared" si="56"/>
        <v/>
      </c>
      <c r="F400" s="556"/>
      <c r="G400" s="252" t="str">
        <f>IFERROR(VLOOKUP(F400,'Data (hidden)'!N:O,2,FALSE),"")</f>
        <v/>
      </c>
      <c r="H400" s="557"/>
      <c r="I400" s="558"/>
      <c r="J400" s="123">
        <f t="shared" si="52"/>
        <v>0</v>
      </c>
      <c r="K400" s="123" t="e">
        <f t="shared" si="53"/>
        <v>#VALUE!</v>
      </c>
      <c r="L400" s="123">
        <f t="shared" si="50"/>
        <v>0</v>
      </c>
      <c r="M400" s="124" t="str">
        <f t="shared" si="51"/>
        <v/>
      </c>
      <c r="N400" s="112"/>
      <c r="O400" s="101"/>
      <c r="P400" s="101"/>
      <c r="Q400" s="101"/>
      <c r="R400" s="102"/>
      <c r="S400" s="102"/>
      <c r="T400" s="102"/>
      <c r="U400" s="103"/>
      <c r="V400" s="100"/>
      <c r="W400" s="101"/>
      <c r="X400" s="113"/>
      <c r="Y400" s="114"/>
      <c r="Z400" s="102"/>
      <c r="AA400" s="101"/>
      <c r="AB400" s="111"/>
      <c r="AE400" s="187"/>
      <c r="AF400" s="185"/>
      <c r="AG400" s="185" t="str">
        <f t="shared" si="54"/>
        <v/>
      </c>
      <c r="AH400" s="186" t="str">
        <f t="shared" si="55"/>
        <v/>
      </c>
      <c r="AI400" s="185"/>
      <c r="AJ400" s="188"/>
      <c r="CC400" s="562"/>
      <c r="CD400" s="425"/>
    </row>
    <row r="401" spans="2:82" ht="30" customHeight="1" x14ac:dyDescent="0.3">
      <c r="B401" s="562"/>
      <c r="C401" s="563"/>
      <c r="D401" s="425"/>
      <c r="E401" s="250" t="str">
        <f t="shared" si="56"/>
        <v/>
      </c>
      <c r="F401" s="556"/>
      <c r="G401" s="252" t="str">
        <f>IFERROR(VLOOKUP(F401,'Data (hidden)'!N:O,2,FALSE),"")</f>
        <v/>
      </c>
      <c r="H401" s="557"/>
      <c r="I401" s="558"/>
      <c r="J401" s="123">
        <f t="shared" si="52"/>
        <v>0</v>
      </c>
      <c r="K401" s="123" t="e">
        <f t="shared" si="53"/>
        <v>#VALUE!</v>
      </c>
      <c r="L401" s="123">
        <f t="shared" si="50"/>
        <v>0</v>
      </c>
      <c r="M401" s="124" t="str">
        <f t="shared" si="51"/>
        <v/>
      </c>
      <c r="N401" s="112"/>
      <c r="O401" s="101"/>
      <c r="P401" s="101"/>
      <c r="Q401" s="101"/>
      <c r="R401" s="102"/>
      <c r="S401" s="102"/>
      <c r="T401" s="102"/>
      <c r="U401" s="103"/>
      <c r="V401" s="100"/>
      <c r="W401" s="101"/>
      <c r="X401" s="113"/>
      <c r="Y401" s="114"/>
      <c r="Z401" s="102"/>
      <c r="AA401" s="101"/>
      <c r="AB401" s="111"/>
      <c r="AE401" s="187"/>
      <c r="AF401" s="185"/>
      <c r="AG401" s="185" t="str">
        <f t="shared" si="54"/>
        <v/>
      </c>
      <c r="AH401" s="186" t="str">
        <f t="shared" si="55"/>
        <v/>
      </c>
      <c r="AI401" s="185"/>
      <c r="AJ401" s="188"/>
      <c r="CC401" s="562"/>
      <c r="CD401" s="425"/>
    </row>
    <row r="402" spans="2:82" ht="30" customHeight="1" x14ac:dyDescent="0.3">
      <c r="B402" s="562"/>
      <c r="C402" s="563"/>
      <c r="D402" s="425"/>
      <c r="E402" s="250" t="str">
        <f t="shared" si="56"/>
        <v/>
      </c>
      <c r="F402" s="556"/>
      <c r="G402" s="252" t="str">
        <f>IFERROR(VLOOKUP(F402,'Data (hidden)'!N:O,2,FALSE),"")</f>
        <v/>
      </c>
      <c r="H402" s="557"/>
      <c r="I402" s="558"/>
      <c r="J402" s="123">
        <f t="shared" si="52"/>
        <v>0</v>
      </c>
      <c r="K402" s="123" t="e">
        <f t="shared" si="53"/>
        <v>#VALUE!</v>
      </c>
      <c r="L402" s="123">
        <f t="shared" si="50"/>
        <v>0</v>
      </c>
      <c r="M402" s="124" t="str">
        <f t="shared" si="51"/>
        <v/>
      </c>
      <c r="N402" s="112"/>
      <c r="O402" s="101"/>
      <c r="P402" s="101"/>
      <c r="Q402" s="101"/>
      <c r="R402" s="102"/>
      <c r="S402" s="102"/>
      <c r="T402" s="102"/>
      <c r="U402" s="103"/>
      <c r="V402" s="100"/>
      <c r="W402" s="101"/>
      <c r="X402" s="113"/>
      <c r="Y402" s="114"/>
      <c r="Z402" s="102"/>
      <c r="AA402" s="101"/>
      <c r="AB402" s="111"/>
      <c r="AE402" s="187"/>
      <c r="AF402" s="185"/>
      <c r="AG402" s="185" t="str">
        <f t="shared" si="54"/>
        <v/>
      </c>
      <c r="AH402" s="186" t="str">
        <f t="shared" si="55"/>
        <v/>
      </c>
      <c r="AI402" s="185"/>
      <c r="AJ402" s="188"/>
      <c r="CC402" s="562"/>
      <c r="CD402" s="425"/>
    </row>
    <row r="403" spans="2:82" ht="30" customHeight="1" x14ac:dyDescent="0.3">
      <c r="B403" s="562"/>
      <c r="C403" s="563"/>
      <c r="D403" s="425"/>
      <c r="E403" s="250" t="str">
        <f t="shared" si="56"/>
        <v/>
      </c>
      <c r="F403" s="556"/>
      <c r="G403" s="252" t="str">
        <f>IFERROR(VLOOKUP(F403,'Data (hidden)'!N:O,2,FALSE),"")</f>
        <v/>
      </c>
      <c r="H403" s="557"/>
      <c r="I403" s="558"/>
      <c r="J403" s="123">
        <f t="shared" si="52"/>
        <v>0</v>
      </c>
      <c r="K403" s="123" t="e">
        <f t="shared" si="53"/>
        <v>#VALUE!</v>
      </c>
      <c r="L403" s="123">
        <f t="shared" ref="L403:L466" si="57">D403*0.01</f>
        <v>0</v>
      </c>
      <c r="M403" s="124" t="str">
        <f t="shared" ref="M403:M466" si="58">IFERROR(K403*I403,"")</f>
        <v/>
      </c>
      <c r="N403" s="112"/>
      <c r="O403" s="101"/>
      <c r="P403" s="101"/>
      <c r="Q403" s="101"/>
      <c r="R403" s="102"/>
      <c r="S403" s="102"/>
      <c r="T403" s="102"/>
      <c r="U403" s="103"/>
      <c r="V403" s="100"/>
      <c r="W403" s="101"/>
      <c r="X403" s="113"/>
      <c r="Y403" s="114"/>
      <c r="Z403" s="102"/>
      <c r="AA403" s="101"/>
      <c r="AB403" s="111"/>
      <c r="AE403" s="187"/>
      <c r="AF403" s="185"/>
      <c r="AG403" s="185" t="str">
        <f t="shared" si="54"/>
        <v/>
      </c>
      <c r="AH403" s="186" t="str">
        <f t="shared" si="55"/>
        <v/>
      </c>
      <c r="AI403" s="185"/>
      <c r="AJ403" s="188"/>
      <c r="CC403" s="562"/>
      <c r="CD403" s="425"/>
    </row>
    <row r="404" spans="2:82" ht="30" customHeight="1" x14ac:dyDescent="0.3">
      <c r="B404" s="562"/>
      <c r="C404" s="563"/>
      <c r="D404" s="425"/>
      <c r="E404" s="250" t="str">
        <f t="shared" si="56"/>
        <v/>
      </c>
      <c r="F404" s="556"/>
      <c r="G404" s="252" t="str">
        <f>IFERROR(VLOOKUP(F404,'Data (hidden)'!N:O,2,FALSE),"")</f>
        <v/>
      </c>
      <c r="H404" s="557"/>
      <c r="I404" s="558"/>
      <c r="J404" s="123">
        <f t="shared" ref="J404:J467" si="59">H404*0.01</f>
        <v>0</v>
      </c>
      <c r="K404" s="123" t="e">
        <f t="shared" ref="K404:K467" si="60">E404*J404</f>
        <v>#VALUE!</v>
      </c>
      <c r="L404" s="123">
        <f t="shared" si="57"/>
        <v>0</v>
      </c>
      <c r="M404" s="124" t="str">
        <f t="shared" si="58"/>
        <v/>
      </c>
      <c r="N404" s="112"/>
      <c r="O404" s="101"/>
      <c r="P404" s="101"/>
      <c r="Q404" s="101"/>
      <c r="R404" s="102"/>
      <c r="S404" s="102"/>
      <c r="T404" s="102"/>
      <c r="U404" s="103"/>
      <c r="V404" s="100"/>
      <c r="W404" s="101"/>
      <c r="X404" s="113"/>
      <c r="Y404" s="114"/>
      <c r="Z404" s="102"/>
      <c r="AA404" s="101"/>
      <c r="AB404" s="111"/>
      <c r="AE404" s="187"/>
      <c r="AF404" s="185"/>
      <c r="AG404" s="185" t="str">
        <f t="shared" ref="AG404:AG467" si="61">IF(ISNUMBER(B404), B404, "")</f>
        <v/>
      </c>
      <c r="AH404" s="186" t="str">
        <f t="shared" ref="AH404:AH467" si="62">E404</f>
        <v/>
      </c>
      <c r="AI404" s="185"/>
      <c r="AJ404" s="188"/>
      <c r="CC404" s="562"/>
      <c r="CD404" s="425"/>
    </row>
    <row r="405" spans="2:82" ht="30" customHeight="1" x14ac:dyDescent="0.3">
      <c r="B405" s="562"/>
      <c r="C405" s="563"/>
      <c r="D405" s="425"/>
      <c r="E405" s="250" t="str">
        <f t="shared" si="56"/>
        <v/>
      </c>
      <c r="F405" s="556"/>
      <c r="G405" s="252" t="str">
        <f>IFERROR(VLOOKUP(F405,'Data (hidden)'!N:O,2,FALSE),"")</f>
        <v/>
      </c>
      <c r="H405" s="557"/>
      <c r="I405" s="558"/>
      <c r="J405" s="123">
        <f t="shared" si="59"/>
        <v>0</v>
      </c>
      <c r="K405" s="123" t="e">
        <f t="shared" si="60"/>
        <v>#VALUE!</v>
      </c>
      <c r="L405" s="123">
        <f t="shared" si="57"/>
        <v>0</v>
      </c>
      <c r="M405" s="124" t="str">
        <f t="shared" si="58"/>
        <v/>
      </c>
      <c r="N405" s="112"/>
      <c r="O405" s="101"/>
      <c r="P405" s="101"/>
      <c r="Q405" s="101"/>
      <c r="R405" s="102"/>
      <c r="S405" s="102"/>
      <c r="T405" s="102"/>
      <c r="U405" s="103"/>
      <c r="V405" s="100"/>
      <c r="W405" s="101"/>
      <c r="X405" s="113"/>
      <c r="Y405" s="114"/>
      <c r="Z405" s="102"/>
      <c r="AA405" s="101"/>
      <c r="AB405" s="111"/>
      <c r="AE405" s="187"/>
      <c r="AF405" s="185"/>
      <c r="AG405" s="185" t="str">
        <f t="shared" si="61"/>
        <v/>
      </c>
      <c r="AH405" s="186" t="str">
        <f t="shared" si="62"/>
        <v/>
      </c>
      <c r="AI405" s="185"/>
      <c r="AJ405" s="188"/>
      <c r="CC405" s="562"/>
      <c r="CD405" s="425"/>
    </row>
    <row r="406" spans="2:82" ht="30" customHeight="1" x14ac:dyDescent="0.3">
      <c r="B406" s="562"/>
      <c r="C406" s="563"/>
      <c r="D406" s="425"/>
      <c r="E406" s="250" t="str">
        <f t="shared" si="56"/>
        <v/>
      </c>
      <c r="F406" s="556"/>
      <c r="G406" s="252" t="str">
        <f>IFERROR(VLOOKUP(F406,'Data (hidden)'!N:O,2,FALSE),"")</f>
        <v/>
      </c>
      <c r="H406" s="557"/>
      <c r="I406" s="558"/>
      <c r="J406" s="123">
        <f t="shared" si="59"/>
        <v>0</v>
      </c>
      <c r="K406" s="123" t="e">
        <f t="shared" si="60"/>
        <v>#VALUE!</v>
      </c>
      <c r="L406" s="123">
        <f t="shared" si="57"/>
        <v>0</v>
      </c>
      <c r="M406" s="124" t="str">
        <f t="shared" si="58"/>
        <v/>
      </c>
      <c r="N406" s="112"/>
      <c r="O406" s="101"/>
      <c r="P406" s="101"/>
      <c r="Q406" s="101"/>
      <c r="R406" s="102"/>
      <c r="S406" s="102"/>
      <c r="T406" s="102"/>
      <c r="U406" s="103"/>
      <c r="V406" s="100"/>
      <c r="W406" s="101"/>
      <c r="X406" s="113"/>
      <c r="Y406" s="114"/>
      <c r="Z406" s="102"/>
      <c r="AA406" s="101"/>
      <c r="AB406" s="111"/>
      <c r="AE406" s="187"/>
      <c r="AF406" s="185"/>
      <c r="AG406" s="185" t="str">
        <f t="shared" si="61"/>
        <v/>
      </c>
      <c r="AH406" s="186" t="str">
        <f t="shared" si="62"/>
        <v/>
      </c>
      <c r="AI406" s="185"/>
      <c r="AJ406" s="188"/>
      <c r="CC406" s="562"/>
      <c r="CD406" s="425"/>
    </row>
    <row r="407" spans="2:82" ht="30" customHeight="1" x14ac:dyDescent="0.3">
      <c r="B407" s="562"/>
      <c r="C407" s="563"/>
      <c r="D407" s="425"/>
      <c r="E407" s="250" t="str">
        <f t="shared" si="56"/>
        <v/>
      </c>
      <c r="F407" s="556"/>
      <c r="G407" s="252" t="str">
        <f>IFERROR(VLOOKUP(F407,'Data (hidden)'!N:O,2,FALSE),"")</f>
        <v/>
      </c>
      <c r="H407" s="557"/>
      <c r="I407" s="558"/>
      <c r="J407" s="123">
        <f t="shared" si="59"/>
        <v>0</v>
      </c>
      <c r="K407" s="123" t="e">
        <f t="shared" si="60"/>
        <v>#VALUE!</v>
      </c>
      <c r="L407" s="123">
        <f t="shared" si="57"/>
        <v>0</v>
      </c>
      <c r="M407" s="124" t="str">
        <f t="shared" si="58"/>
        <v/>
      </c>
      <c r="N407" s="112"/>
      <c r="O407" s="101"/>
      <c r="P407" s="101"/>
      <c r="Q407" s="101"/>
      <c r="R407" s="102"/>
      <c r="S407" s="102"/>
      <c r="T407" s="102"/>
      <c r="U407" s="103"/>
      <c r="V407" s="100"/>
      <c r="W407" s="101"/>
      <c r="X407" s="113"/>
      <c r="Y407" s="114"/>
      <c r="Z407" s="102"/>
      <c r="AA407" s="101"/>
      <c r="AB407" s="111"/>
      <c r="AE407" s="187"/>
      <c r="AF407" s="185"/>
      <c r="AG407" s="185" t="str">
        <f t="shared" si="61"/>
        <v/>
      </c>
      <c r="AH407" s="186" t="str">
        <f t="shared" si="62"/>
        <v/>
      </c>
      <c r="AI407" s="185"/>
      <c r="AJ407" s="188"/>
      <c r="CC407" s="562"/>
      <c r="CD407" s="425"/>
    </row>
    <row r="408" spans="2:82" ht="30" customHeight="1" x14ac:dyDescent="0.3">
      <c r="B408" s="562"/>
      <c r="C408" s="563"/>
      <c r="D408" s="425"/>
      <c r="E408" s="250" t="str">
        <f t="shared" si="56"/>
        <v/>
      </c>
      <c r="F408" s="556"/>
      <c r="G408" s="252" t="str">
        <f>IFERROR(VLOOKUP(F408,'Data (hidden)'!N:O,2,FALSE),"")</f>
        <v/>
      </c>
      <c r="H408" s="557"/>
      <c r="I408" s="558"/>
      <c r="J408" s="123">
        <f t="shared" si="59"/>
        <v>0</v>
      </c>
      <c r="K408" s="123" t="e">
        <f t="shared" si="60"/>
        <v>#VALUE!</v>
      </c>
      <c r="L408" s="123">
        <f t="shared" si="57"/>
        <v>0</v>
      </c>
      <c r="M408" s="124" t="str">
        <f t="shared" si="58"/>
        <v/>
      </c>
      <c r="N408" s="112"/>
      <c r="O408" s="101"/>
      <c r="P408" s="101"/>
      <c r="Q408" s="101"/>
      <c r="R408" s="102"/>
      <c r="S408" s="102"/>
      <c r="T408" s="102"/>
      <c r="U408" s="103"/>
      <c r="V408" s="100"/>
      <c r="W408" s="101"/>
      <c r="X408" s="113"/>
      <c r="Y408" s="114"/>
      <c r="Z408" s="102"/>
      <c r="AA408" s="101"/>
      <c r="AB408" s="111"/>
      <c r="AE408" s="187"/>
      <c r="AF408" s="185"/>
      <c r="AG408" s="185" t="str">
        <f t="shared" si="61"/>
        <v/>
      </c>
      <c r="AH408" s="186" t="str">
        <f t="shared" si="62"/>
        <v/>
      </c>
      <c r="AI408" s="185"/>
      <c r="AJ408" s="188"/>
      <c r="CC408" s="562"/>
      <c r="CD408" s="425"/>
    </row>
    <row r="409" spans="2:82" ht="30" customHeight="1" x14ac:dyDescent="0.3">
      <c r="B409" s="562"/>
      <c r="C409" s="563"/>
      <c r="D409" s="425"/>
      <c r="E409" s="250" t="str">
        <f t="shared" si="56"/>
        <v/>
      </c>
      <c r="F409" s="556"/>
      <c r="G409" s="252" t="str">
        <f>IFERROR(VLOOKUP(F409,'Data (hidden)'!N:O,2,FALSE),"")</f>
        <v/>
      </c>
      <c r="H409" s="557"/>
      <c r="I409" s="558"/>
      <c r="J409" s="123">
        <f t="shared" si="59"/>
        <v>0</v>
      </c>
      <c r="K409" s="123" t="e">
        <f t="shared" si="60"/>
        <v>#VALUE!</v>
      </c>
      <c r="L409" s="123">
        <f t="shared" si="57"/>
        <v>0</v>
      </c>
      <c r="M409" s="124" t="str">
        <f t="shared" si="58"/>
        <v/>
      </c>
      <c r="N409" s="112"/>
      <c r="O409" s="101"/>
      <c r="P409" s="101"/>
      <c r="Q409" s="101"/>
      <c r="R409" s="102"/>
      <c r="S409" s="102"/>
      <c r="T409" s="102"/>
      <c r="U409" s="103"/>
      <c r="V409" s="100"/>
      <c r="W409" s="101"/>
      <c r="X409" s="113"/>
      <c r="Y409" s="114"/>
      <c r="Z409" s="102"/>
      <c r="AA409" s="101"/>
      <c r="AB409" s="111"/>
      <c r="AE409" s="187"/>
      <c r="AF409" s="185"/>
      <c r="AG409" s="185" t="str">
        <f t="shared" si="61"/>
        <v/>
      </c>
      <c r="AH409" s="186" t="str">
        <f t="shared" si="62"/>
        <v/>
      </c>
      <c r="AI409" s="185"/>
      <c r="AJ409" s="188"/>
      <c r="CC409" s="562"/>
      <c r="CD409" s="425"/>
    </row>
    <row r="410" spans="2:82" ht="30" customHeight="1" x14ac:dyDescent="0.3">
      <c r="B410" s="562"/>
      <c r="C410" s="563"/>
      <c r="D410" s="425"/>
      <c r="E410" s="250" t="str">
        <f t="shared" si="56"/>
        <v/>
      </c>
      <c r="F410" s="556"/>
      <c r="G410" s="252" t="str">
        <f>IFERROR(VLOOKUP(F410,'Data (hidden)'!N:O,2,FALSE),"")</f>
        <v/>
      </c>
      <c r="H410" s="557"/>
      <c r="I410" s="558"/>
      <c r="J410" s="123">
        <f t="shared" si="59"/>
        <v>0</v>
      </c>
      <c r="K410" s="123" t="e">
        <f t="shared" si="60"/>
        <v>#VALUE!</v>
      </c>
      <c r="L410" s="123">
        <f t="shared" si="57"/>
        <v>0</v>
      </c>
      <c r="M410" s="124" t="str">
        <f t="shared" si="58"/>
        <v/>
      </c>
      <c r="N410" s="112"/>
      <c r="O410" s="101"/>
      <c r="P410" s="101"/>
      <c r="Q410" s="101"/>
      <c r="R410" s="102"/>
      <c r="S410" s="102"/>
      <c r="T410" s="102"/>
      <c r="U410" s="103"/>
      <c r="V410" s="100"/>
      <c r="W410" s="101"/>
      <c r="X410" s="113"/>
      <c r="Y410" s="114"/>
      <c r="Z410" s="102"/>
      <c r="AA410" s="101"/>
      <c r="AB410" s="111"/>
      <c r="AE410" s="187"/>
      <c r="AF410" s="185"/>
      <c r="AG410" s="185" t="str">
        <f t="shared" si="61"/>
        <v/>
      </c>
      <c r="AH410" s="186" t="str">
        <f t="shared" si="62"/>
        <v/>
      </c>
      <c r="AI410" s="185"/>
      <c r="AJ410" s="188"/>
      <c r="CC410" s="562"/>
      <c r="CD410" s="425"/>
    </row>
    <row r="411" spans="2:82" ht="30" customHeight="1" x14ac:dyDescent="0.3">
      <c r="B411" s="562"/>
      <c r="C411" s="563"/>
      <c r="D411" s="425"/>
      <c r="E411" s="250" t="str">
        <f t="shared" si="56"/>
        <v/>
      </c>
      <c r="F411" s="556"/>
      <c r="G411" s="252" t="str">
        <f>IFERROR(VLOOKUP(F411,'Data (hidden)'!N:O,2,FALSE),"")</f>
        <v/>
      </c>
      <c r="H411" s="557"/>
      <c r="I411" s="558"/>
      <c r="J411" s="123">
        <f t="shared" si="59"/>
        <v>0</v>
      </c>
      <c r="K411" s="123" t="e">
        <f t="shared" si="60"/>
        <v>#VALUE!</v>
      </c>
      <c r="L411" s="123">
        <f t="shared" si="57"/>
        <v>0</v>
      </c>
      <c r="M411" s="124" t="str">
        <f t="shared" si="58"/>
        <v/>
      </c>
      <c r="N411" s="112"/>
      <c r="O411" s="101"/>
      <c r="P411" s="101"/>
      <c r="Q411" s="101"/>
      <c r="R411" s="102"/>
      <c r="S411" s="102"/>
      <c r="T411" s="102"/>
      <c r="U411" s="103"/>
      <c r="V411" s="100"/>
      <c r="W411" s="101"/>
      <c r="X411" s="113"/>
      <c r="Y411" s="114"/>
      <c r="Z411" s="102"/>
      <c r="AA411" s="101"/>
      <c r="AB411" s="111"/>
      <c r="AE411" s="187"/>
      <c r="AF411" s="185"/>
      <c r="AG411" s="185" t="str">
        <f t="shared" si="61"/>
        <v/>
      </c>
      <c r="AH411" s="186" t="str">
        <f t="shared" si="62"/>
        <v/>
      </c>
      <c r="AI411" s="185"/>
      <c r="AJ411" s="188"/>
      <c r="CC411" s="562"/>
      <c r="CD411" s="425"/>
    </row>
    <row r="412" spans="2:82" ht="30" customHeight="1" x14ac:dyDescent="0.3">
      <c r="B412" s="562"/>
      <c r="C412" s="563"/>
      <c r="D412" s="425"/>
      <c r="E412" s="250" t="str">
        <f t="shared" si="56"/>
        <v/>
      </c>
      <c r="F412" s="556"/>
      <c r="G412" s="252" t="str">
        <f>IFERROR(VLOOKUP(F412,'Data (hidden)'!N:O,2,FALSE),"")</f>
        <v/>
      </c>
      <c r="H412" s="557"/>
      <c r="I412" s="558"/>
      <c r="J412" s="123">
        <f t="shared" si="59"/>
        <v>0</v>
      </c>
      <c r="K412" s="123" t="e">
        <f t="shared" si="60"/>
        <v>#VALUE!</v>
      </c>
      <c r="L412" s="123">
        <f t="shared" si="57"/>
        <v>0</v>
      </c>
      <c r="M412" s="124" t="str">
        <f t="shared" si="58"/>
        <v/>
      </c>
      <c r="N412" s="112"/>
      <c r="O412" s="101"/>
      <c r="P412" s="101"/>
      <c r="Q412" s="101"/>
      <c r="R412" s="102"/>
      <c r="S412" s="102"/>
      <c r="T412" s="102"/>
      <c r="U412" s="103"/>
      <c r="V412" s="100"/>
      <c r="W412" s="101"/>
      <c r="X412" s="113"/>
      <c r="Y412" s="114"/>
      <c r="Z412" s="102"/>
      <c r="AA412" s="101"/>
      <c r="AB412" s="111"/>
      <c r="AE412" s="187"/>
      <c r="AF412" s="185"/>
      <c r="AG412" s="185" t="str">
        <f t="shared" si="61"/>
        <v/>
      </c>
      <c r="AH412" s="186" t="str">
        <f t="shared" si="62"/>
        <v/>
      </c>
      <c r="AI412" s="185"/>
      <c r="AJ412" s="188"/>
      <c r="CC412" s="562"/>
      <c r="CD412" s="425"/>
    </row>
    <row r="413" spans="2:82" ht="30" customHeight="1" x14ac:dyDescent="0.3">
      <c r="B413" s="562"/>
      <c r="C413" s="563"/>
      <c r="D413" s="425"/>
      <c r="E413" s="250" t="str">
        <f t="shared" si="56"/>
        <v/>
      </c>
      <c r="F413" s="556"/>
      <c r="G413" s="252" t="str">
        <f>IFERROR(VLOOKUP(F413,'Data (hidden)'!N:O,2,FALSE),"")</f>
        <v/>
      </c>
      <c r="H413" s="557"/>
      <c r="I413" s="558"/>
      <c r="J413" s="123">
        <f t="shared" si="59"/>
        <v>0</v>
      </c>
      <c r="K413" s="123" t="e">
        <f t="shared" si="60"/>
        <v>#VALUE!</v>
      </c>
      <c r="L413" s="123">
        <f t="shared" si="57"/>
        <v>0</v>
      </c>
      <c r="M413" s="124" t="str">
        <f t="shared" si="58"/>
        <v/>
      </c>
      <c r="N413" s="112"/>
      <c r="O413" s="101"/>
      <c r="P413" s="101"/>
      <c r="Q413" s="101"/>
      <c r="R413" s="102"/>
      <c r="S413" s="102"/>
      <c r="T413" s="102"/>
      <c r="U413" s="103"/>
      <c r="V413" s="100"/>
      <c r="W413" s="101"/>
      <c r="X413" s="113"/>
      <c r="Y413" s="114"/>
      <c r="Z413" s="102"/>
      <c r="AA413" s="101"/>
      <c r="AB413" s="111"/>
      <c r="AE413" s="187"/>
      <c r="AF413" s="185"/>
      <c r="AG413" s="185" t="str">
        <f t="shared" si="61"/>
        <v/>
      </c>
      <c r="AH413" s="186" t="str">
        <f t="shared" si="62"/>
        <v/>
      </c>
      <c r="AI413" s="185"/>
      <c r="AJ413" s="188"/>
      <c r="CC413" s="562"/>
      <c r="CD413" s="425"/>
    </row>
    <row r="414" spans="2:82" ht="30" customHeight="1" x14ac:dyDescent="0.3">
      <c r="B414" s="562"/>
      <c r="C414" s="563"/>
      <c r="D414" s="425"/>
      <c r="E414" s="250" t="str">
        <f t="shared" si="56"/>
        <v/>
      </c>
      <c r="F414" s="556"/>
      <c r="G414" s="252" t="str">
        <f>IFERROR(VLOOKUP(F414,'Data (hidden)'!N:O,2,FALSE),"")</f>
        <v/>
      </c>
      <c r="H414" s="557"/>
      <c r="I414" s="558"/>
      <c r="J414" s="123">
        <f t="shared" si="59"/>
        <v>0</v>
      </c>
      <c r="K414" s="123" t="e">
        <f t="shared" si="60"/>
        <v>#VALUE!</v>
      </c>
      <c r="L414" s="123">
        <f t="shared" si="57"/>
        <v>0</v>
      </c>
      <c r="M414" s="124" t="str">
        <f t="shared" si="58"/>
        <v/>
      </c>
      <c r="N414" s="112"/>
      <c r="O414" s="101"/>
      <c r="P414" s="101"/>
      <c r="Q414" s="101"/>
      <c r="R414" s="102"/>
      <c r="S414" s="102"/>
      <c r="T414" s="102"/>
      <c r="U414" s="103"/>
      <c r="V414" s="100"/>
      <c r="W414" s="101"/>
      <c r="X414" s="113"/>
      <c r="Y414" s="114"/>
      <c r="Z414" s="102"/>
      <c r="AA414" s="101"/>
      <c r="AB414" s="111"/>
      <c r="AE414" s="187"/>
      <c r="AF414" s="185"/>
      <c r="AG414" s="185" t="str">
        <f t="shared" si="61"/>
        <v/>
      </c>
      <c r="AH414" s="186" t="str">
        <f t="shared" si="62"/>
        <v/>
      </c>
      <c r="AI414" s="185"/>
      <c r="AJ414" s="188"/>
      <c r="CC414" s="562"/>
      <c r="CD414" s="425"/>
    </row>
    <row r="415" spans="2:82" ht="30" customHeight="1" x14ac:dyDescent="0.3">
      <c r="B415" s="562"/>
      <c r="C415" s="563"/>
      <c r="D415" s="425"/>
      <c r="E415" s="250" t="str">
        <f t="shared" si="56"/>
        <v/>
      </c>
      <c r="F415" s="556"/>
      <c r="G415" s="252" t="str">
        <f>IFERROR(VLOOKUP(F415,'Data (hidden)'!N:O,2,FALSE),"")</f>
        <v/>
      </c>
      <c r="H415" s="557"/>
      <c r="I415" s="558"/>
      <c r="J415" s="123">
        <f t="shared" si="59"/>
        <v>0</v>
      </c>
      <c r="K415" s="123" t="e">
        <f t="shared" si="60"/>
        <v>#VALUE!</v>
      </c>
      <c r="L415" s="123">
        <f t="shared" si="57"/>
        <v>0</v>
      </c>
      <c r="M415" s="124" t="str">
        <f t="shared" si="58"/>
        <v/>
      </c>
      <c r="N415" s="112"/>
      <c r="O415" s="101"/>
      <c r="P415" s="101"/>
      <c r="Q415" s="101"/>
      <c r="R415" s="102"/>
      <c r="S415" s="102"/>
      <c r="T415" s="102"/>
      <c r="U415" s="103"/>
      <c r="V415" s="100"/>
      <c r="W415" s="101"/>
      <c r="X415" s="113"/>
      <c r="Y415" s="114"/>
      <c r="Z415" s="102"/>
      <c r="AA415" s="101"/>
      <c r="AB415" s="111"/>
      <c r="AE415" s="187"/>
      <c r="AF415" s="185"/>
      <c r="AG415" s="185" t="str">
        <f t="shared" si="61"/>
        <v/>
      </c>
      <c r="AH415" s="186" t="str">
        <f t="shared" si="62"/>
        <v/>
      </c>
      <c r="AI415" s="185"/>
      <c r="AJ415" s="188"/>
      <c r="CC415" s="562"/>
      <c r="CD415" s="425"/>
    </row>
    <row r="416" spans="2:82" ht="30" customHeight="1" x14ac:dyDescent="0.3">
      <c r="B416" s="562"/>
      <c r="C416" s="563"/>
      <c r="D416" s="425"/>
      <c r="E416" s="250" t="str">
        <f t="shared" si="56"/>
        <v/>
      </c>
      <c r="F416" s="556"/>
      <c r="G416" s="252" t="str">
        <f>IFERROR(VLOOKUP(F416,'Data (hidden)'!N:O,2,FALSE),"")</f>
        <v/>
      </c>
      <c r="H416" s="557"/>
      <c r="I416" s="558"/>
      <c r="J416" s="123">
        <f t="shared" si="59"/>
        <v>0</v>
      </c>
      <c r="K416" s="123" t="e">
        <f t="shared" si="60"/>
        <v>#VALUE!</v>
      </c>
      <c r="L416" s="123">
        <f t="shared" si="57"/>
        <v>0</v>
      </c>
      <c r="M416" s="124" t="str">
        <f t="shared" si="58"/>
        <v/>
      </c>
      <c r="N416" s="112"/>
      <c r="O416" s="101"/>
      <c r="P416" s="101"/>
      <c r="Q416" s="101"/>
      <c r="R416" s="102"/>
      <c r="S416" s="102"/>
      <c r="T416" s="102"/>
      <c r="U416" s="103"/>
      <c r="V416" s="100"/>
      <c r="W416" s="101"/>
      <c r="X416" s="113"/>
      <c r="Y416" s="114"/>
      <c r="Z416" s="102"/>
      <c r="AA416" s="101"/>
      <c r="AB416" s="111"/>
      <c r="AE416" s="187"/>
      <c r="AF416" s="185"/>
      <c r="AG416" s="185" t="str">
        <f t="shared" si="61"/>
        <v/>
      </c>
      <c r="AH416" s="186" t="str">
        <f t="shared" si="62"/>
        <v/>
      </c>
      <c r="AI416" s="185"/>
      <c r="AJ416" s="188"/>
      <c r="CC416" s="562"/>
      <c r="CD416" s="425"/>
    </row>
    <row r="417" spans="2:82" ht="30" customHeight="1" x14ac:dyDescent="0.3">
      <c r="B417" s="562"/>
      <c r="C417" s="563"/>
      <c r="D417" s="425"/>
      <c r="E417" s="250" t="str">
        <f t="shared" si="56"/>
        <v/>
      </c>
      <c r="F417" s="556"/>
      <c r="G417" s="252" t="str">
        <f>IFERROR(VLOOKUP(F417,'Data (hidden)'!N:O,2,FALSE),"")</f>
        <v/>
      </c>
      <c r="H417" s="557"/>
      <c r="I417" s="558"/>
      <c r="J417" s="123">
        <f t="shared" si="59"/>
        <v>0</v>
      </c>
      <c r="K417" s="123" t="e">
        <f t="shared" si="60"/>
        <v>#VALUE!</v>
      </c>
      <c r="L417" s="123">
        <f t="shared" si="57"/>
        <v>0</v>
      </c>
      <c r="M417" s="124" t="str">
        <f t="shared" si="58"/>
        <v/>
      </c>
      <c r="N417" s="112"/>
      <c r="O417" s="101"/>
      <c r="P417" s="101"/>
      <c r="Q417" s="101"/>
      <c r="R417" s="102"/>
      <c r="S417" s="102"/>
      <c r="T417" s="102"/>
      <c r="U417" s="103"/>
      <c r="V417" s="100"/>
      <c r="W417" s="101"/>
      <c r="X417" s="113"/>
      <c r="Y417" s="114"/>
      <c r="Z417" s="102"/>
      <c r="AA417" s="101"/>
      <c r="AB417" s="111"/>
      <c r="AE417" s="187"/>
      <c r="AF417" s="185"/>
      <c r="AG417" s="185" t="str">
        <f t="shared" si="61"/>
        <v/>
      </c>
      <c r="AH417" s="186" t="str">
        <f t="shared" si="62"/>
        <v/>
      </c>
      <c r="AI417" s="185"/>
      <c r="AJ417" s="188"/>
      <c r="CC417" s="562"/>
      <c r="CD417" s="425"/>
    </row>
    <row r="418" spans="2:82" ht="30" customHeight="1" x14ac:dyDescent="0.3">
      <c r="B418" s="562"/>
      <c r="C418" s="563"/>
      <c r="D418" s="425"/>
      <c r="E418" s="250" t="str">
        <f t="shared" si="56"/>
        <v/>
      </c>
      <c r="F418" s="556"/>
      <c r="G418" s="252" t="str">
        <f>IFERROR(VLOOKUP(F418,'Data (hidden)'!N:O,2,FALSE),"")</f>
        <v/>
      </c>
      <c r="H418" s="557"/>
      <c r="I418" s="558"/>
      <c r="J418" s="123">
        <f t="shared" si="59"/>
        <v>0</v>
      </c>
      <c r="K418" s="123" t="e">
        <f t="shared" si="60"/>
        <v>#VALUE!</v>
      </c>
      <c r="L418" s="123">
        <f t="shared" si="57"/>
        <v>0</v>
      </c>
      <c r="M418" s="124" t="str">
        <f t="shared" si="58"/>
        <v/>
      </c>
      <c r="N418" s="112"/>
      <c r="O418" s="101"/>
      <c r="P418" s="101"/>
      <c r="Q418" s="101"/>
      <c r="R418" s="102"/>
      <c r="S418" s="102"/>
      <c r="T418" s="102"/>
      <c r="U418" s="103"/>
      <c r="V418" s="100"/>
      <c r="W418" s="101"/>
      <c r="X418" s="113"/>
      <c r="Y418" s="114"/>
      <c r="Z418" s="102"/>
      <c r="AA418" s="101"/>
      <c r="AB418" s="111"/>
      <c r="AE418" s="187"/>
      <c r="AF418" s="185"/>
      <c r="AG418" s="185" t="str">
        <f t="shared" si="61"/>
        <v/>
      </c>
      <c r="AH418" s="186" t="str">
        <f t="shared" si="62"/>
        <v/>
      </c>
      <c r="AI418" s="185"/>
      <c r="AJ418" s="188"/>
      <c r="CC418" s="562"/>
      <c r="CD418" s="425"/>
    </row>
    <row r="419" spans="2:82" ht="30" customHeight="1" x14ac:dyDescent="0.3">
      <c r="B419" s="562"/>
      <c r="C419" s="563"/>
      <c r="D419" s="425"/>
      <c r="E419" s="250" t="str">
        <f t="shared" si="56"/>
        <v/>
      </c>
      <c r="F419" s="556"/>
      <c r="G419" s="252" t="str">
        <f>IFERROR(VLOOKUP(F419,'Data (hidden)'!N:O,2,FALSE),"")</f>
        <v/>
      </c>
      <c r="H419" s="557"/>
      <c r="I419" s="558"/>
      <c r="J419" s="123">
        <f t="shared" si="59"/>
        <v>0</v>
      </c>
      <c r="K419" s="123" t="e">
        <f t="shared" si="60"/>
        <v>#VALUE!</v>
      </c>
      <c r="L419" s="123">
        <f t="shared" si="57"/>
        <v>0</v>
      </c>
      <c r="M419" s="124" t="str">
        <f t="shared" si="58"/>
        <v/>
      </c>
      <c r="N419" s="112"/>
      <c r="O419" s="101"/>
      <c r="P419" s="101"/>
      <c r="Q419" s="101"/>
      <c r="R419" s="102"/>
      <c r="S419" s="102"/>
      <c r="T419" s="102"/>
      <c r="U419" s="103"/>
      <c r="V419" s="100"/>
      <c r="W419" s="101"/>
      <c r="X419" s="113"/>
      <c r="Y419" s="114"/>
      <c r="Z419" s="102"/>
      <c r="AA419" s="101"/>
      <c r="AB419" s="111"/>
      <c r="AE419" s="187"/>
      <c r="AF419" s="185"/>
      <c r="AG419" s="185" t="str">
        <f t="shared" si="61"/>
        <v/>
      </c>
      <c r="AH419" s="186" t="str">
        <f t="shared" si="62"/>
        <v/>
      </c>
      <c r="AI419" s="185"/>
      <c r="AJ419" s="188"/>
      <c r="CC419" s="562"/>
      <c r="CD419" s="425"/>
    </row>
    <row r="420" spans="2:82" ht="30" customHeight="1" x14ac:dyDescent="0.3">
      <c r="B420" s="562"/>
      <c r="C420" s="563"/>
      <c r="D420" s="425"/>
      <c r="E420" s="250" t="str">
        <f t="shared" si="56"/>
        <v/>
      </c>
      <c r="F420" s="556"/>
      <c r="G420" s="252" t="str">
        <f>IFERROR(VLOOKUP(F420,'Data (hidden)'!N:O,2,FALSE),"")</f>
        <v/>
      </c>
      <c r="H420" s="557"/>
      <c r="I420" s="558"/>
      <c r="J420" s="123">
        <f t="shared" si="59"/>
        <v>0</v>
      </c>
      <c r="K420" s="123" t="e">
        <f t="shared" si="60"/>
        <v>#VALUE!</v>
      </c>
      <c r="L420" s="123">
        <f t="shared" si="57"/>
        <v>0</v>
      </c>
      <c r="M420" s="124" t="str">
        <f t="shared" si="58"/>
        <v/>
      </c>
      <c r="N420" s="112"/>
      <c r="O420" s="101"/>
      <c r="P420" s="101"/>
      <c r="Q420" s="101"/>
      <c r="R420" s="102"/>
      <c r="S420" s="102"/>
      <c r="T420" s="102"/>
      <c r="U420" s="103"/>
      <c r="V420" s="100"/>
      <c r="W420" s="101"/>
      <c r="X420" s="113"/>
      <c r="Y420" s="114"/>
      <c r="Z420" s="102"/>
      <c r="AA420" s="101"/>
      <c r="AB420" s="111"/>
      <c r="AE420" s="187"/>
      <c r="AF420" s="185"/>
      <c r="AG420" s="185" t="str">
        <f t="shared" si="61"/>
        <v/>
      </c>
      <c r="AH420" s="186" t="str">
        <f t="shared" si="62"/>
        <v/>
      </c>
      <c r="AI420" s="185"/>
      <c r="AJ420" s="188"/>
      <c r="CC420" s="562"/>
      <c r="CD420" s="425"/>
    </row>
    <row r="421" spans="2:82" ht="30" customHeight="1" x14ac:dyDescent="0.3">
      <c r="B421" s="562"/>
      <c r="C421" s="563"/>
      <c r="D421" s="425"/>
      <c r="E421" s="250" t="str">
        <f t="shared" si="56"/>
        <v/>
      </c>
      <c r="F421" s="556"/>
      <c r="G421" s="252" t="str">
        <f>IFERROR(VLOOKUP(F421,'Data (hidden)'!N:O,2,FALSE),"")</f>
        <v/>
      </c>
      <c r="H421" s="557"/>
      <c r="I421" s="558"/>
      <c r="J421" s="123">
        <f t="shared" si="59"/>
        <v>0</v>
      </c>
      <c r="K421" s="123" t="e">
        <f t="shared" si="60"/>
        <v>#VALUE!</v>
      </c>
      <c r="L421" s="123">
        <f t="shared" si="57"/>
        <v>0</v>
      </c>
      <c r="M421" s="124" t="str">
        <f t="shared" si="58"/>
        <v/>
      </c>
      <c r="N421" s="112"/>
      <c r="O421" s="101"/>
      <c r="P421" s="101"/>
      <c r="Q421" s="101"/>
      <c r="R421" s="102"/>
      <c r="S421" s="102"/>
      <c r="T421" s="102"/>
      <c r="U421" s="103"/>
      <c r="V421" s="100"/>
      <c r="W421" s="101"/>
      <c r="X421" s="113"/>
      <c r="Y421" s="114"/>
      <c r="Z421" s="102"/>
      <c r="AA421" s="101"/>
      <c r="AB421" s="111"/>
      <c r="AE421" s="187"/>
      <c r="AF421" s="185"/>
      <c r="AG421" s="185" t="str">
        <f t="shared" si="61"/>
        <v/>
      </c>
      <c r="AH421" s="186" t="str">
        <f t="shared" si="62"/>
        <v/>
      </c>
      <c r="AI421" s="185"/>
      <c r="AJ421" s="188"/>
      <c r="CC421" s="562"/>
      <c r="CD421" s="425"/>
    </row>
    <row r="422" spans="2:82" ht="30" customHeight="1" x14ac:dyDescent="0.3">
      <c r="B422" s="562"/>
      <c r="C422" s="563"/>
      <c r="D422" s="425"/>
      <c r="E422" s="250" t="str">
        <f t="shared" si="56"/>
        <v/>
      </c>
      <c r="F422" s="556"/>
      <c r="G422" s="252" t="str">
        <f>IFERROR(VLOOKUP(F422,'Data (hidden)'!N:O,2,FALSE),"")</f>
        <v/>
      </c>
      <c r="H422" s="557"/>
      <c r="I422" s="558"/>
      <c r="J422" s="123">
        <f t="shared" si="59"/>
        <v>0</v>
      </c>
      <c r="K422" s="123" t="e">
        <f t="shared" si="60"/>
        <v>#VALUE!</v>
      </c>
      <c r="L422" s="123">
        <f t="shared" si="57"/>
        <v>0</v>
      </c>
      <c r="M422" s="124" t="str">
        <f t="shared" si="58"/>
        <v/>
      </c>
      <c r="N422" s="112"/>
      <c r="O422" s="101"/>
      <c r="P422" s="101"/>
      <c r="Q422" s="101"/>
      <c r="R422" s="102"/>
      <c r="S422" s="102"/>
      <c r="T422" s="102"/>
      <c r="U422" s="103"/>
      <c r="V422" s="100"/>
      <c r="W422" s="101"/>
      <c r="X422" s="113"/>
      <c r="Y422" s="114"/>
      <c r="Z422" s="102"/>
      <c r="AA422" s="101"/>
      <c r="AB422" s="111"/>
      <c r="AE422" s="187"/>
      <c r="AF422" s="185"/>
      <c r="AG422" s="185" t="str">
        <f t="shared" si="61"/>
        <v/>
      </c>
      <c r="AH422" s="186" t="str">
        <f t="shared" si="62"/>
        <v/>
      </c>
      <c r="AI422" s="185"/>
      <c r="AJ422" s="188"/>
      <c r="CC422" s="562"/>
      <c r="CD422" s="425"/>
    </row>
    <row r="423" spans="2:82" ht="30" customHeight="1" x14ac:dyDescent="0.3">
      <c r="B423" s="562"/>
      <c r="C423" s="563"/>
      <c r="D423" s="425"/>
      <c r="E423" s="250" t="str">
        <f t="shared" si="56"/>
        <v/>
      </c>
      <c r="F423" s="556"/>
      <c r="G423" s="252" t="str">
        <f>IFERROR(VLOOKUP(F423,'Data (hidden)'!N:O,2,FALSE),"")</f>
        <v/>
      </c>
      <c r="H423" s="557"/>
      <c r="I423" s="558"/>
      <c r="J423" s="123">
        <f t="shared" si="59"/>
        <v>0</v>
      </c>
      <c r="K423" s="123" t="e">
        <f t="shared" si="60"/>
        <v>#VALUE!</v>
      </c>
      <c r="L423" s="123">
        <f t="shared" si="57"/>
        <v>0</v>
      </c>
      <c r="M423" s="124" t="str">
        <f t="shared" si="58"/>
        <v/>
      </c>
      <c r="N423" s="112"/>
      <c r="O423" s="101"/>
      <c r="P423" s="101"/>
      <c r="Q423" s="101"/>
      <c r="R423" s="102"/>
      <c r="S423" s="102"/>
      <c r="T423" s="102"/>
      <c r="U423" s="103"/>
      <c r="V423" s="100"/>
      <c r="W423" s="101"/>
      <c r="X423" s="113"/>
      <c r="Y423" s="114"/>
      <c r="Z423" s="102"/>
      <c r="AA423" s="101"/>
      <c r="AB423" s="111"/>
      <c r="AE423" s="187"/>
      <c r="AF423" s="185"/>
      <c r="AG423" s="185" t="str">
        <f t="shared" si="61"/>
        <v/>
      </c>
      <c r="AH423" s="186" t="str">
        <f t="shared" si="62"/>
        <v/>
      </c>
      <c r="AI423" s="185"/>
      <c r="AJ423" s="188"/>
      <c r="CC423" s="562"/>
      <c r="CD423" s="425"/>
    </row>
    <row r="424" spans="2:82" ht="30" customHeight="1" x14ac:dyDescent="0.3">
      <c r="B424" s="562"/>
      <c r="C424" s="563"/>
      <c r="D424" s="425"/>
      <c r="E424" s="250" t="str">
        <f t="shared" si="56"/>
        <v/>
      </c>
      <c r="F424" s="556"/>
      <c r="G424" s="252" t="str">
        <f>IFERROR(VLOOKUP(F424,'Data (hidden)'!N:O,2,FALSE),"")</f>
        <v/>
      </c>
      <c r="H424" s="557"/>
      <c r="I424" s="558"/>
      <c r="J424" s="123">
        <f t="shared" si="59"/>
        <v>0</v>
      </c>
      <c r="K424" s="123" t="e">
        <f t="shared" si="60"/>
        <v>#VALUE!</v>
      </c>
      <c r="L424" s="123">
        <f t="shared" si="57"/>
        <v>0</v>
      </c>
      <c r="M424" s="124" t="str">
        <f t="shared" si="58"/>
        <v/>
      </c>
      <c r="N424" s="112"/>
      <c r="O424" s="101"/>
      <c r="P424" s="101"/>
      <c r="Q424" s="101"/>
      <c r="R424" s="102"/>
      <c r="S424" s="102"/>
      <c r="T424" s="102"/>
      <c r="U424" s="103"/>
      <c r="V424" s="100"/>
      <c r="W424" s="101"/>
      <c r="X424" s="113"/>
      <c r="Y424" s="114"/>
      <c r="Z424" s="102"/>
      <c r="AA424" s="101"/>
      <c r="AB424" s="111"/>
      <c r="AE424" s="187"/>
      <c r="AF424" s="185"/>
      <c r="AG424" s="185" t="str">
        <f t="shared" si="61"/>
        <v/>
      </c>
      <c r="AH424" s="186" t="str">
        <f t="shared" si="62"/>
        <v/>
      </c>
      <c r="AI424" s="185"/>
      <c r="AJ424" s="188"/>
      <c r="CC424" s="562"/>
      <c r="CD424" s="425"/>
    </row>
    <row r="425" spans="2:82" ht="30" customHeight="1" x14ac:dyDescent="0.3">
      <c r="B425" s="562"/>
      <c r="C425" s="563"/>
      <c r="D425" s="425"/>
      <c r="E425" s="250" t="str">
        <f t="shared" si="56"/>
        <v/>
      </c>
      <c r="F425" s="556"/>
      <c r="G425" s="252" t="str">
        <f>IFERROR(VLOOKUP(F425,'Data (hidden)'!N:O,2,FALSE),"")</f>
        <v/>
      </c>
      <c r="H425" s="557"/>
      <c r="I425" s="558"/>
      <c r="J425" s="123">
        <f t="shared" si="59"/>
        <v>0</v>
      </c>
      <c r="K425" s="123" t="e">
        <f t="shared" si="60"/>
        <v>#VALUE!</v>
      </c>
      <c r="L425" s="123">
        <f t="shared" si="57"/>
        <v>0</v>
      </c>
      <c r="M425" s="124" t="str">
        <f t="shared" si="58"/>
        <v/>
      </c>
      <c r="N425" s="112"/>
      <c r="O425" s="101"/>
      <c r="P425" s="101"/>
      <c r="Q425" s="101"/>
      <c r="R425" s="102"/>
      <c r="S425" s="102"/>
      <c r="T425" s="102"/>
      <c r="U425" s="103"/>
      <c r="V425" s="100"/>
      <c r="W425" s="101"/>
      <c r="X425" s="113"/>
      <c r="Y425" s="114"/>
      <c r="Z425" s="102"/>
      <c r="AA425" s="101"/>
      <c r="AB425" s="111"/>
      <c r="AE425" s="187"/>
      <c r="AF425" s="185"/>
      <c r="AG425" s="185" t="str">
        <f t="shared" si="61"/>
        <v/>
      </c>
      <c r="AH425" s="186" t="str">
        <f t="shared" si="62"/>
        <v/>
      </c>
      <c r="AI425" s="185"/>
      <c r="AJ425" s="188"/>
      <c r="CC425" s="562"/>
      <c r="CD425" s="425"/>
    </row>
    <row r="426" spans="2:82" ht="30" customHeight="1" x14ac:dyDescent="0.3">
      <c r="B426" s="562"/>
      <c r="C426" s="563"/>
      <c r="D426" s="425"/>
      <c r="E426" s="250" t="str">
        <f t="shared" si="56"/>
        <v/>
      </c>
      <c r="F426" s="556"/>
      <c r="G426" s="252" t="str">
        <f>IFERROR(VLOOKUP(F426,'Data (hidden)'!N:O,2,FALSE),"")</f>
        <v/>
      </c>
      <c r="H426" s="557"/>
      <c r="I426" s="558"/>
      <c r="J426" s="123">
        <f t="shared" si="59"/>
        <v>0</v>
      </c>
      <c r="K426" s="123" t="e">
        <f t="shared" si="60"/>
        <v>#VALUE!</v>
      </c>
      <c r="L426" s="123">
        <f t="shared" si="57"/>
        <v>0</v>
      </c>
      <c r="M426" s="124" t="str">
        <f t="shared" si="58"/>
        <v/>
      </c>
      <c r="N426" s="112"/>
      <c r="O426" s="101"/>
      <c r="P426" s="101"/>
      <c r="Q426" s="101"/>
      <c r="R426" s="102"/>
      <c r="S426" s="102"/>
      <c r="T426" s="102"/>
      <c r="U426" s="103"/>
      <c r="V426" s="100"/>
      <c r="W426" s="101"/>
      <c r="X426" s="113"/>
      <c r="Y426" s="114"/>
      <c r="Z426" s="102"/>
      <c r="AA426" s="101"/>
      <c r="AB426" s="111"/>
      <c r="AE426" s="187"/>
      <c r="AF426" s="185"/>
      <c r="AG426" s="185" t="str">
        <f t="shared" si="61"/>
        <v/>
      </c>
      <c r="AH426" s="186" t="str">
        <f t="shared" si="62"/>
        <v/>
      </c>
      <c r="AI426" s="185"/>
      <c r="AJ426" s="188"/>
      <c r="CC426" s="562"/>
      <c r="CD426" s="425"/>
    </row>
    <row r="427" spans="2:82" ht="30" customHeight="1" x14ac:dyDescent="0.3">
      <c r="B427" s="562"/>
      <c r="C427" s="563"/>
      <c r="D427" s="425"/>
      <c r="E427" s="250" t="str">
        <f t="shared" si="56"/>
        <v/>
      </c>
      <c r="F427" s="556"/>
      <c r="G427" s="252" t="str">
        <f>IFERROR(VLOOKUP(F427,'Data (hidden)'!N:O,2,FALSE),"")</f>
        <v/>
      </c>
      <c r="H427" s="557"/>
      <c r="I427" s="558"/>
      <c r="J427" s="123">
        <f t="shared" si="59"/>
        <v>0</v>
      </c>
      <c r="K427" s="123" t="e">
        <f t="shared" si="60"/>
        <v>#VALUE!</v>
      </c>
      <c r="L427" s="123">
        <f t="shared" si="57"/>
        <v>0</v>
      </c>
      <c r="M427" s="124" t="str">
        <f t="shared" si="58"/>
        <v/>
      </c>
      <c r="N427" s="112"/>
      <c r="O427" s="101"/>
      <c r="P427" s="101"/>
      <c r="Q427" s="101"/>
      <c r="R427" s="102"/>
      <c r="S427" s="102"/>
      <c r="T427" s="102"/>
      <c r="U427" s="103"/>
      <c r="V427" s="100"/>
      <c r="W427" s="101"/>
      <c r="X427" s="113"/>
      <c r="Y427" s="114"/>
      <c r="Z427" s="102"/>
      <c r="AA427" s="101"/>
      <c r="AB427" s="111"/>
      <c r="AE427" s="187"/>
      <c r="AF427" s="185"/>
      <c r="AG427" s="185" t="str">
        <f t="shared" si="61"/>
        <v/>
      </c>
      <c r="AH427" s="186" t="str">
        <f t="shared" si="62"/>
        <v/>
      </c>
      <c r="AI427" s="185"/>
      <c r="AJ427" s="188"/>
      <c r="CC427" s="562"/>
      <c r="CD427" s="425"/>
    </row>
    <row r="428" spans="2:82" ht="30" customHeight="1" x14ac:dyDescent="0.3">
      <c r="B428" s="562"/>
      <c r="C428" s="563"/>
      <c r="D428" s="425"/>
      <c r="E428" s="250" t="str">
        <f t="shared" si="56"/>
        <v/>
      </c>
      <c r="F428" s="556"/>
      <c r="G428" s="252" t="str">
        <f>IFERROR(VLOOKUP(F428,'Data (hidden)'!N:O,2,FALSE),"")</f>
        <v/>
      </c>
      <c r="H428" s="557"/>
      <c r="I428" s="558"/>
      <c r="J428" s="123">
        <f t="shared" si="59"/>
        <v>0</v>
      </c>
      <c r="K428" s="123" t="e">
        <f t="shared" si="60"/>
        <v>#VALUE!</v>
      </c>
      <c r="L428" s="123">
        <f t="shared" si="57"/>
        <v>0</v>
      </c>
      <c r="M428" s="124" t="str">
        <f t="shared" si="58"/>
        <v/>
      </c>
      <c r="N428" s="112"/>
      <c r="O428" s="101"/>
      <c r="P428" s="101"/>
      <c r="Q428" s="101"/>
      <c r="R428" s="102"/>
      <c r="S428" s="102"/>
      <c r="T428" s="102"/>
      <c r="U428" s="103"/>
      <c r="V428" s="100"/>
      <c r="W428" s="101"/>
      <c r="X428" s="113"/>
      <c r="Y428" s="114"/>
      <c r="Z428" s="102"/>
      <c r="AA428" s="101"/>
      <c r="AB428" s="111"/>
      <c r="AE428" s="187"/>
      <c r="AF428" s="185"/>
      <c r="AG428" s="185" t="str">
        <f t="shared" si="61"/>
        <v/>
      </c>
      <c r="AH428" s="186" t="str">
        <f t="shared" si="62"/>
        <v/>
      </c>
      <c r="AI428" s="185"/>
      <c r="AJ428" s="188"/>
      <c r="CC428" s="562"/>
      <c r="CD428" s="425"/>
    </row>
    <row r="429" spans="2:82" ht="30" customHeight="1" x14ac:dyDescent="0.3">
      <c r="B429" s="562"/>
      <c r="C429" s="563"/>
      <c r="D429" s="425"/>
      <c r="E429" s="250" t="str">
        <f t="shared" si="56"/>
        <v/>
      </c>
      <c r="F429" s="556"/>
      <c r="G429" s="252" t="str">
        <f>IFERROR(VLOOKUP(F429,'Data (hidden)'!N:O,2,FALSE),"")</f>
        <v/>
      </c>
      <c r="H429" s="557"/>
      <c r="I429" s="558"/>
      <c r="J429" s="123">
        <f t="shared" si="59"/>
        <v>0</v>
      </c>
      <c r="K429" s="123" t="e">
        <f t="shared" si="60"/>
        <v>#VALUE!</v>
      </c>
      <c r="L429" s="123">
        <f t="shared" si="57"/>
        <v>0</v>
      </c>
      <c r="M429" s="124" t="str">
        <f t="shared" si="58"/>
        <v/>
      </c>
      <c r="N429" s="112"/>
      <c r="O429" s="101"/>
      <c r="P429" s="101"/>
      <c r="Q429" s="101"/>
      <c r="R429" s="102"/>
      <c r="S429" s="102"/>
      <c r="T429" s="102"/>
      <c r="U429" s="103"/>
      <c r="V429" s="100"/>
      <c r="W429" s="101"/>
      <c r="X429" s="113"/>
      <c r="Y429" s="114"/>
      <c r="Z429" s="102"/>
      <c r="AA429" s="101"/>
      <c r="AB429" s="111"/>
      <c r="AE429" s="187"/>
      <c r="AF429" s="185"/>
      <c r="AG429" s="185" t="str">
        <f t="shared" si="61"/>
        <v/>
      </c>
      <c r="AH429" s="186" t="str">
        <f t="shared" si="62"/>
        <v/>
      </c>
      <c r="AI429" s="185"/>
      <c r="AJ429" s="188"/>
      <c r="CC429" s="562"/>
      <c r="CD429" s="425"/>
    </row>
    <row r="430" spans="2:82" ht="30" customHeight="1" x14ac:dyDescent="0.3">
      <c r="B430" s="562"/>
      <c r="C430" s="563"/>
      <c r="D430" s="425"/>
      <c r="E430" s="250" t="str">
        <f t="shared" si="56"/>
        <v/>
      </c>
      <c r="F430" s="556"/>
      <c r="G430" s="252" t="str">
        <f>IFERROR(VLOOKUP(F430,'Data (hidden)'!N:O,2,FALSE),"")</f>
        <v/>
      </c>
      <c r="H430" s="557"/>
      <c r="I430" s="558"/>
      <c r="J430" s="123">
        <f t="shared" si="59"/>
        <v>0</v>
      </c>
      <c r="K430" s="123" t="e">
        <f t="shared" si="60"/>
        <v>#VALUE!</v>
      </c>
      <c r="L430" s="123">
        <f t="shared" si="57"/>
        <v>0</v>
      </c>
      <c r="M430" s="124" t="str">
        <f t="shared" si="58"/>
        <v/>
      </c>
      <c r="N430" s="112"/>
      <c r="O430" s="101"/>
      <c r="P430" s="101"/>
      <c r="Q430" s="101"/>
      <c r="R430" s="102"/>
      <c r="S430" s="102"/>
      <c r="T430" s="102"/>
      <c r="U430" s="103"/>
      <c r="V430" s="100"/>
      <c r="W430" s="101"/>
      <c r="X430" s="113"/>
      <c r="Y430" s="114"/>
      <c r="Z430" s="102"/>
      <c r="AA430" s="101"/>
      <c r="AB430" s="111"/>
      <c r="AE430" s="187"/>
      <c r="AF430" s="185"/>
      <c r="AG430" s="185" t="str">
        <f t="shared" si="61"/>
        <v/>
      </c>
      <c r="AH430" s="186" t="str">
        <f t="shared" si="62"/>
        <v/>
      </c>
      <c r="AI430" s="185"/>
      <c r="AJ430" s="188"/>
      <c r="CC430" s="562"/>
      <c r="CD430" s="425"/>
    </row>
    <row r="431" spans="2:82" ht="30" customHeight="1" x14ac:dyDescent="0.3">
      <c r="B431" s="562"/>
      <c r="C431" s="563"/>
      <c r="D431" s="425"/>
      <c r="E431" s="250" t="str">
        <f t="shared" si="56"/>
        <v/>
      </c>
      <c r="F431" s="556"/>
      <c r="G431" s="252" t="str">
        <f>IFERROR(VLOOKUP(F431,'Data (hidden)'!N:O,2,FALSE),"")</f>
        <v/>
      </c>
      <c r="H431" s="557"/>
      <c r="I431" s="558"/>
      <c r="J431" s="123">
        <f t="shared" si="59"/>
        <v>0</v>
      </c>
      <c r="K431" s="123" t="e">
        <f t="shared" si="60"/>
        <v>#VALUE!</v>
      </c>
      <c r="L431" s="123">
        <f t="shared" si="57"/>
        <v>0</v>
      </c>
      <c r="M431" s="124" t="str">
        <f t="shared" si="58"/>
        <v/>
      </c>
      <c r="N431" s="112"/>
      <c r="O431" s="101"/>
      <c r="P431" s="101"/>
      <c r="Q431" s="101"/>
      <c r="R431" s="102"/>
      <c r="S431" s="102"/>
      <c r="T431" s="102"/>
      <c r="U431" s="103"/>
      <c r="V431" s="100"/>
      <c r="W431" s="101"/>
      <c r="X431" s="113"/>
      <c r="Y431" s="114"/>
      <c r="Z431" s="102"/>
      <c r="AA431" s="101"/>
      <c r="AB431" s="111"/>
      <c r="AE431" s="187"/>
      <c r="AF431" s="185"/>
      <c r="AG431" s="185" t="str">
        <f t="shared" si="61"/>
        <v/>
      </c>
      <c r="AH431" s="186" t="str">
        <f t="shared" si="62"/>
        <v/>
      </c>
      <c r="AI431" s="185"/>
      <c r="AJ431" s="188"/>
      <c r="CC431" s="562"/>
      <c r="CD431" s="425"/>
    </row>
    <row r="432" spans="2:82" ht="30" customHeight="1" x14ac:dyDescent="0.3">
      <c r="B432" s="562"/>
      <c r="C432" s="563"/>
      <c r="D432" s="425"/>
      <c r="E432" s="250" t="str">
        <f t="shared" si="56"/>
        <v/>
      </c>
      <c r="F432" s="556"/>
      <c r="G432" s="252" t="str">
        <f>IFERROR(VLOOKUP(F432,'Data (hidden)'!N:O,2,FALSE),"")</f>
        <v/>
      </c>
      <c r="H432" s="557"/>
      <c r="I432" s="558"/>
      <c r="J432" s="123">
        <f t="shared" si="59"/>
        <v>0</v>
      </c>
      <c r="K432" s="123" t="e">
        <f t="shared" si="60"/>
        <v>#VALUE!</v>
      </c>
      <c r="L432" s="123">
        <f t="shared" si="57"/>
        <v>0</v>
      </c>
      <c r="M432" s="124" t="str">
        <f t="shared" si="58"/>
        <v/>
      </c>
      <c r="N432" s="112"/>
      <c r="O432" s="101"/>
      <c r="P432" s="101"/>
      <c r="Q432" s="101"/>
      <c r="R432" s="102"/>
      <c r="S432" s="102"/>
      <c r="T432" s="102"/>
      <c r="U432" s="103"/>
      <c r="V432" s="100"/>
      <c r="W432" s="101"/>
      <c r="X432" s="113"/>
      <c r="Y432" s="114"/>
      <c r="Z432" s="102"/>
      <c r="AA432" s="101"/>
      <c r="AB432" s="111"/>
      <c r="AE432" s="187"/>
      <c r="AF432" s="185"/>
      <c r="AG432" s="185" t="str">
        <f t="shared" si="61"/>
        <v/>
      </c>
      <c r="AH432" s="186" t="str">
        <f t="shared" si="62"/>
        <v/>
      </c>
      <c r="AI432" s="185"/>
      <c r="AJ432" s="188"/>
      <c r="CC432" s="562"/>
      <c r="CD432" s="425"/>
    </row>
    <row r="433" spans="2:82" ht="30" customHeight="1" x14ac:dyDescent="0.3">
      <c r="B433" s="562"/>
      <c r="C433" s="563"/>
      <c r="D433" s="425"/>
      <c r="E433" s="250" t="str">
        <f t="shared" si="56"/>
        <v/>
      </c>
      <c r="F433" s="556"/>
      <c r="G433" s="252" t="str">
        <f>IFERROR(VLOOKUP(F433,'Data (hidden)'!N:O,2,FALSE),"")</f>
        <v/>
      </c>
      <c r="H433" s="557"/>
      <c r="I433" s="558"/>
      <c r="J433" s="123">
        <f t="shared" si="59"/>
        <v>0</v>
      </c>
      <c r="K433" s="123" t="e">
        <f t="shared" si="60"/>
        <v>#VALUE!</v>
      </c>
      <c r="L433" s="123">
        <f t="shared" si="57"/>
        <v>0</v>
      </c>
      <c r="M433" s="124" t="str">
        <f t="shared" si="58"/>
        <v/>
      </c>
      <c r="N433" s="112"/>
      <c r="O433" s="101"/>
      <c r="P433" s="101"/>
      <c r="Q433" s="101"/>
      <c r="R433" s="102"/>
      <c r="S433" s="102"/>
      <c r="T433" s="102"/>
      <c r="U433" s="103"/>
      <c r="V433" s="100"/>
      <c r="W433" s="101"/>
      <c r="X433" s="113"/>
      <c r="Y433" s="114"/>
      <c r="Z433" s="102"/>
      <c r="AA433" s="101"/>
      <c r="AB433" s="111"/>
      <c r="AE433" s="187"/>
      <c r="AF433" s="185"/>
      <c r="AG433" s="185" t="str">
        <f t="shared" si="61"/>
        <v/>
      </c>
      <c r="AH433" s="186" t="str">
        <f t="shared" si="62"/>
        <v/>
      </c>
      <c r="AI433" s="185"/>
      <c r="AJ433" s="188"/>
      <c r="CC433" s="562"/>
      <c r="CD433" s="425"/>
    </row>
    <row r="434" spans="2:82" ht="30" customHeight="1" x14ac:dyDescent="0.3">
      <c r="B434" s="562"/>
      <c r="C434" s="563"/>
      <c r="D434" s="425"/>
      <c r="E434" s="250" t="str">
        <f t="shared" si="56"/>
        <v/>
      </c>
      <c r="F434" s="556"/>
      <c r="G434" s="252" t="str">
        <f>IFERROR(VLOOKUP(F434,'Data (hidden)'!N:O,2,FALSE),"")</f>
        <v/>
      </c>
      <c r="H434" s="557"/>
      <c r="I434" s="558"/>
      <c r="J434" s="123">
        <f t="shared" si="59"/>
        <v>0</v>
      </c>
      <c r="K434" s="123" t="e">
        <f t="shared" si="60"/>
        <v>#VALUE!</v>
      </c>
      <c r="L434" s="123">
        <f t="shared" si="57"/>
        <v>0</v>
      </c>
      <c r="M434" s="124" t="str">
        <f t="shared" si="58"/>
        <v/>
      </c>
      <c r="N434" s="112"/>
      <c r="O434" s="101"/>
      <c r="P434" s="101"/>
      <c r="Q434" s="101"/>
      <c r="R434" s="102"/>
      <c r="S434" s="102"/>
      <c r="T434" s="102"/>
      <c r="U434" s="103"/>
      <c r="V434" s="100"/>
      <c r="W434" s="101"/>
      <c r="X434" s="113"/>
      <c r="Y434" s="114"/>
      <c r="Z434" s="102"/>
      <c r="AA434" s="101"/>
      <c r="AB434" s="111"/>
      <c r="AE434" s="187"/>
      <c r="AF434" s="185"/>
      <c r="AG434" s="185" t="str">
        <f t="shared" si="61"/>
        <v/>
      </c>
      <c r="AH434" s="186" t="str">
        <f t="shared" si="62"/>
        <v/>
      </c>
      <c r="AI434" s="185"/>
      <c r="AJ434" s="188"/>
      <c r="CC434" s="562"/>
      <c r="CD434" s="425"/>
    </row>
    <row r="435" spans="2:82" ht="30" customHeight="1" x14ac:dyDescent="0.3">
      <c r="B435" s="562"/>
      <c r="C435" s="563"/>
      <c r="D435" s="425"/>
      <c r="E435" s="250" t="str">
        <f t="shared" si="56"/>
        <v/>
      </c>
      <c r="F435" s="556"/>
      <c r="G435" s="252" t="str">
        <f>IFERROR(VLOOKUP(F435,'Data (hidden)'!N:O,2,FALSE),"")</f>
        <v/>
      </c>
      <c r="H435" s="557"/>
      <c r="I435" s="558"/>
      <c r="J435" s="123">
        <f t="shared" si="59"/>
        <v>0</v>
      </c>
      <c r="K435" s="123" t="e">
        <f t="shared" si="60"/>
        <v>#VALUE!</v>
      </c>
      <c r="L435" s="123">
        <f t="shared" si="57"/>
        <v>0</v>
      </c>
      <c r="M435" s="124" t="str">
        <f t="shared" si="58"/>
        <v/>
      </c>
      <c r="N435" s="112"/>
      <c r="O435" s="101"/>
      <c r="P435" s="101"/>
      <c r="Q435" s="101"/>
      <c r="R435" s="102"/>
      <c r="S435" s="102"/>
      <c r="T435" s="102"/>
      <c r="U435" s="103"/>
      <c r="V435" s="100"/>
      <c r="W435" s="101"/>
      <c r="X435" s="113"/>
      <c r="Y435" s="114"/>
      <c r="Z435" s="102"/>
      <c r="AA435" s="101"/>
      <c r="AB435" s="111"/>
      <c r="AE435" s="187"/>
      <c r="AF435" s="185"/>
      <c r="AG435" s="185" t="str">
        <f t="shared" si="61"/>
        <v/>
      </c>
      <c r="AH435" s="186" t="str">
        <f t="shared" si="62"/>
        <v/>
      </c>
      <c r="AI435" s="185"/>
      <c r="AJ435" s="188"/>
      <c r="CC435" s="562"/>
      <c r="CD435" s="425"/>
    </row>
    <row r="436" spans="2:82" ht="30" customHeight="1" x14ac:dyDescent="0.3">
      <c r="B436" s="562"/>
      <c r="C436" s="563"/>
      <c r="D436" s="425"/>
      <c r="E436" s="250" t="str">
        <f t="shared" ref="E436:E499" si="63">IF(SUM(C436-(C436*L436))=0,"",SUM(C436-(C436*L436)))</f>
        <v/>
      </c>
      <c r="F436" s="556"/>
      <c r="G436" s="252" t="str">
        <f>IFERROR(VLOOKUP(F436,'Data (hidden)'!N:O,2,FALSE),"")</f>
        <v/>
      </c>
      <c r="H436" s="557"/>
      <c r="I436" s="558"/>
      <c r="J436" s="123">
        <f t="shared" si="59"/>
        <v>0</v>
      </c>
      <c r="K436" s="123" t="e">
        <f t="shared" si="60"/>
        <v>#VALUE!</v>
      </c>
      <c r="L436" s="123">
        <f t="shared" si="57"/>
        <v>0</v>
      </c>
      <c r="M436" s="124" t="str">
        <f t="shared" si="58"/>
        <v/>
      </c>
      <c r="N436" s="112"/>
      <c r="O436" s="101"/>
      <c r="P436" s="101"/>
      <c r="Q436" s="101"/>
      <c r="R436" s="102"/>
      <c r="S436" s="102"/>
      <c r="T436" s="102"/>
      <c r="U436" s="103"/>
      <c r="V436" s="100"/>
      <c r="W436" s="101"/>
      <c r="X436" s="113"/>
      <c r="Y436" s="114"/>
      <c r="Z436" s="102"/>
      <c r="AA436" s="101"/>
      <c r="AB436" s="111"/>
      <c r="AE436" s="187"/>
      <c r="AF436" s="185"/>
      <c r="AG436" s="185" t="str">
        <f t="shared" si="61"/>
        <v/>
      </c>
      <c r="AH436" s="186" t="str">
        <f t="shared" si="62"/>
        <v/>
      </c>
      <c r="AI436" s="185"/>
      <c r="AJ436" s="188"/>
      <c r="CC436" s="562"/>
      <c r="CD436" s="425"/>
    </row>
    <row r="437" spans="2:82" ht="30" customHeight="1" x14ac:dyDescent="0.3">
      <c r="B437" s="562"/>
      <c r="C437" s="563"/>
      <c r="D437" s="425"/>
      <c r="E437" s="250" t="str">
        <f t="shared" si="63"/>
        <v/>
      </c>
      <c r="F437" s="556"/>
      <c r="G437" s="252" t="str">
        <f>IFERROR(VLOOKUP(F437,'Data (hidden)'!N:O,2,FALSE),"")</f>
        <v/>
      </c>
      <c r="H437" s="557"/>
      <c r="I437" s="558"/>
      <c r="J437" s="123">
        <f t="shared" si="59"/>
        <v>0</v>
      </c>
      <c r="K437" s="123" t="e">
        <f t="shared" si="60"/>
        <v>#VALUE!</v>
      </c>
      <c r="L437" s="123">
        <f t="shared" si="57"/>
        <v>0</v>
      </c>
      <c r="M437" s="124" t="str">
        <f t="shared" si="58"/>
        <v/>
      </c>
      <c r="N437" s="112"/>
      <c r="O437" s="101"/>
      <c r="P437" s="101"/>
      <c r="Q437" s="101"/>
      <c r="R437" s="102"/>
      <c r="S437" s="102"/>
      <c r="T437" s="102"/>
      <c r="U437" s="103"/>
      <c r="V437" s="100"/>
      <c r="W437" s="101"/>
      <c r="X437" s="113"/>
      <c r="Y437" s="114"/>
      <c r="Z437" s="102"/>
      <c r="AA437" s="101"/>
      <c r="AB437" s="111"/>
      <c r="AE437" s="187"/>
      <c r="AF437" s="185"/>
      <c r="AG437" s="185" t="str">
        <f t="shared" si="61"/>
        <v/>
      </c>
      <c r="AH437" s="186" t="str">
        <f t="shared" si="62"/>
        <v/>
      </c>
      <c r="AI437" s="185"/>
      <c r="AJ437" s="188"/>
      <c r="CC437" s="562"/>
      <c r="CD437" s="425"/>
    </row>
    <row r="438" spans="2:82" ht="30" customHeight="1" x14ac:dyDescent="0.3">
      <c r="B438" s="562"/>
      <c r="C438" s="563"/>
      <c r="D438" s="425"/>
      <c r="E438" s="250" t="str">
        <f t="shared" si="63"/>
        <v/>
      </c>
      <c r="F438" s="556"/>
      <c r="G438" s="252" t="str">
        <f>IFERROR(VLOOKUP(F438,'Data (hidden)'!N:O,2,FALSE),"")</f>
        <v/>
      </c>
      <c r="H438" s="557"/>
      <c r="I438" s="558"/>
      <c r="J438" s="123">
        <f t="shared" si="59"/>
        <v>0</v>
      </c>
      <c r="K438" s="123" t="e">
        <f t="shared" si="60"/>
        <v>#VALUE!</v>
      </c>
      <c r="L438" s="123">
        <f t="shared" si="57"/>
        <v>0</v>
      </c>
      <c r="M438" s="124" t="str">
        <f t="shared" si="58"/>
        <v/>
      </c>
      <c r="N438" s="112"/>
      <c r="O438" s="101"/>
      <c r="P438" s="101"/>
      <c r="Q438" s="101"/>
      <c r="R438" s="102"/>
      <c r="S438" s="102"/>
      <c r="T438" s="102"/>
      <c r="U438" s="103"/>
      <c r="V438" s="100"/>
      <c r="W438" s="101"/>
      <c r="X438" s="113"/>
      <c r="Y438" s="114"/>
      <c r="Z438" s="102"/>
      <c r="AA438" s="101"/>
      <c r="AB438" s="111"/>
      <c r="AE438" s="187"/>
      <c r="AF438" s="185"/>
      <c r="AG438" s="185" t="str">
        <f t="shared" si="61"/>
        <v/>
      </c>
      <c r="AH438" s="186" t="str">
        <f t="shared" si="62"/>
        <v/>
      </c>
      <c r="AI438" s="185"/>
      <c r="AJ438" s="188"/>
      <c r="CC438" s="562"/>
      <c r="CD438" s="425"/>
    </row>
    <row r="439" spans="2:82" ht="30" customHeight="1" x14ac:dyDescent="0.3">
      <c r="B439" s="562"/>
      <c r="C439" s="563"/>
      <c r="D439" s="425"/>
      <c r="E439" s="250" t="str">
        <f t="shared" si="63"/>
        <v/>
      </c>
      <c r="F439" s="556"/>
      <c r="G439" s="252" t="str">
        <f>IFERROR(VLOOKUP(F439,'Data (hidden)'!N:O,2,FALSE),"")</f>
        <v/>
      </c>
      <c r="H439" s="557"/>
      <c r="I439" s="558"/>
      <c r="J439" s="123">
        <f t="shared" si="59"/>
        <v>0</v>
      </c>
      <c r="K439" s="123" t="e">
        <f t="shared" si="60"/>
        <v>#VALUE!</v>
      </c>
      <c r="L439" s="123">
        <f t="shared" si="57"/>
        <v>0</v>
      </c>
      <c r="M439" s="124" t="str">
        <f t="shared" si="58"/>
        <v/>
      </c>
      <c r="N439" s="112"/>
      <c r="O439" s="101"/>
      <c r="P439" s="101"/>
      <c r="Q439" s="101"/>
      <c r="R439" s="102"/>
      <c r="S439" s="102"/>
      <c r="T439" s="102"/>
      <c r="U439" s="103"/>
      <c r="V439" s="100"/>
      <c r="W439" s="101"/>
      <c r="X439" s="113"/>
      <c r="Y439" s="114"/>
      <c r="Z439" s="102"/>
      <c r="AA439" s="101"/>
      <c r="AB439" s="111"/>
      <c r="AE439" s="187"/>
      <c r="AF439" s="185"/>
      <c r="AG439" s="185" t="str">
        <f t="shared" si="61"/>
        <v/>
      </c>
      <c r="AH439" s="186" t="str">
        <f t="shared" si="62"/>
        <v/>
      </c>
      <c r="AI439" s="185"/>
      <c r="AJ439" s="188"/>
      <c r="CC439" s="562"/>
      <c r="CD439" s="425"/>
    </row>
    <row r="440" spans="2:82" ht="30" customHeight="1" x14ac:dyDescent="0.3">
      <c r="B440" s="562"/>
      <c r="C440" s="563"/>
      <c r="D440" s="425"/>
      <c r="E440" s="250" t="str">
        <f t="shared" si="63"/>
        <v/>
      </c>
      <c r="F440" s="556"/>
      <c r="G440" s="252" t="str">
        <f>IFERROR(VLOOKUP(F440,'Data (hidden)'!N:O,2,FALSE),"")</f>
        <v/>
      </c>
      <c r="H440" s="557"/>
      <c r="I440" s="558"/>
      <c r="J440" s="123">
        <f t="shared" si="59"/>
        <v>0</v>
      </c>
      <c r="K440" s="123" t="e">
        <f t="shared" si="60"/>
        <v>#VALUE!</v>
      </c>
      <c r="L440" s="123">
        <f t="shared" si="57"/>
        <v>0</v>
      </c>
      <c r="M440" s="124" t="str">
        <f t="shared" si="58"/>
        <v/>
      </c>
      <c r="N440" s="112"/>
      <c r="O440" s="101"/>
      <c r="P440" s="101"/>
      <c r="Q440" s="101"/>
      <c r="R440" s="102"/>
      <c r="S440" s="102"/>
      <c r="T440" s="102"/>
      <c r="U440" s="103"/>
      <c r="V440" s="100"/>
      <c r="W440" s="101"/>
      <c r="X440" s="113"/>
      <c r="Y440" s="114"/>
      <c r="Z440" s="102"/>
      <c r="AA440" s="101"/>
      <c r="AB440" s="111"/>
      <c r="AE440" s="187"/>
      <c r="AF440" s="185"/>
      <c r="AG440" s="185" t="str">
        <f t="shared" si="61"/>
        <v/>
      </c>
      <c r="AH440" s="186" t="str">
        <f t="shared" si="62"/>
        <v/>
      </c>
      <c r="AI440" s="185"/>
      <c r="AJ440" s="188"/>
      <c r="CC440" s="562"/>
      <c r="CD440" s="425"/>
    </row>
    <row r="441" spans="2:82" ht="30" customHeight="1" x14ac:dyDescent="0.3">
      <c r="B441" s="562"/>
      <c r="C441" s="563"/>
      <c r="D441" s="425"/>
      <c r="E441" s="250" t="str">
        <f t="shared" si="63"/>
        <v/>
      </c>
      <c r="F441" s="556"/>
      <c r="G441" s="252" t="str">
        <f>IFERROR(VLOOKUP(F441,'Data (hidden)'!N:O,2,FALSE),"")</f>
        <v/>
      </c>
      <c r="H441" s="557"/>
      <c r="I441" s="558"/>
      <c r="J441" s="123">
        <f t="shared" si="59"/>
        <v>0</v>
      </c>
      <c r="K441" s="123" t="e">
        <f t="shared" si="60"/>
        <v>#VALUE!</v>
      </c>
      <c r="L441" s="123">
        <f t="shared" si="57"/>
        <v>0</v>
      </c>
      <c r="M441" s="124" t="str">
        <f t="shared" si="58"/>
        <v/>
      </c>
      <c r="N441" s="112"/>
      <c r="O441" s="101"/>
      <c r="P441" s="101"/>
      <c r="Q441" s="101"/>
      <c r="R441" s="102"/>
      <c r="S441" s="102"/>
      <c r="T441" s="102"/>
      <c r="U441" s="103"/>
      <c r="V441" s="100"/>
      <c r="W441" s="101"/>
      <c r="X441" s="113"/>
      <c r="Y441" s="114"/>
      <c r="Z441" s="102"/>
      <c r="AA441" s="101"/>
      <c r="AB441" s="111"/>
      <c r="AE441" s="187"/>
      <c r="AF441" s="185"/>
      <c r="AG441" s="185" t="str">
        <f t="shared" si="61"/>
        <v/>
      </c>
      <c r="AH441" s="186" t="str">
        <f t="shared" si="62"/>
        <v/>
      </c>
      <c r="AI441" s="185"/>
      <c r="AJ441" s="188"/>
      <c r="CC441" s="562"/>
      <c r="CD441" s="425"/>
    </row>
    <row r="442" spans="2:82" ht="30" customHeight="1" x14ac:dyDescent="0.3">
      <c r="B442" s="562"/>
      <c r="C442" s="563"/>
      <c r="D442" s="425"/>
      <c r="E442" s="250" t="str">
        <f t="shared" si="63"/>
        <v/>
      </c>
      <c r="F442" s="556"/>
      <c r="G442" s="252" t="str">
        <f>IFERROR(VLOOKUP(F442,'Data (hidden)'!N:O,2,FALSE),"")</f>
        <v/>
      </c>
      <c r="H442" s="557"/>
      <c r="I442" s="558"/>
      <c r="J442" s="123">
        <f t="shared" si="59"/>
        <v>0</v>
      </c>
      <c r="K442" s="123" t="e">
        <f t="shared" si="60"/>
        <v>#VALUE!</v>
      </c>
      <c r="L442" s="123">
        <f t="shared" si="57"/>
        <v>0</v>
      </c>
      <c r="M442" s="124" t="str">
        <f t="shared" si="58"/>
        <v/>
      </c>
      <c r="N442" s="112"/>
      <c r="O442" s="101"/>
      <c r="P442" s="101"/>
      <c r="Q442" s="101"/>
      <c r="R442" s="102"/>
      <c r="S442" s="102"/>
      <c r="T442" s="102"/>
      <c r="U442" s="103"/>
      <c r="V442" s="100"/>
      <c r="W442" s="101"/>
      <c r="X442" s="113"/>
      <c r="Y442" s="114"/>
      <c r="Z442" s="102"/>
      <c r="AA442" s="101"/>
      <c r="AB442" s="111"/>
      <c r="AE442" s="187"/>
      <c r="AF442" s="185"/>
      <c r="AG442" s="185" t="str">
        <f t="shared" si="61"/>
        <v/>
      </c>
      <c r="AH442" s="186" t="str">
        <f t="shared" si="62"/>
        <v/>
      </c>
      <c r="AI442" s="185"/>
      <c r="AJ442" s="188"/>
      <c r="CC442" s="562"/>
      <c r="CD442" s="425"/>
    </row>
    <row r="443" spans="2:82" ht="30" customHeight="1" x14ac:dyDescent="0.3">
      <c r="B443" s="562"/>
      <c r="C443" s="563"/>
      <c r="D443" s="425"/>
      <c r="E443" s="250" t="str">
        <f t="shared" si="63"/>
        <v/>
      </c>
      <c r="F443" s="556"/>
      <c r="G443" s="252" t="str">
        <f>IFERROR(VLOOKUP(F443,'Data (hidden)'!N:O,2,FALSE),"")</f>
        <v/>
      </c>
      <c r="H443" s="557"/>
      <c r="I443" s="558"/>
      <c r="J443" s="123">
        <f t="shared" si="59"/>
        <v>0</v>
      </c>
      <c r="K443" s="123" t="e">
        <f t="shared" si="60"/>
        <v>#VALUE!</v>
      </c>
      <c r="L443" s="123">
        <f t="shared" si="57"/>
        <v>0</v>
      </c>
      <c r="M443" s="124" t="str">
        <f t="shared" si="58"/>
        <v/>
      </c>
      <c r="N443" s="112"/>
      <c r="O443" s="101"/>
      <c r="P443" s="101"/>
      <c r="Q443" s="101"/>
      <c r="R443" s="102"/>
      <c r="S443" s="102"/>
      <c r="T443" s="102"/>
      <c r="U443" s="103"/>
      <c r="V443" s="100"/>
      <c r="W443" s="101"/>
      <c r="X443" s="113"/>
      <c r="Y443" s="114"/>
      <c r="Z443" s="102"/>
      <c r="AA443" s="101"/>
      <c r="AB443" s="111"/>
      <c r="AE443" s="187"/>
      <c r="AF443" s="185"/>
      <c r="AG443" s="185" t="str">
        <f t="shared" si="61"/>
        <v/>
      </c>
      <c r="AH443" s="186" t="str">
        <f t="shared" si="62"/>
        <v/>
      </c>
      <c r="AI443" s="185"/>
      <c r="AJ443" s="188"/>
      <c r="CC443" s="562"/>
      <c r="CD443" s="425"/>
    </row>
    <row r="444" spans="2:82" ht="30" customHeight="1" x14ac:dyDescent="0.3">
      <c r="B444" s="562"/>
      <c r="C444" s="563"/>
      <c r="D444" s="425"/>
      <c r="E444" s="250" t="str">
        <f t="shared" si="63"/>
        <v/>
      </c>
      <c r="F444" s="556"/>
      <c r="G444" s="252" t="str">
        <f>IFERROR(VLOOKUP(F444,'Data (hidden)'!N:O,2,FALSE),"")</f>
        <v/>
      </c>
      <c r="H444" s="557"/>
      <c r="I444" s="558"/>
      <c r="J444" s="123">
        <f t="shared" si="59"/>
        <v>0</v>
      </c>
      <c r="K444" s="123" t="e">
        <f t="shared" si="60"/>
        <v>#VALUE!</v>
      </c>
      <c r="L444" s="123">
        <f t="shared" si="57"/>
        <v>0</v>
      </c>
      <c r="M444" s="124" t="str">
        <f t="shared" si="58"/>
        <v/>
      </c>
      <c r="N444" s="112"/>
      <c r="O444" s="101"/>
      <c r="P444" s="101"/>
      <c r="Q444" s="101"/>
      <c r="R444" s="102"/>
      <c r="S444" s="102"/>
      <c r="T444" s="102"/>
      <c r="U444" s="103"/>
      <c r="V444" s="100"/>
      <c r="W444" s="101"/>
      <c r="X444" s="113"/>
      <c r="Y444" s="114"/>
      <c r="Z444" s="102"/>
      <c r="AA444" s="101"/>
      <c r="AB444" s="111"/>
      <c r="AE444" s="187"/>
      <c r="AF444" s="185"/>
      <c r="AG444" s="185" t="str">
        <f t="shared" si="61"/>
        <v/>
      </c>
      <c r="AH444" s="186" t="str">
        <f t="shared" si="62"/>
        <v/>
      </c>
      <c r="AI444" s="185"/>
      <c r="AJ444" s="188"/>
      <c r="CC444" s="562"/>
      <c r="CD444" s="425"/>
    </row>
    <row r="445" spans="2:82" ht="30" customHeight="1" x14ac:dyDescent="0.3">
      <c r="B445" s="562"/>
      <c r="C445" s="563"/>
      <c r="D445" s="425"/>
      <c r="E445" s="250" t="str">
        <f t="shared" si="63"/>
        <v/>
      </c>
      <c r="F445" s="556"/>
      <c r="G445" s="252" t="str">
        <f>IFERROR(VLOOKUP(F445,'Data (hidden)'!N:O,2,FALSE),"")</f>
        <v/>
      </c>
      <c r="H445" s="557"/>
      <c r="I445" s="558"/>
      <c r="J445" s="123">
        <f t="shared" si="59"/>
        <v>0</v>
      </c>
      <c r="K445" s="123" t="e">
        <f t="shared" si="60"/>
        <v>#VALUE!</v>
      </c>
      <c r="L445" s="123">
        <f t="shared" si="57"/>
        <v>0</v>
      </c>
      <c r="M445" s="124" t="str">
        <f t="shared" si="58"/>
        <v/>
      </c>
      <c r="N445" s="112"/>
      <c r="O445" s="101"/>
      <c r="P445" s="101"/>
      <c r="Q445" s="101"/>
      <c r="R445" s="102"/>
      <c r="S445" s="102"/>
      <c r="T445" s="102"/>
      <c r="U445" s="103"/>
      <c r="V445" s="100"/>
      <c r="W445" s="101"/>
      <c r="X445" s="113"/>
      <c r="Y445" s="114"/>
      <c r="Z445" s="102"/>
      <c r="AA445" s="101"/>
      <c r="AB445" s="111"/>
      <c r="AE445" s="187"/>
      <c r="AF445" s="185"/>
      <c r="AG445" s="185" t="str">
        <f t="shared" si="61"/>
        <v/>
      </c>
      <c r="AH445" s="186" t="str">
        <f t="shared" si="62"/>
        <v/>
      </c>
      <c r="AI445" s="185"/>
      <c r="AJ445" s="188"/>
      <c r="CC445" s="562"/>
      <c r="CD445" s="425"/>
    </row>
    <row r="446" spans="2:82" ht="30" customHeight="1" x14ac:dyDescent="0.3">
      <c r="B446" s="562"/>
      <c r="C446" s="563"/>
      <c r="D446" s="425"/>
      <c r="E446" s="250" t="str">
        <f t="shared" si="63"/>
        <v/>
      </c>
      <c r="F446" s="556"/>
      <c r="G446" s="252" t="str">
        <f>IFERROR(VLOOKUP(F446,'Data (hidden)'!N:O,2,FALSE),"")</f>
        <v/>
      </c>
      <c r="H446" s="557"/>
      <c r="I446" s="558"/>
      <c r="J446" s="123">
        <f t="shared" si="59"/>
        <v>0</v>
      </c>
      <c r="K446" s="123" t="e">
        <f t="shared" si="60"/>
        <v>#VALUE!</v>
      </c>
      <c r="L446" s="123">
        <f t="shared" si="57"/>
        <v>0</v>
      </c>
      <c r="M446" s="124" t="str">
        <f t="shared" si="58"/>
        <v/>
      </c>
      <c r="N446" s="112"/>
      <c r="O446" s="101"/>
      <c r="P446" s="101"/>
      <c r="Q446" s="101"/>
      <c r="R446" s="102"/>
      <c r="S446" s="102"/>
      <c r="T446" s="102"/>
      <c r="U446" s="103"/>
      <c r="V446" s="100"/>
      <c r="W446" s="101"/>
      <c r="X446" s="113"/>
      <c r="Y446" s="114"/>
      <c r="Z446" s="102"/>
      <c r="AA446" s="101"/>
      <c r="AB446" s="111"/>
      <c r="AE446" s="187"/>
      <c r="AF446" s="185"/>
      <c r="AG446" s="185" t="str">
        <f t="shared" si="61"/>
        <v/>
      </c>
      <c r="AH446" s="186" t="str">
        <f t="shared" si="62"/>
        <v/>
      </c>
      <c r="AI446" s="185"/>
      <c r="AJ446" s="188"/>
      <c r="CC446" s="562"/>
      <c r="CD446" s="425"/>
    </row>
    <row r="447" spans="2:82" ht="30" customHeight="1" x14ac:dyDescent="0.3">
      <c r="B447" s="562"/>
      <c r="C447" s="563"/>
      <c r="D447" s="425"/>
      <c r="E447" s="250" t="str">
        <f t="shared" si="63"/>
        <v/>
      </c>
      <c r="F447" s="556"/>
      <c r="G447" s="252" t="str">
        <f>IFERROR(VLOOKUP(F447,'Data (hidden)'!N:O,2,FALSE),"")</f>
        <v/>
      </c>
      <c r="H447" s="557"/>
      <c r="I447" s="558"/>
      <c r="J447" s="123">
        <f t="shared" si="59"/>
        <v>0</v>
      </c>
      <c r="K447" s="123" t="e">
        <f t="shared" si="60"/>
        <v>#VALUE!</v>
      </c>
      <c r="L447" s="123">
        <f t="shared" si="57"/>
        <v>0</v>
      </c>
      <c r="M447" s="124" t="str">
        <f t="shared" si="58"/>
        <v/>
      </c>
      <c r="N447" s="112"/>
      <c r="O447" s="101"/>
      <c r="P447" s="101"/>
      <c r="Q447" s="101"/>
      <c r="R447" s="102"/>
      <c r="S447" s="102"/>
      <c r="T447" s="102"/>
      <c r="U447" s="103"/>
      <c r="V447" s="100"/>
      <c r="W447" s="101"/>
      <c r="X447" s="113"/>
      <c r="Y447" s="114"/>
      <c r="Z447" s="102"/>
      <c r="AA447" s="101"/>
      <c r="AB447" s="111"/>
      <c r="AE447" s="187"/>
      <c r="AF447" s="185"/>
      <c r="AG447" s="185" t="str">
        <f t="shared" si="61"/>
        <v/>
      </c>
      <c r="AH447" s="186" t="str">
        <f t="shared" si="62"/>
        <v/>
      </c>
      <c r="AI447" s="185"/>
      <c r="AJ447" s="188"/>
      <c r="CC447" s="562"/>
      <c r="CD447" s="425"/>
    </row>
    <row r="448" spans="2:82" ht="30" customHeight="1" x14ac:dyDescent="0.3">
      <c r="B448" s="562"/>
      <c r="C448" s="563"/>
      <c r="D448" s="425"/>
      <c r="E448" s="250" t="str">
        <f t="shared" si="63"/>
        <v/>
      </c>
      <c r="F448" s="556"/>
      <c r="G448" s="252" t="str">
        <f>IFERROR(VLOOKUP(F448,'Data (hidden)'!N:O,2,FALSE),"")</f>
        <v/>
      </c>
      <c r="H448" s="557"/>
      <c r="I448" s="558"/>
      <c r="J448" s="123">
        <f t="shared" si="59"/>
        <v>0</v>
      </c>
      <c r="K448" s="123" t="e">
        <f t="shared" si="60"/>
        <v>#VALUE!</v>
      </c>
      <c r="L448" s="123">
        <f t="shared" si="57"/>
        <v>0</v>
      </c>
      <c r="M448" s="124" t="str">
        <f t="shared" si="58"/>
        <v/>
      </c>
      <c r="N448" s="112"/>
      <c r="O448" s="101"/>
      <c r="P448" s="101"/>
      <c r="Q448" s="101"/>
      <c r="R448" s="102"/>
      <c r="S448" s="102"/>
      <c r="T448" s="102"/>
      <c r="U448" s="103"/>
      <c r="V448" s="100"/>
      <c r="W448" s="101"/>
      <c r="X448" s="113"/>
      <c r="Y448" s="114"/>
      <c r="Z448" s="102"/>
      <c r="AA448" s="101"/>
      <c r="AB448" s="111"/>
      <c r="AE448" s="187"/>
      <c r="AF448" s="185"/>
      <c r="AG448" s="185" t="str">
        <f t="shared" si="61"/>
        <v/>
      </c>
      <c r="AH448" s="186" t="str">
        <f t="shared" si="62"/>
        <v/>
      </c>
      <c r="AI448" s="185"/>
      <c r="AJ448" s="188"/>
      <c r="CC448" s="562"/>
      <c r="CD448" s="425"/>
    </row>
    <row r="449" spans="2:82" ht="30" customHeight="1" x14ac:dyDescent="0.3">
      <c r="B449" s="562"/>
      <c r="C449" s="563"/>
      <c r="D449" s="425"/>
      <c r="E449" s="250" t="str">
        <f t="shared" si="63"/>
        <v/>
      </c>
      <c r="F449" s="556"/>
      <c r="G449" s="252" t="str">
        <f>IFERROR(VLOOKUP(F449,'Data (hidden)'!N:O,2,FALSE),"")</f>
        <v/>
      </c>
      <c r="H449" s="557"/>
      <c r="I449" s="558"/>
      <c r="J449" s="123">
        <f t="shared" si="59"/>
        <v>0</v>
      </c>
      <c r="K449" s="123" t="e">
        <f t="shared" si="60"/>
        <v>#VALUE!</v>
      </c>
      <c r="L449" s="123">
        <f t="shared" si="57"/>
        <v>0</v>
      </c>
      <c r="M449" s="124" t="str">
        <f t="shared" si="58"/>
        <v/>
      </c>
      <c r="N449" s="112"/>
      <c r="O449" s="101"/>
      <c r="P449" s="101"/>
      <c r="Q449" s="101"/>
      <c r="R449" s="102"/>
      <c r="S449" s="102"/>
      <c r="T449" s="102"/>
      <c r="U449" s="103"/>
      <c r="V449" s="100"/>
      <c r="W449" s="101"/>
      <c r="X449" s="113"/>
      <c r="Y449" s="114"/>
      <c r="Z449" s="102"/>
      <c r="AA449" s="101"/>
      <c r="AB449" s="111"/>
      <c r="AE449" s="187"/>
      <c r="AF449" s="185"/>
      <c r="AG449" s="185" t="str">
        <f t="shared" si="61"/>
        <v/>
      </c>
      <c r="AH449" s="186" t="str">
        <f t="shared" si="62"/>
        <v/>
      </c>
      <c r="AI449" s="185"/>
      <c r="AJ449" s="188"/>
      <c r="CC449" s="562"/>
      <c r="CD449" s="425"/>
    </row>
    <row r="450" spans="2:82" ht="30" customHeight="1" x14ac:dyDescent="0.3">
      <c r="B450" s="562"/>
      <c r="C450" s="563"/>
      <c r="D450" s="425"/>
      <c r="E450" s="250" t="str">
        <f t="shared" si="63"/>
        <v/>
      </c>
      <c r="F450" s="556"/>
      <c r="G450" s="252" t="str">
        <f>IFERROR(VLOOKUP(F450,'Data (hidden)'!N:O,2,FALSE),"")</f>
        <v/>
      </c>
      <c r="H450" s="557"/>
      <c r="I450" s="558"/>
      <c r="J450" s="123">
        <f t="shared" si="59"/>
        <v>0</v>
      </c>
      <c r="K450" s="123" t="e">
        <f t="shared" si="60"/>
        <v>#VALUE!</v>
      </c>
      <c r="L450" s="123">
        <f t="shared" si="57"/>
        <v>0</v>
      </c>
      <c r="M450" s="124" t="str">
        <f t="shared" si="58"/>
        <v/>
      </c>
      <c r="N450" s="112"/>
      <c r="O450" s="101"/>
      <c r="P450" s="101"/>
      <c r="Q450" s="101"/>
      <c r="R450" s="102"/>
      <c r="S450" s="102"/>
      <c r="T450" s="102"/>
      <c r="U450" s="103"/>
      <c r="V450" s="100"/>
      <c r="W450" s="101"/>
      <c r="X450" s="113"/>
      <c r="Y450" s="114"/>
      <c r="Z450" s="102"/>
      <c r="AA450" s="101"/>
      <c r="AB450" s="111"/>
      <c r="AE450" s="187"/>
      <c r="AF450" s="185"/>
      <c r="AG450" s="185" t="str">
        <f t="shared" si="61"/>
        <v/>
      </c>
      <c r="AH450" s="186" t="str">
        <f t="shared" si="62"/>
        <v/>
      </c>
      <c r="AI450" s="185"/>
      <c r="AJ450" s="188"/>
      <c r="CC450" s="562"/>
      <c r="CD450" s="425"/>
    </row>
    <row r="451" spans="2:82" ht="30" customHeight="1" x14ac:dyDescent="0.3">
      <c r="B451" s="562"/>
      <c r="C451" s="563"/>
      <c r="D451" s="425"/>
      <c r="E451" s="250" t="str">
        <f t="shared" si="63"/>
        <v/>
      </c>
      <c r="F451" s="556"/>
      <c r="G451" s="252" t="str">
        <f>IFERROR(VLOOKUP(F451,'Data (hidden)'!N:O,2,FALSE),"")</f>
        <v/>
      </c>
      <c r="H451" s="557"/>
      <c r="I451" s="558"/>
      <c r="J451" s="123">
        <f t="shared" si="59"/>
        <v>0</v>
      </c>
      <c r="K451" s="123" t="e">
        <f t="shared" si="60"/>
        <v>#VALUE!</v>
      </c>
      <c r="L451" s="123">
        <f t="shared" si="57"/>
        <v>0</v>
      </c>
      <c r="M451" s="124" t="str">
        <f t="shared" si="58"/>
        <v/>
      </c>
      <c r="N451" s="112"/>
      <c r="O451" s="101"/>
      <c r="P451" s="101"/>
      <c r="Q451" s="101"/>
      <c r="R451" s="102"/>
      <c r="S451" s="102"/>
      <c r="T451" s="102"/>
      <c r="U451" s="103"/>
      <c r="V451" s="100"/>
      <c r="W451" s="101"/>
      <c r="X451" s="113"/>
      <c r="Y451" s="114"/>
      <c r="Z451" s="102"/>
      <c r="AA451" s="101"/>
      <c r="AB451" s="111"/>
      <c r="AE451" s="187"/>
      <c r="AF451" s="185"/>
      <c r="AG451" s="185" t="str">
        <f t="shared" si="61"/>
        <v/>
      </c>
      <c r="AH451" s="186" t="str">
        <f t="shared" si="62"/>
        <v/>
      </c>
      <c r="AI451" s="185"/>
      <c r="AJ451" s="188"/>
      <c r="CC451" s="562"/>
      <c r="CD451" s="425"/>
    </row>
    <row r="452" spans="2:82" ht="30" customHeight="1" x14ac:dyDescent="0.3">
      <c r="B452" s="562"/>
      <c r="C452" s="563"/>
      <c r="D452" s="425"/>
      <c r="E452" s="250" t="str">
        <f t="shared" si="63"/>
        <v/>
      </c>
      <c r="F452" s="556"/>
      <c r="G452" s="252" t="str">
        <f>IFERROR(VLOOKUP(F452,'Data (hidden)'!N:O,2,FALSE),"")</f>
        <v/>
      </c>
      <c r="H452" s="557"/>
      <c r="I452" s="558"/>
      <c r="J452" s="123">
        <f t="shared" si="59"/>
        <v>0</v>
      </c>
      <c r="K452" s="123" t="e">
        <f t="shared" si="60"/>
        <v>#VALUE!</v>
      </c>
      <c r="L452" s="123">
        <f t="shared" si="57"/>
        <v>0</v>
      </c>
      <c r="M452" s="124" t="str">
        <f t="shared" si="58"/>
        <v/>
      </c>
      <c r="N452" s="112"/>
      <c r="O452" s="101"/>
      <c r="P452" s="101"/>
      <c r="Q452" s="101"/>
      <c r="R452" s="102"/>
      <c r="S452" s="102"/>
      <c r="T452" s="102"/>
      <c r="U452" s="103"/>
      <c r="V452" s="100"/>
      <c r="W452" s="101"/>
      <c r="X452" s="113"/>
      <c r="Y452" s="114"/>
      <c r="Z452" s="102"/>
      <c r="AA452" s="101"/>
      <c r="AB452" s="111"/>
      <c r="AE452" s="187"/>
      <c r="AF452" s="185"/>
      <c r="AG452" s="185" t="str">
        <f t="shared" si="61"/>
        <v/>
      </c>
      <c r="AH452" s="186" t="str">
        <f t="shared" si="62"/>
        <v/>
      </c>
      <c r="AI452" s="185"/>
      <c r="AJ452" s="188"/>
      <c r="CC452" s="562"/>
      <c r="CD452" s="425"/>
    </row>
    <row r="453" spans="2:82" ht="30" customHeight="1" x14ac:dyDescent="0.3">
      <c r="B453" s="562"/>
      <c r="C453" s="563"/>
      <c r="D453" s="425"/>
      <c r="E453" s="250" t="str">
        <f t="shared" si="63"/>
        <v/>
      </c>
      <c r="F453" s="556"/>
      <c r="G453" s="252" t="str">
        <f>IFERROR(VLOOKUP(F453,'Data (hidden)'!N:O,2,FALSE),"")</f>
        <v/>
      </c>
      <c r="H453" s="557"/>
      <c r="I453" s="558"/>
      <c r="J453" s="123">
        <f t="shared" si="59"/>
        <v>0</v>
      </c>
      <c r="K453" s="123" t="e">
        <f t="shared" si="60"/>
        <v>#VALUE!</v>
      </c>
      <c r="L453" s="123">
        <f t="shared" si="57"/>
        <v>0</v>
      </c>
      <c r="M453" s="124" t="str">
        <f t="shared" si="58"/>
        <v/>
      </c>
      <c r="N453" s="112"/>
      <c r="O453" s="101"/>
      <c r="P453" s="101"/>
      <c r="Q453" s="101"/>
      <c r="R453" s="102"/>
      <c r="S453" s="102"/>
      <c r="T453" s="102"/>
      <c r="U453" s="103"/>
      <c r="V453" s="100"/>
      <c r="W453" s="101"/>
      <c r="X453" s="113"/>
      <c r="Y453" s="114"/>
      <c r="Z453" s="102"/>
      <c r="AA453" s="101"/>
      <c r="AB453" s="111"/>
      <c r="AE453" s="187"/>
      <c r="AF453" s="185"/>
      <c r="AG453" s="185" t="str">
        <f t="shared" si="61"/>
        <v/>
      </c>
      <c r="AH453" s="186" t="str">
        <f t="shared" si="62"/>
        <v/>
      </c>
      <c r="AI453" s="185"/>
      <c r="AJ453" s="188"/>
      <c r="CC453" s="562"/>
      <c r="CD453" s="425"/>
    </row>
    <row r="454" spans="2:82" ht="30" customHeight="1" x14ac:dyDescent="0.3">
      <c r="B454" s="562"/>
      <c r="C454" s="563"/>
      <c r="D454" s="425"/>
      <c r="E454" s="250" t="str">
        <f t="shared" si="63"/>
        <v/>
      </c>
      <c r="F454" s="556"/>
      <c r="G454" s="252" t="str">
        <f>IFERROR(VLOOKUP(F454,'Data (hidden)'!N:O,2,FALSE),"")</f>
        <v/>
      </c>
      <c r="H454" s="557"/>
      <c r="I454" s="558"/>
      <c r="J454" s="123">
        <f t="shared" si="59"/>
        <v>0</v>
      </c>
      <c r="K454" s="123" t="e">
        <f t="shared" si="60"/>
        <v>#VALUE!</v>
      </c>
      <c r="L454" s="123">
        <f t="shared" si="57"/>
        <v>0</v>
      </c>
      <c r="M454" s="124" t="str">
        <f t="shared" si="58"/>
        <v/>
      </c>
      <c r="N454" s="112"/>
      <c r="O454" s="101"/>
      <c r="P454" s="101"/>
      <c r="Q454" s="101"/>
      <c r="R454" s="102"/>
      <c r="S454" s="102"/>
      <c r="T454" s="102"/>
      <c r="U454" s="103"/>
      <c r="V454" s="100"/>
      <c r="W454" s="101"/>
      <c r="X454" s="113"/>
      <c r="Y454" s="114"/>
      <c r="Z454" s="102"/>
      <c r="AA454" s="101"/>
      <c r="AB454" s="111"/>
      <c r="AE454" s="187"/>
      <c r="AF454" s="185"/>
      <c r="AG454" s="185" t="str">
        <f t="shared" si="61"/>
        <v/>
      </c>
      <c r="AH454" s="186" t="str">
        <f t="shared" si="62"/>
        <v/>
      </c>
      <c r="AI454" s="185"/>
      <c r="AJ454" s="188"/>
      <c r="CC454" s="562"/>
      <c r="CD454" s="425"/>
    </row>
    <row r="455" spans="2:82" ht="30" customHeight="1" x14ac:dyDescent="0.3">
      <c r="B455" s="562"/>
      <c r="C455" s="563"/>
      <c r="D455" s="425"/>
      <c r="E455" s="250" t="str">
        <f t="shared" si="63"/>
        <v/>
      </c>
      <c r="F455" s="556"/>
      <c r="G455" s="252" t="str">
        <f>IFERROR(VLOOKUP(F455,'Data (hidden)'!N:O,2,FALSE),"")</f>
        <v/>
      </c>
      <c r="H455" s="557"/>
      <c r="I455" s="558"/>
      <c r="J455" s="123">
        <f t="shared" si="59"/>
        <v>0</v>
      </c>
      <c r="K455" s="123" t="e">
        <f t="shared" si="60"/>
        <v>#VALUE!</v>
      </c>
      <c r="L455" s="123">
        <f t="shared" si="57"/>
        <v>0</v>
      </c>
      <c r="M455" s="124" t="str">
        <f t="shared" si="58"/>
        <v/>
      </c>
      <c r="N455" s="112"/>
      <c r="O455" s="101"/>
      <c r="P455" s="101"/>
      <c r="Q455" s="101"/>
      <c r="R455" s="102"/>
      <c r="S455" s="102"/>
      <c r="T455" s="102"/>
      <c r="U455" s="103"/>
      <c r="V455" s="100"/>
      <c r="W455" s="101"/>
      <c r="X455" s="113"/>
      <c r="Y455" s="114"/>
      <c r="Z455" s="102"/>
      <c r="AA455" s="101"/>
      <c r="AB455" s="111"/>
      <c r="AE455" s="187"/>
      <c r="AF455" s="185"/>
      <c r="AG455" s="185" t="str">
        <f t="shared" si="61"/>
        <v/>
      </c>
      <c r="AH455" s="186" t="str">
        <f t="shared" si="62"/>
        <v/>
      </c>
      <c r="AI455" s="185"/>
      <c r="AJ455" s="188"/>
      <c r="CC455" s="562"/>
      <c r="CD455" s="425"/>
    </row>
    <row r="456" spans="2:82" ht="30" customHeight="1" x14ac:dyDescent="0.3">
      <c r="B456" s="562"/>
      <c r="C456" s="563"/>
      <c r="D456" s="425"/>
      <c r="E456" s="250" t="str">
        <f t="shared" si="63"/>
        <v/>
      </c>
      <c r="F456" s="556"/>
      <c r="G456" s="252" t="str">
        <f>IFERROR(VLOOKUP(F456,'Data (hidden)'!N:O,2,FALSE),"")</f>
        <v/>
      </c>
      <c r="H456" s="557"/>
      <c r="I456" s="558"/>
      <c r="J456" s="123">
        <f t="shared" si="59"/>
        <v>0</v>
      </c>
      <c r="K456" s="123" t="e">
        <f t="shared" si="60"/>
        <v>#VALUE!</v>
      </c>
      <c r="L456" s="123">
        <f t="shared" si="57"/>
        <v>0</v>
      </c>
      <c r="M456" s="124" t="str">
        <f t="shared" si="58"/>
        <v/>
      </c>
      <c r="N456" s="112"/>
      <c r="O456" s="101"/>
      <c r="P456" s="101"/>
      <c r="Q456" s="101"/>
      <c r="R456" s="102"/>
      <c r="S456" s="102"/>
      <c r="T456" s="102"/>
      <c r="U456" s="103"/>
      <c r="V456" s="100"/>
      <c r="W456" s="101"/>
      <c r="X456" s="113"/>
      <c r="Y456" s="114"/>
      <c r="Z456" s="102"/>
      <c r="AA456" s="101"/>
      <c r="AB456" s="111"/>
      <c r="AE456" s="187"/>
      <c r="AF456" s="185"/>
      <c r="AG456" s="185" t="str">
        <f t="shared" si="61"/>
        <v/>
      </c>
      <c r="AH456" s="186" t="str">
        <f t="shared" si="62"/>
        <v/>
      </c>
      <c r="AI456" s="185"/>
      <c r="AJ456" s="188"/>
      <c r="CC456" s="562"/>
      <c r="CD456" s="425"/>
    </row>
    <row r="457" spans="2:82" ht="30" customHeight="1" x14ac:dyDescent="0.3">
      <c r="B457" s="562"/>
      <c r="C457" s="563"/>
      <c r="D457" s="425"/>
      <c r="E457" s="250" t="str">
        <f t="shared" si="63"/>
        <v/>
      </c>
      <c r="F457" s="556"/>
      <c r="G457" s="252" t="str">
        <f>IFERROR(VLOOKUP(F457,'Data (hidden)'!N:O,2,FALSE),"")</f>
        <v/>
      </c>
      <c r="H457" s="557"/>
      <c r="I457" s="558"/>
      <c r="J457" s="123">
        <f t="shared" si="59"/>
        <v>0</v>
      </c>
      <c r="K457" s="123" t="e">
        <f t="shared" si="60"/>
        <v>#VALUE!</v>
      </c>
      <c r="L457" s="123">
        <f t="shared" si="57"/>
        <v>0</v>
      </c>
      <c r="M457" s="124" t="str">
        <f t="shared" si="58"/>
        <v/>
      </c>
      <c r="N457" s="112"/>
      <c r="O457" s="101"/>
      <c r="P457" s="101"/>
      <c r="Q457" s="101"/>
      <c r="R457" s="102"/>
      <c r="S457" s="102"/>
      <c r="T457" s="102"/>
      <c r="U457" s="103"/>
      <c r="V457" s="100"/>
      <c r="W457" s="101"/>
      <c r="X457" s="113"/>
      <c r="Y457" s="114"/>
      <c r="Z457" s="102"/>
      <c r="AA457" s="101"/>
      <c r="AB457" s="111"/>
      <c r="AE457" s="187"/>
      <c r="AF457" s="185"/>
      <c r="AG457" s="185" t="str">
        <f t="shared" si="61"/>
        <v/>
      </c>
      <c r="AH457" s="186" t="str">
        <f t="shared" si="62"/>
        <v/>
      </c>
      <c r="AI457" s="185"/>
      <c r="AJ457" s="188"/>
      <c r="CC457" s="562"/>
      <c r="CD457" s="425"/>
    </row>
    <row r="458" spans="2:82" ht="30" customHeight="1" x14ac:dyDescent="0.3">
      <c r="B458" s="562"/>
      <c r="C458" s="563"/>
      <c r="D458" s="425"/>
      <c r="E458" s="250" t="str">
        <f t="shared" si="63"/>
        <v/>
      </c>
      <c r="F458" s="556"/>
      <c r="G458" s="252" t="str">
        <f>IFERROR(VLOOKUP(F458,'Data (hidden)'!N:O,2,FALSE),"")</f>
        <v/>
      </c>
      <c r="H458" s="557"/>
      <c r="I458" s="558"/>
      <c r="J458" s="123">
        <f t="shared" si="59"/>
        <v>0</v>
      </c>
      <c r="K458" s="123" t="e">
        <f t="shared" si="60"/>
        <v>#VALUE!</v>
      </c>
      <c r="L458" s="123">
        <f t="shared" si="57"/>
        <v>0</v>
      </c>
      <c r="M458" s="124" t="str">
        <f t="shared" si="58"/>
        <v/>
      </c>
      <c r="N458" s="112"/>
      <c r="O458" s="101"/>
      <c r="P458" s="101"/>
      <c r="Q458" s="101"/>
      <c r="R458" s="102"/>
      <c r="S458" s="102"/>
      <c r="T458" s="102"/>
      <c r="U458" s="103"/>
      <c r="V458" s="100"/>
      <c r="W458" s="101"/>
      <c r="X458" s="113"/>
      <c r="Y458" s="114"/>
      <c r="Z458" s="102"/>
      <c r="AA458" s="101"/>
      <c r="AB458" s="111"/>
      <c r="AE458" s="187"/>
      <c r="AF458" s="185"/>
      <c r="AG458" s="185" t="str">
        <f t="shared" si="61"/>
        <v/>
      </c>
      <c r="AH458" s="186" t="str">
        <f t="shared" si="62"/>
        <v/>
      </c>
      <c r="AI458" s="185"/>
      <c r="AJ458" s="188"/>
      <c r="CC458" s="562"/>
      <c r="CD458" s="425"/>
    </row>
    <row r="459" spans="2:82" ht="30" customHeight="1" x14ac:dyDescent="0.3">
      <c r="B459" s="562"/>
      <c r="C459" s="563"/>
      <c r="D459" s="425"/>
      <c r="E459" s="250" t="str">
        <f t="shared" si="63"/>
        <v/>
      </c>
      <c r="F459" s="556"/>
      <c r="G459" s="252" t="str">
        <f>IFERROR(VLOOKUP(F459,'Data (hidden)'!N:O,2,FALSE),"")</f>
        <v/>
      </c>
      <c r="H459" s="557"/>
      <c r="I459" s="558"/>
      <c r="J459" s="123">
        <f t="shared" si="59"/>
        <v>0</v>
      </c>
      <c r="K459" s="123" t="e">
        <f t="shared" si="60"/>
        <v>#VALUE!</v>
      </c>
      <c r="L459" s="123">
        <f t="shared" si="57"/>
        <v>0</v>
      </c>
      <c r="M459" s="124" t="str">
        <f t="shared" si="58"/>
        <v/>
      </c>
      <c r="N459" s="112"/>
      <c r="O459" s="101"/>
      <c r="P459" s="101"/>
      <c r="Q459" s="101"/>
      <c r="R459" s="102"/>
      <c r="S459" s="102"/>
      <c r="T459" s="102"/>
      <c r="U459" s="103"/>
      <c r="V459" s="100"/>
      <c r="W459" s="101"/>
      <c r="X459" s="113"/>
      <c r="Y459" s="114"/>
      <c r="Z459" s="102"/>
      <c r="AA459" s="101"/>
      <c r="AB459" s="111"/>
      <c r="AE459" s="187"/>
      <c r="AF459" s="185"/>
      <c r="AG459" s="185" t="str">
        <f t="shared" si="61"/>
        <v/>
      </c>
      <c r="AH459" s="186" t="str">
        <f t="shared" si="62"/>
        <v/>
      </c>
      <c r="AI459" s="185"/>
      <c r="AJ459" s="188"/>
      <c r="CC459" s="562"/>
      <c r="CD459" s="425"/>
    </row>
    <row r="460" spans="2:82" ht="30" customHeight="1" x14ac:dyDescent="0.3">
      <c r="B460" s="562"/>
      <c r="C460" s="563"/>
      <c r="D460" s="425"/>
      <c r="E460" s="250" t="str">
        <f t="shared" si="63"/>
        <v/>
      </c>
      <c r="F460" s="556"/>
      <c r="G460" s="252" t="str">
        <f>IFERROR(VLOOKUP(F460,'Data (hidden)'!N:O,2,FALSE),"")</f>
        <v/>
      </c>
      <c r="H460" s="557"/>
      <c r="I460" s="558"/>
      <c r="J460" s="123">
        <f t="shared" si="59"/>
        <v>0</v>
      </c>
      <c r="K460" s="123" t="e">
        <f t="shared" si="60"/>
        <v>#VALUE!</v>
      </c>
      <c r="L460" s="123">
        <f t="shared" si="57"/>
        <v>0</v>
      </c>
      <c r="M460" s="124" t="str">
        <f t="shared" si="58"/>
        <v/>
      </c>
      <c r="N460" s="112"/>
      <c r="O460" s="101"/>
      <c r="P460" s="101"/>
      <c r="Q460" s="101"/>
      <c r="R460" s="102"/>
      <c r="S460" s="102"/>
      <c r="T460" s="102"/>
      <c r="U460" s="103"/>
      <c r="V460" s="100"/>
      <c r="W460" s="101"/>
      <c r="X460" s="113"/>
      <c r="Y460" s="114"/>
      <c r="Z460" s="102"/>
      <c r="AA460" s="101"/>
      <c r="AB460" s="111"/>
      <c r="AE460" s="187"/>
      <c r="AF460" s="185"/>
      <c r="AG460" s="185" t="str">
        <f t="shared" si="61"/>
        <v/>
      </c>
      <c r="AH460" s="186" t="str">
        <f t="shared" si="62"/>
        <v/>
      </c>
      <c r="AI460" s="185"/>
      <c r="AJ460" s="188"/>
      <c r="CC460" s="562"/>
      <c r="CD460" s="425"/>
    </row>
    <row r="461" spans="2:82" ht="30" customHeight="1" x14ac:dyDescent="0.3">
      <c r="B461" s="562"/>
      <c r="C461" s="563"/>
      <c r="D461" s="425"/>
      <c r="E461" s="250" t="str">
        <f t="shared" si="63"/>
        <v/>
      </c>
      <c r="F461" s="556"/>
      <c r="G461" s="252" t="str">
        <f>IFERROR(VLOOKUP(F461,'Data (hidden)'!N:O,2,FALSE),"")</f>
        <v/>
      </c>
      <c r="H461" s="557"/>
      <c r="I461" s="558"/>
      <c r="J461" s="123">
        <f t="shared" si="59"/>
        <v>0</v>
      </c>
      <c r="K461" s="123" t="e">
        <f t="shared" si="60"/>
        <v>#VALUE!</v>
      </c>
      <c r="L461" s="123">
        <f t="shared" si="57"/>
        <v>0</v>
      </c>
      <c r="M461" s="124" t="str">
        <f t="shared" si="58"/>
        <v/>
      </c>
      <c r="N461" s="112"/>
      <c r="O461" s="101"/>
      <c r="P461" s="101"/>
      <c r="Q461" s="101"/>
      <c r="R461" s="102"/>
      <c r="S461" s="102"/>
      <c r="T461" s="102"/>
      <c r="U461" s="103"/>
      <c r="V461" s="100"/>
      <c r="W461" s="101"/>
      <c r="X461" s="113"/>
      <c r="Y461" s="114"/>
      <c r="Z461" s="102"/>
      <c r="AA461" s="101"/>
      <c r="AB461" s="111"/>
      <c r="AE461" s="187"/>
      <c r="AF461" s="185"/>
      <c r="AG461" s="185" t="str">
        <f t="shared" si="61"/>
        <v/>
      </c>
      <c r="AH461" s="186" t="str">
        <f t="shared" si="62"/>
        <v/>
      </c>
      <c r="AI461" s="185"/>
      <c r="AJ461" s="188"/>
      <c r="CC461" s="562"/>
      <c r="CD461" s="425"/>
    </row>
    <row r="462" spans="2:82" ht="30" customHeight="1" x14ac:dyDescent="0.3">
      <c r="B462" s="562"/>
      <c r="C462" s="563"/>
      <c r="D462" s="425"/>
      <c r="E462" s="250" t="str">
        <f t="shared" si="63"/>
        <v/>
      </c>
      <c r="F462" s="556"/>
      <c r="G462" s="252" t="str">
        <f>IFERROR(VLOOKUP(F462,'Data (hidden)'!N:O,2,FALSE),"")</f>
        <v/>
      </c>
      <c r="H462" s="557"/>
      <c r="I462" s="558"/>
      <c r="J462" s="123">
        <f t="shared" si="59"/>
        <v>0</v>
      </c>
      <c r="K462" s="123" t="e">
        <f t="shared" si="60"/>
        <v>#VALUE!</v>
      </c>
      <c r="L462" s="123">
        <f t="shared" si="57"/>
        <v>0</v>
      </c>
      <c r="M462" s="124" t="str">
        <f t="shared" si="58"/>
        <v/>
      </c>
      <c r="N462" s="112"/>
      <c r="O462" s="101"/>
      <c r="P462" s="101"/>
      <c r="Q462" s="101"/>
      <c r="R462" s="102"/>
      <c r="S462" s="102"/>
      <c r="T462" s="102"/>
      <c r="U462" s="103"/>
      <c r="V462" s="100"/>
      <c r="W462" s="101"/>
      <c r="X462" s="113"/>
      <c r="Y462" s="114"/>
      <c r="Z462" s="102"/>
      <c r="AA462" s="101"/>
      <c r="AB462" s="111"/>
      <c r="AE462" s="187"/>
      <c r="AF462" s="185"/>
      <c r="AG462" s="185" t="str">
        <f t="shared" si="61"/>
        <v/>
      </c>
      <c r="AH462" s="186" t="str">
        <f t="shared" si="62"/>
        <v/>
      </c>
      <c r="AI462" s="185"/>
      <c r="AJ462" s="188"/>
      <c r="CC462" s="562"/>
      <c r="CD462" s="425"/>
    </row>
    <row r="463" spans="2:82" ht="30" customHeight="1" x14ac:dyDescent="0.3">
      <c r="B463" s="562"/>
      <c r="C463" s="563"/>
      <c r="D463" s="425"/>
      <c r="E463" s="250" t="str">
        <f t="shared" si="63"/>
        <v/>
      </c>
      <c r="F463" s="556"/>
      <c r="G463" s="252" t="str">
        <f>IFERROR(VLOOKUP(F463,'Data (hidden)'!N:O,2,FALSE),"")</f>
        <v/>
      </c>
      <c r="H463" s="557"/>
      <c r="I463" s="558"/>
      <c r="J463" s="123">
        <f t="shared" si="59"/>
        <v>0</v>
      </c>
      <c r="K463" s="123" t="e">
        <f t="shared" si="60"/>
        <v>#VALUE!</v>
      </c>
      <c r="L463" s="123">
        <f t="shared" si="57"/>
        <v>0</v>
      </c>
      <c r="M463" s="124" t="str">
        <f t="shared" si="58"/>
        <v/>
      </c>
      <c r="N463" s="112"/>
      <c r="O463" s="101"/>
      <c r="P463" s="101"/>
      <c r="Q463" s="101"/>
      <c r="R463" s="102"/>
      <c r="S463" s="102"/>
      <c r="T463" s="102"/>
      <c r="U463" s="103"/>
      <c r="V463" s="100"/>
      <c r="W463" s="101"/>
      <c r="X463" s="113"/>
      <c r="Y463" s="114"/>
      <c r="Z463" s="102"/>
      <c r="AA463" s="101"/>
      <c r="AB463" s="111"/>
      <c r="AE463" s="187"/>
      <c r="AF463" s="185"/>
      <c r="AG463" s="185" t="str">
        <f t="shared" si="61"/>
        <v/>
      </c>
      <c r="AH463" s="186" t="str">
        <f t="shared" si="62"/>
        <v/>
      </c>
      <c r="AI463" s="185"/>
      <c r="AJ463" s="188"/>
      <c r="CC463" s="562"/>
      <c r="CD463" s="425"/>
    </row>
    <row r="464" spans="2:82" ht="30" customHeight="1" x14ac:dyDescent="0.3">
      <c r="B464" s="562"/>
      <c r="C464" s="563"/>
      <c r="D464" s="425"/>
      <c r="E464" s="250" t="str">
        <f t="shared" si="63"/>
        <v/>
      </c>
      <c r="F464" s="556"/>
      <c r="G464" s="252" t="str">
        <f>IFERROR(VLOOKUP(F464,'Data (hidden)'!N:O,2,FALSE),"")</f>
        <v/>
      </c>
      <c r="H464" s="557"/>
      <c r="I464" s="558"/>
      <c r="J464" s="123">
        <f t="shared" si="59"/>
        <v>0</v>
      </c>
      <c r="K464" s="123" t="e">
        <f t="shared" si="60"/>
        <v>#VALUE!</v>
      </c>
      <c r="L464" s="123">
        <f t="shared" si="57"/>
        <v>0</v>
      </c>
      <c r="M464" s="124" t="str">
        <f t="shared" si="58"/>
        <v/>
      </c>
      <c r="N464" s="112"/>
      <c r="O464" s="101"/>
      <c r="P464" s="101"/>
      <c r="Q464" s="101"/>
      <c r="R464" s="102"/>
      <c r="S464" s="102"/>
      <c r="T464" s="102"/>
      <c r="U464" s="103"/>
      <c r="V464" s="100"/>
      <c r="W464" s="101"/>
      <c r="X464" s="113"/>
      <c r="Y464" s="114"/>
      <c r="Z464" s="102"/>
      <c r="AA464" s="101"/>
      <c r="AB464" s="111"/>
      <c r="AE464" s="187"/>
      <c r="AF464" s="185"/>
      <c r="AG464" s="185" t="str">
        <f t="shared" si="61"/>
        <v/>
      </c>
      <c r="AH464" s="186" t="str">
        <f t="shared" si="62"/>
        <v/>
      </c>
      <c r="AI464" s="185"/>
      <c r="AJ464" s="188"/>
      <c r="CC464" s="562"/>
      <c r="CD464" s="425"/>
    </row>
    <row r="465" spans="2:82" ht="30" customHeight="1" x14ac:dyDescent="0.3">
      <c r="B465" s="562"/>
      <c r="C465" s="563"/>
      <c r="D465" s="425"/>
      <c r="E465" s="250" t="str">
        <f t="shared" si="63"/>
        <v/>
      </c>
      <c r="F465" s="556"/>
      <c r="G465" s="252" t="str">
        <f>IFERROR(VLOOKUP(F465,'Data (hidden)'!N:O,2,FALSE),"")</f>
        <v/>
      </c>
      <c r="H465" s="557"/>
      <c r="I465" s="558"/>
      <c r="J465" s="123">
        <f t="shared" si="59"/>
        <v>0</v>
      </c>
      <c r="K465" s="123" t="e">
        <f t="shared" si="60"/>
        <v>#VALUE!</v>
      </c>
      <c r="L465" s="123">
        <f t="shared" si="57"/>
        <v>0</v>
      </c>
      <c r="M465" s="124" t="str">
        <f t="shared" si="58"/>
        <v/>
      </c>
      <c r="N465" s="112"/>
      <c r="O465" s="101"/>
      <c r="P465" s="101"/>
      <c r="Q465" s="101"/>
      <c r="R465" s="102"/>
      <c r="S465" s="102"/>
      <c r="T465" s="102"/>
      <c r="U465" s="103"/>
      <c r="V465" s="100"/>
      <c r="W465" s="101"/>
      <c r="X465" s="113"/>
      <c r="Y465" s="114"/>
      <c r="Z465" s="102"/>
      <c r="AA465" s="101"/>
      <c r="AB465" s="111"/>
      <c r="AE465" s="187"/>
      <c r="AF465" s="185"/>
      <c r="AG465" s="185" t="str">
        <f t="shared" si="61"/>
        <v/>
      </c>
      <c r="AH465" s="186" t="str">
        <f t="shared" si="62"/>
        <v/>
      </c>
      <c r="AI465" s="185"/>
      <c r="AJ465" s="188"/>
      <c r="CC465" s="562"/>
      <c r="CD465" s="425"/>
    </row>
    <row r="466" spans="2:82" ht="30" customHeight="1" x14ac:dyDescent="0.3">
      <c r="B466" s="562"/>
      <c r="C466" s="563"/>
      <c r="D466" s="425"/>
      <c r="E466" s="250" t="str">
        <f t="shared" si="63"/>
        <v/>
      </c>
      <c r="F466" s="556"/>
      <c r="G466" s="252" t="str">
        <f>IFERROR(VLOOKUP(F466,'Data (hidden)'!N:O,2,FALSE),"")</f>
        <v/>
      </c>
      <c r="H466" s="557"/>
      <c r="I466" s="558"/>
      <c r="J466" s="123">
        <f t="shared" si="59"/>
        <v>0</v>
      </c>
      <c r="K466" s="123" t="e">
        <f t="shared" si="60"/>
        <v>#VALUE!</v>
      </c>
      <c r="L466" s="123">
        <f t="shared" si="57"/>
        <v>0</v>
      </c>
      <c r="M466" s="124" t="str">
        <f t="shared" si="58"/>
        <v/>
      </c>
      <c r="N466" s="112"/>
      <c r="O466" s="101"/>
      <c r="P466" s="101"/>
      <c r="Q466" s="101"/>
      <c r="R466" s="102"/>
      <c r="S466" s="102"/>
      <c r="T466" s="102"/>
      <c r="U466" s="103"/>
      <c r="V466" s="100"/>
      <c r="W466" s="101"/>
      <c r="X466" s="113"/>
      <c r="Y466" s="114"/>
      <c r="Z466" s="102"/>
      <c r="AA466" s="101"/>
      <c r="AB466" s="111"/>
      <c r="AE466" s="187"/>
      <c r="AF466" s="185"/>
      <c r="AG466" s="185" t="str">
        <f t="shared" si="61"/>
        <v/>
      </c>
      <c r="AH466" s="186" t="str">
        <f t="shared" si="62"/>
        <v/>
      </c>
      <c r="AI466" s="185"/>
      <c r="AJ466" s="188"/>
      <c r="CC466" s="562"/>
      <c r="CD466" s="425"/>
    </row>
    <row r="467" spans="2:82" ht="30" customHeight="1" x14ac:dyDescent="0.3">
      <c r="B467" s="562"/>
      <c r="C467" s="563"/>
      <c r="D467" s="425"/>
      <c r="E467" s="250" t="str">
        <f t="shared" si="63"/>
        <v/>
      </c>
      <c r="F467" s="556"/>
      <c r="G467" s="252" t="str">
        <f>IFERROR(VLOOKUP(F467,'Data (hidden)'!N:O,2,FALSE),"")</f>
        <v/>
      </c>
      <c r="H467" s="557"/>
      <c r="I467" s="558"/>
      <c r="J467" s="123">
        <f t="shared" si="59"/>
        <v>0</v>
      </c>
      <c r="K467" s="123" t="e">
        <f t="shared" si="60"/>
        <v>#VALUE!</v>
      </c>
      <c r="L467" s="123">
        <f t="shared" ref="L467:L530" si="64">D467*0.01</f>
        <v>0</v>
      </c>
      <c r="M467" s="124" t="str">
        <f t="shared" ref="M467:M530" si="65">IFERROR(K467*I467,"")</f>
        <v/>
      </c>
      <c r="N467" s="112"/>
      <c r="O467" s="101"/>
      <c r="P467" s="101"/>
      <c r="Q467" s="101"/>
      <c r="R467" s="102"/>
      <c r="S467" s="102"/>
      <c r="T467" s="102"/>
      <c r="U467" s="103"/>
      <c r="V467" s="100"/>
      <c r="W467" s="101"/>
      <c r="X467" s="113"/>
      <c r="Y467" s="114"/>
      <c r="Z467" s="102"/>
      <c r="AA467" s="101"/>
      <c r="AB467" s="111"/>
      <c r="AE467" s="187"/>
      <c r="AF467" s="185"/>
      <c r="AG467" s="185" t="str">
        <f t="shared" si="61"/>
        <v/>
      </c>
      <c r="AH467" s="186" t="str">
        <f t="shared" si="62"/>
        <v/>
      </c>
      <c r="AI467" s="185"/>
      <c r="AJ467" s="188"/>
      <c r="CC467" s="562"/>
      <c r="CD467" s="425"/>
    </row>
    <row r="468" spans="2:82" ht="30" customHeight="1" x14ac:dyDescent="0.3">
      <c r="B468" s="562"/>
      <c r="C468" s="563"/>
      <c r="D468" s="425"/>
      <c r="E468" s="250" t="str">
        <f t="shared" si="63"/>
        <v/>
      </c>
      <c r="F468" s="556"/>
      <c r="G468" s="252" t="str">
        <f>IFERROR(VLOOKUP(F468,'Data (hidden)'!N:O,2,FALSE),"")</f>
        <v/>
      </c>
      <c r="H468" s="557"/>
      <c r="I468" s="558"/>
      <c r="J468" s="123">
        <f t="shared" ref="J468:J531" si="66">H468*0.01</f>
        <v>0</v>
      </c>
      <c r="K468" s="123" t="e">
        <f t="shared" ref="K468:K531" si="67">E468*J468</f>
        <v>#VALUE!</v>
      </c>
      <c r="L468" s="123">
        <f t="shared" si="64"/>
        <v>0</v>
      </c>
      <c r="M468" s="124" t="str">
        <f t="shared" si="65"/>
        <v/>
      </c>
      <c r="N468" s="112"/>
      <c r="O468" s="101"/>
      <c r="P468" s="101"/>
      <c r="Q468" s="101"/>
      <c r="R468" s="102"/>
      <c r="S468" s="102"/>
      <c r="T468" s="102"/>
      <c r="U468" s="103"/>
      <c r="V468" s="100"/>
      <c r="W468" s="101"/>
      <c r="X468" s="113"/>
      <c r="Y468" s="114"/>
      <c r="Z468" s="102"/>
      <c r="AA468" s="101"/>
      <c r="AB468" s="111"/>
      <c r="AE468" s="187"/>
      <c r="AF468" s="185"/>
      <c r="AG468" s="185" t="str">
        <f t="shared" ref="AG468:AG531" si="68">IF(ISNUMBER(B468), B468, "")</f>
        <v/>
      </c>
      <c r="AH468" s="186" t="str">
        <f t="shared" ref="AH468:AH531" si="69">E468</f>
        <v/>
      </c>
      <c r="AI468" s="185"/>
      <c r="AJ468" s="188"/>
      <c r="CC468" s="562"/>
      <c r="CD468" s="425"/>
    </row>
    <row r="469" spans="2:82" ht="30" customHeight="1" x14ac:dyDescent="0.3">
      <c r="B469" s="562"/>
      <c r="C469" s="563"/>
      <c r="D469" s="425"/>
      <c r="E469" s="250" t="str">
        <f t="shared" si="63"/>
        <v/>
      </c>
      <c r="F469" s="556"/>
      <c r="G469" s="252" t="str">
        <f>IFERROR(VLOOKUP(F469,'Data (hidden)'!N:O,2,FALSE),"")</f>
        <v/>
      </c>
      <c r="H469" s="557"/>
      <c r="I469" s="558"/>
      <c r="J469" s="123">
        <f t="shared" si="66"/>
        <v>0</v>
      </c>
      <c r="K469" s="123" t="e">
        <f t="shared" si="67"/>
        <v>#VALUE!</v>
      </c>
      <c r="L469" s="123">
        <f t="shared" si="64"/>
        <v>0</v>
      </c>
      <c r="M469" s="124" t="str">
        <f t="shared" si="65"/>
        <v/>
      </c>
      <c r="N469" s="112"/>
      <c r="O469" s="101"/>
      <c r="P469" s="101"/>
      <c r="Q469" s="101"/>
      <c r="R469" s="102"/>
      <c r="S469" s="102"/>
      <c r="T469" s="102"/>
      <c r="U469" s="103"/>
      <c r="V469" s="100"/>
      <c r="W469" s="101"/>
      <c r="X469" s="113"/>
      <c r="Y469" s="114"/>
      <c r="Z469" s="102"/>
      <c r="AA469" s="101"/>
      <c r="AB469" s="111"/>
      <c r="AE469" s="187"/>
      <c r="AF469" s="185"/>
      <c r="AG469" s="185" t="str">
        <f t="shared" si="68"/>
        <v/>
      </c>
      <c r="AH469" s="186" t="str">
        <f t="shared" si="69"/>
        <v/>
      </c>
      <c r="AI469" s="185"/>
      <c r="AJ469" s="188"/>
      <c r="CC469" s="562"/>
      <c r="CD469" s="425"/>
    </row>
    <row r="470" spans="2:82" ht="30" customHeight="1" x14ac:dyDescent="0.3">
      <c r="B470" s="562"/>
      <c r="C470" s="563"/>
      <c r="D470" s="425"/>
      <c r="E470" s="250" t="str">
        <f t="shared" si="63"/>
        <v/>
      </c>
      <c r="F470" s="556"/>
      <c r="G470" s="252" t="str">
        <f>IFERROR(VLOOKUP(F470,'Data (hidden)'!N:O,2,FALSE),"")</f>
        <v/>
      </c>
      <c r="H470" s="557"/>
      <c r="I470" s="558"/>
      <c r="J470" s="123">
        <f t="shared" si="66"/>
        <v>0</v>
      </c>
      <c r="K470" s="123" t="e">
        <f t="shared" si="67"/>
        <v>#VALUE!</v>
      </c>
      <c r="L470" s="123">
        <f t="shared" si="64"/>
        <v>0</v>
      </c>
      <c r="M470" s="124" t="str">
        <f t="shared" si="65"/>
        <v/>
      </c>
      <c r="N470" s="112"/>
      <c r="O470" s="101"/>
      <c r="P470" s="101"/>
      <c r="Q470" s="101"/>
      <c r="R470" s="102"/>
      <c r="S470" s="102"/>
      <c r="T470" s="102"/>
      <c r="U470" s="103"/>
      <c r="V470" s="100"/>
      <c r="W470" s="101"/>
      <c r="X470" s="113"/>
      <c r="Y470" s="114"/>
      <c r="Z470" s="102"/>
      <c r="AA470" s="101"/>
      <c r="AB470" s="111"/>
      <c r="AE470" s="187"/>
      <c r="AF470" s="185"/>
      <c r="AG470" s="185" t="str">
        <f t="shared" si="68"/>
        <v/>
      </c>
      <c r="AH470" s="186" t="str">
        <f t="shared" si="69"/>
        <v/>
      </c>
      <c r="AI470" s="185"/>
      <c r="AJ470" s="188"/>
      <c r="CC470" s="562"/>
      <c r="CD470" s="425"/>
    </row>
    <row r="471" spans="2:82" ht="30" customHeight="1" x14ac:dyDescent="0.3">
      <c r="B471" s="562"/>
      <c r="C471" s="563"/>
      <c r="D471" s="425"/>
      <c r="E471" s="250" t="str">
        <f t="shared" si="63"/>
        <v/>
      </c>
      <c r="F471" s="556"/>
      <c r="G471" s="252" t="str">
        <f>IFERROR(VLOOKUP(F471,'Data (hidden)'!N:O,2,FALSE),"")</f>
        <v/>
      </c>
      <c r="H471" s="557"/>
      <c r="I471" s="558"/>
      <c r="J471" s="123">
        <f t="shared" si="66"/>
        <v>0</v>
      </c>
      <c r="K471" s="123" t="e">
        <f t="shared" si="67"/>
        <v>#VALUE!</v>
      </c>
      <c r="L471" s="123">
        <f t="shared" si="64"/>
        <v>0</v>
      </c>
      <c r="M471" s="124" t="str">
        <f t="shared" si="65"/>
        <v/>
      </c>
      <c r="N471" s="112"/>
      <c r="O471" s="101"/>
      <c r="P471" s="101"/>
      <c r="Q471" s="101"/>
      <c r="R471" s="102"/>
      <c r="S471" s="102"/>
      <c r="T471" s="102"/>
      <c r="U471" s="103"/>
      <c r="V471" s="100"/>
      <c r="W471" s="101"/>
      <c r="X471" s="113"/>
      <c r="Y471" s="114"/>
      <c r="Z471" s="102"/>
      <c r="AA471" s="101"/>
      <c r="AB471" s="111"/>
      <c r="AE471" s="187"/>
      <c r="AF471" s="185"/>
      <c r="AG471" s="185" t="str">
        <f t="shared" si="68"/>
        <v/>
      </c>
      <c r="AH471" s="186" t="str">
        <f t="shared" si="69"/>
        <v/>
      </c>
      <c r="AI471" s="185"/>
      <c r="AJ471" s="188"/>
      <c r="CC471" s="562"/>
      <c r="CD471" s="425"/>
    </row>
    <row r="472" spans="2:82" ht="30" customHeight="1" x14ac:dyDescent="0.3">
      <c r="B472" s="562"/>
      <c r="C472" s="563"/>
      <c r="D472" s="425"/>
      <c r="E472" s="250" t="str">
        <f t="shared" si="63"/>
        <v/>
      </c>
      <c r="F472" s="556"/>
      <c r="G472" s="252" t="str">
        <f>IFERROR(VLOOKUP(F472,'Data (hidden)'!N:O,2,FALSE),"")</f>
        <v/>
      </c>
      <c r="H472" s="557"/>
      <c r="I472" s="558"/>
      <c r="J472" s="123">
        <f t="shared" si="66"/>
        <v>0</v>
      </c>
      <c r="K472" s="123" t="e">
        <f t="shared" si="67"/>
        <v>#VALUE!</v>
      </c>
      <c r="L472" s="123">
        <f t="shared" si="64"/>
        <v>0</v>
      </c>
      <c r="M472" s="124" t="str">
        <f t="shared" si="65"/>
        <v/>
      </c>
      <c r="N472" s="112"/>
      <c r="O472" s="101"/>
      <c r="P472" s="101"/>
      <c r="Q472" s="101"/>
      <c r="R472" s="102"/>
      <c r="S472" s="102"/>
      <c r="T472" s="102"/>
      <c r="U472" s="103"/>
      <c r="V472" s="100"/>
      <c r="W472" s="101"/>
      <c r="X472" s="113"/>
      <c r="Y472" s="114"/>
      <c r="Z472" s="102"/>
      <c r="AA472" s="101"/>
      <c r="AB472" s="111"/>
      <c r="AE472" s="187"/>
      <c r="AF472" s="185"/>
      <c r="AG472" s="185" t="str">
        <f t="shared" si="68"/>
        <v/>
      </c>
      <c r="AH472" s="186" t="str">
        <f t="shared" si="69"/>
        <v/>
      </c>
      <c r="AI472" s="185"/>
      <c r="AJ472" s="188"/>
      <c r="CC472" s="562"/>
      <c r="CD472" s="425"/>
    </row>
    <row r="473" spans="2:82" ht="30" customHeight="1" x14ac:dyDescent="0.3">
      <c r="B473" s="562"/>
      <c r="C473" s="563"/>
      <c r="D473" s="425"/>
      <c r="E473" s="250" t="str">
        <f t="shared" si="63"/>
        <v/>
      </c>
      <c r="F473" s="556"/>
      <c r="G473" s="252" t="str">
        <f>IFERROR(VLOOKUP(F473,'Data (hidden)'!N:O,2,FALSE),"")</f>
        <v/>
      </c>
      <c r="H473" s="557"/>
      <c r="I473" s="558"/>
      <c r="J473" s="123">
        <f t="shared" si="66"/>
        <v>0</v>
      </c>
      <c r="K473" s="123" t="e">
        <f t="shared" si="67"/>
        <v>#VALUE!</v>
      </c>
      <c r="L473" s="123">
        <f t="shared" si="64"/>
        <v>0</v>
      </c>
      <c r="M473" s="124" t="str">
        <f t="shared" si="65"/>
        <v/>
      </c>
      <c r="N473" s="112"/>
      <c r="O473" s="101"/>
      <c r="P473" s="101"/>
      <c r="Q473" s="101"/>
      <c r="R473" s="102"/>
      <c r="S473" s="102"/>
      <c r="T473" s="102"/>
      <c r="U473" s="103"/>
      <c r="V473" s="100"/>
      <c r="W473" s="101"/>
      <c r="X473" s="113"/>
      <c r="Y473" s="114"/>
      <c r="Z473" s="102"/>
      <c r="AA473" s="101"/>
      <c r="AB473" s="111"/>
      <c r="AE473" s="187"/>
      <c r="AF473" s="185"/>
      <c r="AG473" s="185" t="str">
        <f t="shared" si="68"/>
        <v/>
      </c>
      <c r="AH473" s="186" t="str">
        <f t="shared" si="69"/>
        <v/>
      </c>
      <c r="AI473" s="185"/>
      <c r="AJ473" s="188"/>
      <c r="CC473" s="562"/>
      <c r="CD473" s="425"/>
    </row>
    <row r="474" spans="2:82" ht="30" customHeight="1" x14ac:dyDescent="0.3">
      <c r="B474" s="562"/>
      <c r="C474" s="563"/>
      <c r="D474" s="425"/>
      <c r="E474" s="250" t="str">
        <f t="shared" si="63"/>
        <v/>
      </c>
      <c r="F474" s="556"/>
      <c r="G474" s="252" t="str">
        <f>IFERROR(VLOOKUP(F474,'Data (hidden)'!N:O,2,FALSE),"")</f>
        <v/>
      </c>
      <c r="H474" s="557"/>
      <c r="I474" s="558"/>
      <c r="J474" s="123">
        <f t="shared" si="66"/>
        <v>0</v>
      </c>
      <c r="K474" s="123" t="e">
        <f t="shared" si="67"/>
        <v>#VALUE!</v>
      </c>
      <c r="L474" s="123">
        <f t="shared" si="64"/>
        <v>0</v>
      </c>
      <c r="M474" s="124" t="str">
        <f t="shared" si="65"/>
        <v/>
      </c>
      <c r="N474" s="112"/>
      <c r="O474" s="101"/>
      <c r="P474" s="101"/>
      <c r="Q474" s="101"/>
      <c r="R474" s="102"/>
      <c r="S474" s="102"/>
      <c r="T474" s="102"/>
      <c r="U474" s="103"/>
      <c r="V474" s="100"/>
      <c r="W474" s="101"/>
      <c r="X474" s="113"/>
      <c r="Y474" s="114"/>
      <c r="Z474" s="102"/>
      <c r="AA474" s="101"/>
      <c r="AB474" s="111"/>
      <c r="AE474" s="187"/>
      <c r="AF474" s="185"/>
      <c r="AG474" s="185" t="str">
        <f t="shared" si="68"/>
        <v/>
      </c>
      <c r="AH474" s="186" t="str">
        <f t="shared" si="69"/>
        <v/>
      </c>
      <c r="AI474" s="185"/>
      <c r="AJ474" s="188"/>
      <c r="CC474" s="562"/>
      <c r="CD474" s="425"/>
    </row>
    <row r="475" spans="2:82" ht="30" customHeight="1" x14ac:dyDescent="0.3">
      <c r="B475" s="562"/>
      <c r="C475" s="563"/>
      <c r="D475" s="425"/>
      <c r="E475" s="250" t="str">
        <f t="shared" si="63"/>
        <v/>
      </c>
      <c r="F475" s="556"/>
      <c r="G475" s="252" t="str">
        <f>IFERROR(VLOOKUP(F475,'Data (hidden)'!N:O,2,FALSE),"")</f>
        <v/>
      </c>
      <c r="H475" s="557"/>
      <c r="I475" s="558"/>
      <c r="J475" s="123">
        <f t="shared" si="66"/>
        <v>0</v>
      </c>
      <c r="K475" s="123" t="e">
        <f t="shared" si="67"/>
        <v>#VALUE!</v>
      </c>
      <c r="L475" s="123">
        <f t="shared" si="64"/>
        <v>0</v>
      </c>
      <c r="M475" s="124" t="str">
        <f t="shared" si="65"/>
        <v/>
      </c>
      <c r="N475" s="112"/>
      <c r="O475" s="101"/>
      <c r="P475" s="101"/>
      <c r="Q475" s="101"/>
      <c r="R475" s="102"/>
      <c r="S475" s="102"/>
      <c r="T475" s="102"/>
      <c r="U475" s="103"/>
      <c r="V475" s="100"/>
      <c r="W475" s="101"/>
      <c r="X475" s="113"/>
      <c r="Y475" s="114"/>
      <c r="Z475" s="102"/>
      <c r="AA475" s="101"/>
      <c r="AB475" s="111"/>
      <c r="AE475" s="187"/>
      <c r="AF475" s="185"/>
      <c r="AG475" s="185" t="str">
        <f t="shared" si="68"/>
        <v/>
      </c>
      <c r="AH475" s="186" t="str">
        <f t="shared" si="69"/>
        <v/>
      </c>
      <c r="AI475" s="185"/>
      <c r="AJ475" s="188"/>
      <c r="CC475" s="562"/>
      <c r="CD475" s="425"/>
    </row>
    <row r="476" spans="2:82" ht="30" customHeight="1" x14ac:dyDescent="0.3">
      <c r="B476" s="562"/>
      <c r="C476" s="563"/>
      <c r="D476" s="425"/>
      <c r="E476" s="250" t="str">
        <f t="shared" si="63"/>
        <v/>
      </c>
      <c r="F476" s="556"/>
      <c r="G476" s="252" t="str">
        <f>IFERROR(VLOOKUP(F476,'Data (hidden)'!N:O,2,FALSE),"")</f>
        <v/>
      </c>
      <c r="H476" s="557"/>
      <c r="I476" s="558"/>
      <c r="J476" s="123">
        <f t="shared" si="66"/>
        <v>0</v>
      </c>
      <c r="K476" s="123" t="e">
        <f t="shared" si="67"/>
        <v>#VALUE!</v>
      </c>
      <c r="L476" s="123">
        <f t="shared" si="64"/>
        <v>0</v>
      </c>
      <c r="M476" s="124" t="str">
        <f t="shared" si="65"/>
        <v/>
      </c>
      <c r="N476" s="112"/>
      <c r="O476" s="101"/>
      <c r="P476" s="101"/>
      <c r="Q476" s="101"/>
      <c r="R476" s="102"/>
      <c r="S476" s="102"/>
      <c r="T476" s="102"/>
      <c r="U476" s="103"/>
      <c r="V476" s="100"/>
      <c r="W476" s="101"/>
      <c r="X476" s="113"/>
      <c r="Y476" s="114"/>
      <c r="Z476" s="102"/>
      <c r="AA476" s="101"/>
      <c r="AB476" s="111"/>
      <c r="AE476" s="187"/>
      <c r="AF476" s="185"/>
      <c r="AG476" s="185" t="str">
        <f t="shared" si="68"/>
        <v/>
      </c>
      <c r="AH476" s="186" t="str">
        <f t="shared" si="69"/>
        <v/>
      </c>
      <c r="AI476" s="185"/>
      <c r="AJ476" s="188"/>
      <c r="CC476" s="562"/>
      <c r="CD476" s="425"/>
    </row>
    <row r="477" spans="2:82" ht="30" customHeight="1" x14ac:dyDescent="0.3">
      <c r="B477" s="562"/>
      <c r="C477" s="563"/>
      <c r="D477" s="425"/>
      <c r="E477" s="250" t="str">
        <f t="shared" si="63"/>
        <v/>
      </c>
      <c r="F477" s="556"/>
      <c r="G477" s="252" t="str">
        <f>IFERROR(VLOOKUP(F477,'Data (hidden)'!N:O,2,FALSE),"")</f>
        <v/>
      </c>
      <c r="H477" s="557"/>
      <c r="I477" s="558"/>
      <c r="J477" s="123">
        <f t="shared" si="66"/>
        <v>0</v>
      </c>
      <c r="K477" s="123" t="e">
        <f t="shared" si="67"/>
        <v>#VALUE!</v>
      </c>
      <c r="L477" s="123">
        <f t="shared" si="64"/>
        <v>0</v>
      </c>
      <c r="M477" s="124" t="str">
        <f t="shared" si="65"/>
        <v/>
      </c>
      <c r="N477" s="112"/>
      <c r="O477" s="101"/>
      <c r="P477" s="101"/>
      <c r="Q477" s="101"/>
      <c r="R477" s="102"/>
      <c r="S477" s="102"/>
      <c r="T477" s="102"/>
      <c r="U477" s="103"/>
      <c r="V477" s="100"/>
      <c r="W477" s="101"/>
      <c r="X477" s="113"/>
      <c r="Y477" s="114"/>
      <c r="Z477" s="102"/>
      <c r="AA477" s="101"/>
      <c r="AB477" s="111"/>
      <c r="AE477" s="187"/>
      <c r="AF477" s="185"/>
      <c r="AG477" s="185" t="str">
        <f t="shared" si="68"/>
        <v/>
      </c>
      <c r="AH477" s="186" t="str">
        <f t="shared" si="69"/>
        <v/>
      </c>
      <c r="AI477" s="185"/>
      <c r="AJ477" s="188"/>
      <c r="CC477" s="562"/>
      <c r="CD477" s="425"/>
    </row>
    <row r="478" spans="2:82" ht="30" customHeight="1" x14ac:dyDescent="0.3">
      <c r="B478" s="562"/>
      <c r="C478" s="563"/>
      <c r="D478" s="425"/>
      <c r="E478" s="250" t="str">
        <f t="shared" si="63"/>
        <v/>
      </c>
      <c r="F478" s="556"/>
      <c r="G478" s="252" t="str">
        <f>IFERROR(VLOOKUP(F478,'Data (hidden)'!N:O,2,FALSE),"")</f>
        <v/>
      </c>
      <c r="H478" s="557"/>
      <c r="I478" s="558"/>
      <c r="J478" s="123">
        <f t="shared" si="66"/>
        <v>0</v>
      </c>
      <c r="K478" s="123" t="e">
        <f t="shared" si="67"/>
        <v>#VALUE!</v>
      </c>
      <c r="L478" s="123">
        <f t="shared" si="64"/>
        <v>0</v>
      </c>
      <c r="M478" s="124" t="str">
        <f t="shared" si="65"/>
        <v/>
      </c>
      <c r="N478" s="112"/>
      <c r="O478" s="101"/>
      <c r="P478" s="101"/>
      <c r="Q478" s="101"/>
      <c r="R478" s="102"/>
      <c r="S478" s="102"/>
      <c r="T478" s="102"/>
      <c r="U478" s="103"/>
      <c r="V478" s="100"/>
      <c r="W478" s="101"/>
      <c r="X478" s="113"/>
      <c r="Y478" s="114"/>
      <c r="Z478" s="102"/>
      <c r="AA478" s="101"/>
      <c r="AB478" s="111"/>
      <c r="AE478" s="187"/>
      <c r="AF478" s="185"/>
      <c r="AG478" s="185" t="str">
        <f t="shared" si="68"/>
        <v/>
      </c>
      <c r="AH478" s="186" t="str">
        <f t="shared" si="69"/>
        <v/>
      </c>
      <c r="AI478" s="185"/>
      <c r="AJ478" s="188"/>
      <c r="CC478" s="562"/>
      <c r="CD478" s="425"/>
    </row>
    <row r="479" spans="2:82" ht="30" customHeight="1" x14ac:dyDescent="0.3">
      <c r="B479" s="562"/>
      <c r="C479" s="563"/>
      <c r="D479" s="425"/>
      <c r="E479" s="250" t="str">
        <f t="shared" si="63"/>
        <v/>
      </c>
      <c r="F479" s="556"/>
      <c r="G479" s="252" t="str">
        <f>IFERROR(VLOOKUP(F479,'Data (hidden)'!N:O,2,FALSE),"")</f>
        <v/>
      </c>
      <c r="H479" s="557"/>
      <c r="I479" s="558"/>
      <c r="J479" s="123">
        <f t="shared" si="66"/>
        <v>0</v>
      </c>
      <c r="K479" s="123" t="e">
        <f t="shared" si="67"/>
        <v>#VALUE!</v>
      </c>
      <c r="L479" s="123">
        <f t="shared" si="64"/>
        <v>0</v>
      </c>
      <c r="M479" s="124" t="str">
        <f t="shared" si="65"/>
        <v/>
      </c>
      <c r="N479" s="112"/>
      <c r="O479" s="101"/>
      <c r="P479" s="101"/>
      <c r="Q479" s="101"/>
      <c r="R479" s="102"/>
      <c r="S479" s="102"/>
      <c r="T479" s="102"/>
      <c r="U479" s="103"/>
      <c r="V479" s="100"/>
      <c r="W479" s="101"/>
      <c r="X479" s="113"/>
      <c r="Y479" s="114"/>
      <c r="Z479" s="102"/>
      <c r="AA479" s="101"/>
      <c r="AB479" s="111"/>
      <c r="AE479" s="187"/>
      <c r="AF479" s="185"/>
      <c r="AG479" s="185" t="str">
        <f t="shared" si="68"/>
        <v/>
      </c>
      <c r="AH479" s="186" t="str">
        <f t="shared" si="69"/>
        <v/>
      </c>
      <c r="AI479" s="185"/>
      <c r="AJ479" s="188"/>
      <c r="CC479" s="562"/>
      <c r="CD479" s="425"/>
    </row>
    <row r="480" spans="2:82" ht="30" customHeight="1" x14ac:dyDescent="0.3">
      <c r="B480" s="562"/>
      <c r="C480" s="563"/>
      <c r="D480" s="425"/>
      <c r="E480" s="250" t="str">
        <f t="shared" si="63"/>
        <v/>
      </c>
      <c r="F480" s="556"/>
      <c r="G480" s="252" t="str">
        <f>IFERROR(VLOOKUP(F480,'Data (hidden)'!N:O,2,FALSE),"")</f>
        <v/>
      </c>
      <c r="H480" s="557"/>
      <c r="I480" s="558"/>
      <c r="J480" s="123">
        <f t="shared" si="66"/>
        <v>0</v>
      </c>
      <c r="K480" s="123" t="e">
        <f t="shared" si="67"/>
        <v>#VALUE!</v>
      </c>
      <c r="L480" s="123">
        <f t="shared" si="64"/>
        <v>0</v>
      </c>
      <c r="M480" s="124" t="str">
        <f t="shared" si="65"/>
        <v/>
      </c>
      <c r="N480" s="112"/>
      <c r="O480" s="101"/>
      <c r="P480" s="101"/>
      <c r="Q480" s="101"/>
      <c r="R480" s="102"/>
      <c r="S480" s="102"/>
      <c r="T480" s="102"/>
      <c r="U480" s="103"/>
      <c r="V480" s="100"/>
      <c r="W480" s="101"/>
      <c r="X480" s="113"/>
      <c r="Y480" s="114"/>
      <c r="Z480" s="102"/>
      <c r="AA480" s="101"/>
      <c r="AB480" s="111"/>
      <c r="AE480" s="187"/>
      <c r="AF480" s="185"/>
      <c r="AG480" s="185" t="str">
        <f t="shared" si="68"/>
        <v/>
      </c>
      <c r="AH480" s="186" t="str">
        <f t="shared" si="69"/>
        <v/>
      </c>
      <c r="AI480" s="185"/>
      <c r="AJ480" s="188"/>
      <c r="CC480" s="562"/>
      <c r="CD480" s="425"/>
    </row>
    <row r="481" spans="2:82" ht="30" customHeight="1" x14ac:dyDescent="0.3">
      <c r="B481" s="562"/>
      <c r="C481" s="563"/>
      <c r="D481" s="425"/>
      <c r="E481" s="250" t="str">
        <f t="shared" si="63"/>
        <v/>
      </c>
      <c r="F481" s="556"/>
      <c r="G481" s="252" t="str">
        <f>IFERROR(VLOOKUP(F481,'Data (hidden)'!N:O,2,FALSE),"")</f>
        <v/>
      </c>
      <c r="H481" s="557"/>
      <c r="I481" s="558"/>
      <c r="J481" s="123">
        <f t="shared" si="66"/>
        <v>0</v>
      </c>
      <c r="K481" s="123" t="e">
        <f t="shared" si="67"/>
        <v>#VALUE!</v>
      </c>
      <c r="L481" s="123">
        <f t="shared" si="64"/>
        <v>0</v>
      </c>
      <c r="M481" s="124" t="str">
        <f t="shared" si="65"/>
        <v/>
      </c>
      <c r="N481" s="112"/>
      <c r="O481" s="101"/>
      <c r="P481" s="101"/>
      <c r="Q481" s="101"/>
      <c r="R481" s="102"/>
      <c r="S481" s="102"/>
      <c r="T481" s="102"/>
      <c r="U481" s="103"/>
      <c r="V481" s="100"/>
      <c r="W481" s="101"/>
      <c r="X481" s="113"/>
      <c r="Y481" s="114"/>
      <c r="Z481" s="102"/>
      <c r="AA481" s="101"/>
      <c r="AB481" s="111"/>
      <c r="AE481" s="187"/>
      <c r="AF481" s="185"/>
      <c r="AG481" s="185" t="str">
        <f t="shared" si="68"/>
        <v/>
      </c>
      <c r="AH481" s="186" t="str">
        <f t="shared" si="69"/>
        <v/>
      </c>
      <c r="AI481" s="185"/>
      <c r="AJ481" s="188"/>
      <c r="CC481" s="562"/>
      <c r="CD481" s="425"/>
    </row>
    <row r="482" spans="2:82" ht="30" customHeight="1" x14ac:dyDescent="0.3">
      <c r="B482" s="562"/>
      <c r="C482" s="563"/>
      <c r="D482" s="425"/>
      <c r="E482" s="250" t="str">
        <f t="shared" si="63"/>
        <v/>
      </c>
      <c r="F482" s="556"/>
      <c r="G482" s="252" t="str">
        <f>IFERROR(VLOOKUP(F482,'Data (hidden)'!N:O,2,FALSE),"")</f>
        <v/>
      </c>
      <c r="H482" s="557"/>
      <c r="I482" s="558"/>
      <c r="J482" s="123">
        <f t="shared" si="66"/>
        <v>0</v>
      </c>
      <c r="K482" s="123" t="e">
        <f t="shared" si="67"/>
        <v>#VALUE!</v>
      </c>
      <c r="L482" s="123">
        <f t="shared" si="64"/>
        <v>0</v>
      </c>
      <c r="M482" s="124" t="str">
        <f t="shared" si="65"/>
        <v/>
      </c>
      <c r="N482" s="112"/>
      <c r="O482" s="101"/>
      <c r="P482" s="101"/>
      <c r="Q482" s="101"/>
      <c r="R482" s="102"/>
      <c r="S482" s="102"/>
      <c r="T482" s="102"/>
      <c r="U482" s="103"/>
      <c r="V482" s="100"/>
      <c r="W482" s="101"/>
      <c r="X482" s="113"/>
      <c r="Y482" s="114"/>
      <c r="Z482" s="102"/>
      <c r="AA482" s="101"/>
      <c r="AB482" s="111"/>
      <c r="AE482" s="187"/>
      <c r="AF482" s="185"/>
      <c r="AG482" s="185" t="str">
        <f t="shared" si="68"/>
        <v/>
      </c>
      <c r="AH482" s="186" t="str">
        <f t="shared" si="69"/>
        <v/>
      </c>
      <c r="AI482" s="185"/>
      <c r="AJ482" s="188"/>
      <c r="CC482" s="562"/>
      <c r="CD482" s="425"/>
    </row>
    <row r="483" spans="2:82" ht="30" customHeight="1" x14ac:dyDescent="0.3">
      <c r="B483" s="562"/>
      <c r="C483" s="563"/>
      <c r="D483" s="425"/>
      <c r="E483" s="250" t="str">
        <f t="shared" si="63"/>
        <v/>
      </c>
      <c r="F483" s="556"/>
      <c r="G483" s="252" t="str">
        <f>IFERROR(VLOOKUP(F483,'Data (hidden)'!N:O,2,FALSE),"")</f>
        <v/>
      </c>
      <c r="H483" s="557"/>
      <c r="I483" s="558"/>
      <c r="J483" s="123">
        <f t="shared" si="66"/>
        <v>0</v>
      </c>
      <c r="K483" s="123" t="e">
        <f t="shared" si="67"/>
        <v>#VALUE!</v>
      </c>
      <c r="L483" s="123">
        <f t="shared" si="64"/>
        <v>0</v>
      </c>
      <c r="M483" s="124" t="str">
        <f t="shared" si="65"/>
        <v/>
      </c>
      <c r="N483" s="112"/>
      <c r="O483" s="101"/>
      <c r="P483" s="101"/>
      <c r="Q483" s="101"/>
      <c r="R483" s="102"/>
      <c r="S483" s="102"/>
      <c r="T483" s="102"/>
      <c r="U483" s="103"/>
      <c r="V483" s="100"/>
      <c r="W483" s="101"/>
      <c r="X483" s="113"/>
      <c r="Y483" s="114"/>
      <c r="Z483" s="102"/>
      <c r="AA483" s="101"/>
      <c r="AB483" s="111"/>
      <c r="AE483" s="187"/>
      <c r="AF483" s="185"/>
      <c r="AG483" s="185" t="str">
        <f t="shared" si="68"/>
        <v/>
      </c>
      <c r="AH483" s="186" t="str">
        <f t="shared" si="69"/>
        <v/>
      </c>
      <c r="AI483" s="185"/>
      <c r="AJ483" s="188"/>
      <c r="CC483" s="562"/>
      <c r="CD483" s="425"/>
    </row>
    <row r="484" spans="2:82" ht="30" customHeight="1" x14ac:dyDescent="0.3">
      <c r="B484" s="562"/>
      <c r="C484" s="563"/>
      <c r="D484" s="425"/>
      <c r="E484" s="250" t="str">
        <f t="shared" si="63"/>
        <v/>
      </c>
      <c r="F484" s="556"/>
      <c r="G484" s="252" t="str">
        <f>IFERROR(VLOOKUP(F484,'Data (hidden)'!N:O,2,FALSE),"")</f>
        <v/>
      </c>
      <c r="H484" s="557"/>
      <c r="I484" s="558"/>
      <c r="J484" s="123">
        <f t="shared" si="66"/>
        <v>0</v>
      </c>
      <c r="K484" s="123" t="e">
        <f t="shared" si="67"/>
        <v>#VALUE!</v>
      </c>
      <c r="L484" s="123">
        <f t="shared" si="64"/>
        <v>0</v>
      </c>
      <c r="M484" s="124" t="str">
        <f t="shared" si="65"/>
        <v/>
      </c>
      <c r="N484" s="112"/>
      <c r="O484" s="101"/>
      <c r="P484" s="101"/>
      <c r="Q484" s="101"/>
      <c r="R484" s="102"/>
      <c r="S484" s="102"/>
      <c r="T484" s="102"/>
      <c r="U484" s="103"/>
      <c r="V484" s="100"/>
      <c r="W484" s="101"/>
      <c r="X484" s="113"/>
      <c r="Y484" s="114"/>
      <c r="Z484" s="102"/>
      <c r="AA484" s="101"/>
      <c r="AB484" s="111"/>
      <c r="AE484" s="187"/>
      <c r="AF484" s="185"/>
      <c r="AG484" s="185" t="str">
        <f t="shared" si="68"/>
        <v/>
      </c>
      <c r="AH484" s="186" t="str">
        <f t="shared" si="69"/>
        <v/>
      </c>
      <c r="AI484" s="185"/>
      <c r="AJ484" s="188"/>
      <c r="CC484" s="562"/>
      <c r="CD484" s="425"/>
    </row>
    <row r="485" spans="2:82" ht="30" customHeight="1" x14ac:dyDescent="0.3">
      <c r="B485" s="562"/>
      <c r="C485" s="563"/>
      <c r="D485" s="425"/>
      <c r="E485" s="250" t="str">
        <f t="shared" si="63"/>
        <v/>
      </c>
      <c r="F485" s="556"/>
      <c r="G485" s="252" t="str">
        <f>IFERROR(VLOOKUP(F485,'Data (hidden)'!N:O,2,FALSE),"")</f>
        <v/>
      </c>
      <c r="H485" s="557"/>
      <c r="I485" s="558"/>
      <c r="J485" s="123">
        <f t="shared" si="66"/>
        <v>0</v>
      </c>
      <c r="K485" s="123" t="e">
        <f t="shared" si="67"/>
        <v>#VALUE!</v>
      </c>
      <c r="L485" s="123">
        <f t="shared" si="64"/>
        <v>0</v>
      </c>
      <c r="M485" s="124" t="str">
        <f t="shared" si="65"/>
        <v/>
      </c>
      <c r="N485" s="112"/>
      <c r="O485" s="101"/>
      <c r="P485" s="101"/>
      <c r="Q485" s="101"/>
      <c r="R485" s="102"/>
      <c r="S485" s="102"/>
      <c r="T485" s="102"/>
      <c r="U485" s="103"/>
      <c r="V485" s="100"/>
      <c r="W485" s="101"/>
      <c r="X485" s="113"/>
      <c r="Y485" s="114"/>
      <c r="Z485" s="102"/>
      <c r="AA485" s="101"/>
      <c r="AB485" s="111"/>
      <c r="AE485" s="187"/>
      <c r="AF485" s="185"/>
      <c r="AG485" s="185" t="str">
        <f t="shared" si="68"/>
        <v/>
      </c>
      <c r="AH485" s="186" t="str">
        <f t="shared" si="69"/>
        <v/>
      </c>
      <c r="AI485" s="185"/>
      <c r="AJ485" s="188"/>
      <c r="CC485" s="562"/>
      <c r="CD485" s="425"/>
    </row>
    <row r="486" spans="2:82" ht="30" customHeight="1" x14ac:dyDescent="0.3">
      <c r="B486" s="562"/>
      <c r="C486" s="563"/>
      <c r="D486" s="425"/>
      <c r="E486" s="250" t="str">
        <f t="shared" si="63"/>
        <v/>
      </c>
      <c r="F486" s="556"/>
      <c r="G486" s="252" t="str">
        <f>IFERROR(VLOOKUP(F486,'Data (hidden)'!N:O,2,FALSE),"")</f>
        <v/>
      </c>
      <c r="H486" s="557"/>
      <c r="I486" s="558"/>
      <c r="J486" s="123">
        <f t="shared" si="66"/>
        <v>0</v>
      </c>
      <c r="K486" s="123" t="e">
        <f t="shared" si="67"/>
        <v>#VALUE!</v>
      </c>
      <c r="L486" s="123">
        <f t="shared" si="64"/>
        <v>0</v>
      </c>
      <c r="M486" s="124" t="str">
        <f t="shared" si="65"/>
        <v/>
      </c>
      <c r="N486" s="112"/>
      <c r="O486" s="101"/>
      <c r="P486" s="101"/>
      <c r="Q486" s="101"/>
      <c r="R486" s="102"/>
      <c r="S486" s="102"/>
      <c r="T486" s="102"/>
      <c r="U486" s="103"/>
      <c r="V486" s="100"/>
      <c r="W486" s="101"/>
      <c r="X486" s="113"/>
      <c r="Y486" s="114"/>
      <c r="Z486" s="102"/>
      <c r="AA486" s="101"/>
      <c r="AB486" s="111"/>
      <c r="AE486" s="187"/>
      <c r="AF486" s="185"/>
      <c r="AG486" s="185" t="str">
        <f t="shared" si="68"/>
        <v/>
      </c>
      <c r="AH486" s="186" t="str">
        <f t="shared" si="69"/>
        <v/>
      </c>
      <c r="AI486" s="185"/>
      <c r="AJ486" s="188"/>
      <c r="CC486" s="562"/>
      <c r="CD486" s="425"/>
    </row>
    <row r="487" spans="2:82" ht="30" customHeight="1" x14ac:dyDescent="0.3">
      <c r="B487" s="562"/>
      <c r="C487" s="563"/>
      <c r="D487" s="425"/>
      <c r="E487" s="250" t="str">
        <f t="shared" si="63"/>
        <v/>
      </c>
      <c r="F487" s="556"/>
      <c r="G487" s="252" t="str">
        <f>IFERROR(VLOOKUP(F487,'Data (hidden)'!N:O,2,FALSE),"")</f>
        <v/>
      </c>
      <c r="H487" s="557"/>
      <c r="I487" s="558"/>
      <c r="J487" s="123">
        <f t="shared" si="66"/>
        <v>0</v>
      </c>
      <c r="K487" s="123" t="e">
        <f t="shared" si="67"/>
        <v>#VALUE!</v>
      </c>
      <c r="L487" s="123">
        <f t="shared" si="64"/>
        <v>0</v>
      </c>
      <c r="M487" s="124" t="str">
        <f t="shared" si="65"/>
        <v/>
      </c>
      <c r="N487" s="112"/>
      <c r="O487" s="101"/>
      <c r="P487" s="101"/>
      <c r="Q487" s="101"/>
      <c r="R487" s="102"/>
      <c r="S487" s="102"/>
      <c r="T487" s="102"/>
      <c r="U487" s="103"/>
      <c r="V487" s="100"/>
      <c r="W487" s="101"/>
      <c r="X487" s="113"/>
      <c r="Y487" s="114"/>
      <c r="Z487" s="102"/>
      <c r="AA487" s="101"/>
      <c r="AB487" s="111"/>
      <c r="AE487" s="187"/>
      <c r="AF487" s="185"/>
      <c r="AG487" s="185" t="str">
        <f t="shared" si="68"/>
        <v/>
      </c>
      <c r="AH487" s="186" t="str">
        <f t="shared" si="69"/>
        <v/>
      </c>
      <c r="AI487" s="185"/>
      <c r="AJ487" s="188"/>
      <c r="CC487" s="562"/>
      <c r="CD487" s="425"/>
    </row>
    <row r="488" spans="2:82" ht="30" customHeight="1" x14ac:dyDescent="0.3">
      <c r="B488" s="562"/>
      <c r="C488" s="563"/>
      <c r="D488" s="425"/>
      <c r="E488" s="250" t="str">
        <f t="shared" si="63"/>
        <v/>
      </c>
      <c r="F488" s="556"/>
      <c r="G488" s="252" t="str">
        <f>IFERROR(VLOOKUP(F488,'Data (hidden)'!N:O,2,FALSE),"")</f>
        <v/>
      </c>
      <c r="H488" s="557"/>
      <c r="I488" s="558"/>
      <c r="J488" s="123">
        <f t="shared" si="66"/>
        <v>0</v>
      </c>
      <c r="K488" s="123" t="e">
        <f t="shared" si="67"/>
        <v>#VALUE!</v>
      </c>
      <c r="L488" s="123">
        <f t="shared" si="64"/>
        <v>0</v>
      </c>
      <c r="M488" s="124" t="str">
        <f t="shared" si="65"/>
        <v/>
      </c>
      <c r="N488" s="112"/>
      <c r="O488" s="101"/>
      <c r="P488" s="101"/>
      <c r="Q488" s="101"/>
      <c r="R488" s="102"/>
      <c r="S488" s="102"/>
      <c r="T488" s="102"/>
      <c r="U488" s="103"/>
      <c r="V488" s="100"/>
      <c r="W488" s="101"/>
      <c r="X488" s="113"/>
      <c r="Y488" s="114"/>
      <c r="Z488" s="102"/>
      <c r="AA488" s="101"/>
      <c r="AB488" s="111"/>
      <c r="AE488" s="187"/>
      <c r="AF488" s="185"/>
      <c r="AG488" s="185" t="str">
        <f t="shared" si="68"/>
        <v/>
      </c>
      <c r="AH488" s="186" t="str">
        <f t="shared" si="69"/>
        <v/>
      </c>
      <c r="AI488" s="185"/>
      <c r="AJ488" s="188"/>
      <c r="CC488" s="562"/>
      <c r="CD488" s="425"/>
    </row>
    <row r="489" spans="2:82" ht="30" customHeight="1" x14ac:dyDescent="0.3">
      <c r="B489" s="562"/>
      <c r="C489" s="563"/>
      <c r="D489" s="425"/>
      <c r="E489" s="250" t="str">
        <f t="shared" si="63"/>
        <v/>
      </c>
      <c r="F489" s="556"/>
      <c r="G489" s="252" t="str">
        <f>IFERROR(VLOOKUP(F489,'Data (hidden)'!N:O,2,FALSE),"")</f>
        <v/>
      </c>
      <c r="H489" s="557"/>
      <c r="I489" s="558"/>
      <c r="J489" s="123">
        <f t="shared" si="66"/>
        <v>0</v>
      </c>
      <c r="K489" s="123" t="e">
        <f t="shared" si="67"/>
        <v>#VALUE!</v>
      </c>
      <c r="L489" s="123">
        <f t="shared" si="64"/>
        <v>0</v>
      </c>
      <c r="M489" s="124" t="str">
        <f t="shared" si="65"/>
        <v/>
      </c>
      <c r="N489" s="112"/>
      <c r="O489" s="101"/>
      <c r="P489" s="101"/>
      <c r="Q489" s="101"/>
      <c r="R489" s="102"/>
      <c r="S489" s="102"/>
      <c r="T489" s="102"/>
      <c r="U489" s="103"/>
      <c r="V489" s="100"/>
      <c r="W489" s="101"/>
      <c r="X489" s="113"/>
      <c r="Y489" s="114"/>
      <c r="Z489" s="102"/>
      <c r="AA489" s="101"/>
      <c r="AB489" s="111"/>
      <c r="AE489" s="187"/>
      <c r="AF489" s="185"/>
      <c r="AG489" s="185" t="str">
        <f t="shared" si="68"/>
        <v/>
      </c>
      <c r="AH489" s="186" t="str">
        <f t="shared" si="69"/>
        <v/>
      </c>
      <c r="AI489" s="185"/>
      <c r="AJ489" s="188"/>
      <c r="CC489" s="562"/>
      <c r="CD489" s="425"/>
    </row>
    <row r="490" spans="2:82" ht="30" customHeight="1" x14ac:dyDescent="0.3">
      <c r="B490" s="562"/>
      <c r="C490" s="563"/>
      <c r="D490" s="425"/>
      <c r="E490" s="250" t="str">
        <f t="shared" si="63"/>
        <v/>
      </c>
      <c r="F490" s="556"/>
      <c r="G490" s="252" t="str">
        <f>IFERROR(VLOOKUP(F490,'Data (hidden)'!N:O,2,FALSE),"")</f>
        <v/>
      </c>
      <c r="H490" s="557"/>
      <c r="I490" s="558"/>
      <c r="J490" s="123">
        <f t="shared" si="66"/>
        <v>0</v>
      </c>
      <c r="K490" s="123" t="e">
        <f t="shared" si="67"/>
        <v>#VALUE!</v>
      </c>
      <c r="L490" s="123">
        <f t="shared" si="64"/>
        <v>0</v>
      </c>
      <c r="M490" s="124" t="str">
        <f t="shared" si="65"/>
        <v/>
      </c>
      <c r="N490" s="112"/>
      <c r="O490" s="101"/>
      <c r="P490" s="101"/>
      <c r="Q490" s="101"/>
      <c r="R490" s="102"/>
      <c r="S490" s="102"/>
      <c r="T490" s="102"/>
      <c r="U490" s="103"/>
      <c r="V490" s="100"/>
      <c r="W490" s="101"/>
      <c r="X490" s="113"/>
      <c r="Y490" s="114"/>
      <c r="Z490" s="102"/>
      <c r="AA490" s="101"/>
      <c r="AB490" s="111"/>
      <c r="AE490" s="187"/>
      <c r="AF490" s="185"/>
      <c r="AG490" s="185" t="str">
        <f t="shared" si="68"/>
        <v/>
      </c>
      <c r="AH490" s="186" t="str">
        <f t="shared" si="69"/>
        <v/>
      </c>
      <c r="AI490" s="185"/>
      <c r="AJ490" s="188"/>
      <c r="CC490" s="562"/>
      <c r="CD490" s="425"/>
    </row>
    <row r="491" spans="2:82" ht="30" customHeight="1" x14ac:dyDescent="0.3">
      <c r="B491" s="562"/>
      <c r="C491" s="563"/>
      <c r="D491" s="425"/>
      <c r="E491" s="250" t="str">
        <f t="shared" si="63"/>
        <v/>
      </c>
      <c r="F491" s="556"/>
      <c r="G491" s="252" t="str">
        <f>IFERROR(VLOOKUP(F491,'Data (hidden)'!N:O,2,FALSE),"")</f>
        <v/>
      </c>
      <c r="H491" s="557"/>
      <c r="I491" s="558"/>
      <c r="J491" s="123">
        <f t="shared" si="66"/>
        <v>0</v>
      </c>
      <c r="K491" s="123" t="e">
        <f t="shared" si="67"/>
        <v>#VALUE!</v>
      </c>
      <c r="L491" s="123">
        <f t="shared" si="64"/>
        <v>0</v>
      </c>
      <c r="M491" s="124" t="str">
        <f t="shared" si="65"/>
        <v/>
      </c>
      <c r="N491" s="112"/>
      <c r="O491" s="101"/>
      <c r="P491" s="101"/>
      <c r="Q491" s="101"/>
      <c r="R491" s="102"/>
      <c r="S491" s="102"/>
      <c r="T491" s="102"/>
      <c r="U491" s="103"/>
      <c r="V491" s="100"/>
      <c r="W491" s="101"/>
      <c r="X491" s="113"/>
      <c r="Y491" s="114"/>
      <c r="Z491" s="102"/>
      <c r="AA491" s="101"/>
      <c r="AB491" s="111"/>
      <c r="AE491" s="187"/>
      <c r="AF491" s="185"/>
      <c r="AG491" s="185" t="str">
        <f t="shared" si="68"/>
        <v/>
      </c>
      <c r="AH491" s="186" t="str">
        <f t="shared" si="69"/>
        <v/>
      </c>
      <c r="AI491" s="185"/>
      <c r="AJ491" s="188"/>
      <c r="CC491" s="562"/>
      <c r="CD491" s="425"/>
    </row>
    <row r="492" spans="2:82" ht="30" customHeight="1" x14ac:dyDescent="0.3">
      <c r="B492" s="562"/>
      <c r="C492" s="563"/>
      <c r="D492" s="425"/>
      <c r="E492" s="250" t="str">
        <f t="shared" si="63"/>
        <v/>
      </c>
      <c r="F492" s="556"/>
      <c r="G492" s="252" t="str">
        <f>IFERROR(VLOOKUP(F492,'Data (hidden)'!N:O,2,FALSE),"")</f>
        <v/>
      </c>
      <c r="H492" s="557"/>
      <c r="I492" s="558"/>
      <c r="J492" s="123">
        <f t="shared" si="66"/>
        <v>0</v>
      </c>
      <c r="K492" s="123" t="e">
        <f t="shared" si="67"/>
        <v>#VALUE!</v>
      </c>
      <c r="L492" s="123">
        <f t="shared" si="64"/>
        <v>0</v>
      </c>
      <c r="M492" s="124" t="str">
        <f t="shared" si="65"/>
        <v/>
      </c>
      <c r="N492" s="112"/>
      <c r="O492" s="101"/>
      <c r="P492" s="101"/>
      <c r="Q492" s="101"/>
      <c r="R492" s="102"/>
      <c r="S492" s="102"/>
      <c r="T492" s="102"/>
      <c r="U492" s="103"/>
      <c r="V492" s="100"/>
      <c r="W492" s="101"/>
      <c r="X492" s="113"/>
      <c r="Y492" s="114"/>
      <c r="Z492" s="102"/>
      <c r="AA492" s="101"/>
      <c r="AB492" s="111"/>
      <c r="AE492" s="187"/>
      <c r="AF492" s="185"/>
      <c r="AG492" s="185" t="str">
        <f t="shared" si="68"/>
        <v/>
      </c>
      <c r="AH492" s="186" t="str">
        <f t="shared" si="69"/>
        <v/>
      </c>
      <c r="AI492" s="185"/>
      <c r="AJ492" s="188"/>
      <c r="CC492" s="562"/>
      <c r="CD492" s="425"/>
    </row>
    <row r="493" spans="2:82" ht="30" customHeight="1" x14ac:dyDescent="0.3">
      <c r="B493" s="562"/>
      <c r="C493" s="563"/>
      <c r="D493" s="425"/>
      <c r="E493" s="250" t="str">
        <f t="shared" si="63"/>
        <v/>
      </c>
      <c r="F493" s="556"/>
      <c r="G493" s="252" t="str">
        <f>IFERROR(VLOOKUP(F493,'Data (hidden)'!N:O,2,FALSE),"")</f>
        <v/>
      </c>
      <c r="H493" s="557"/>
      <c r="I493" s="558"/>
      <c r="J493" s="123">
        <f t="shared" si="66"/>
        <v>0</v>
      </c>
      <c r="K493" s="123" t="e">
        <f t="shared" si="67"/>
        <v>#VALUE!</v>
      </c>
      <c r="L493" s="123">
        <f t="shared" si="64"/>
        <v>0</v>
      </c>
      <c r="M493" s="124" t="str">
        <f t="shared" si="65"/>
        <v/>
      </c>
      <c r="N493" s="112"/>
      <c r="O493" s="101"/>
      <c r="P493" s="101"/>
      <c r="Q493" s="101"/>
      <c r="R493" s="102"/>
      <c r="S493" s="102"/>
      <c r="T493" s="102"/>
      <c r="U493" s="103"/>
      <c r="V493" s="100"/>
      <c r="W493" s="101"/>
      <c r="X493" s="113"/>
      <c r="Y493" s="114"/>
      <c r="Z493" s="102"/>
      <c r="AA493" s="101"/>
      <c r="AB493" s="111"/>
      <c r="AE493" s="187"/>
      <c r="AF493" s="185"/>
      <c r="AG493" s="185" t="str">
        <f t="shared" si="68"/>
        <v/>
      </c>
      <c r="AH493" s="186" t="str">
        <f t="shared" si="69"/>
        <v/>
      </c>
      <c r="AI493" s="185"/>
      <c r="AJ493" s="188"/>
      <c r="CC493" s="562"/>
      <c r="CD493" s="425"/>
    </row>
    <row r="494" spans="2:82" ht="30" customHeight="1" x14ac:dyDescent="0.3">
      <c r="B494" s="562"/>
      <c r="C494" s="563"/>
      <c r="D494" s="425"/>
      <c r="E494" s="250" t="str">
        <f t="shared" si="63"/>
        <v/>
      </c>
      <c r="F494" s="556"/>
      <c r="G494" s="252" t="str">
        <f>IFERROR(VLOOKUP(F494,'Data (hidden)'!N:O,2,FALSE),"")</f>
        <v/>
      </c>
      <c r="H494" s="557"/>
      <c r="I494" s="558"/>
      <c r="J494" s="123">
        <f t="shared" si="66"/>
        <v>0</v>
      </c>
      <c r="K494" s="123" t="e">
        <f t="shared" si="67"/>
        <v>#VALUE!</v>
      </c>
      <c r="L494" s="123">
        <f t="shared" si="64"/>
        <v>0</v>
      </c>
      <c r="M494" s="124" t="str">
        <f t="shared" si="65"/>
        <v/>
      </c>
      <c r="N494" s="112"/>
      <c r="O494" s="101"/>
      <c r="P494" s="101"/>
      <c r="Q494" s="101"/>
      <c r="R494" s="102"/>
      <c r="S494" s="102"/>
      <c r="T494" s="102"/>
      <c r="U494" s="103"/>
      <c r="V494" s="100"/>
      <c r="W494" s="101"/>
      <c r="X494" s="113"/>
      <c r="Y494" s="114"/>
      <c r="Z494" s="102"/>
      <c r="AA494" s="101"/>
      <c r="AB494" s="111"/>
      <c r="AE494" s="187"/>
      <c r="AF494" s="185"/>
      <c r="AG494" s="185" t="str">
        <f t="shared" si="68"/>
        <v/>
      </c>
      <c r="AH494" s="186" t="str">
        <f t="shared" si="69"/>
        <v/>
      </c>
      <c r="AI494" s="185"/>
      <c r="AJ494" s="188"/>
      <c r="CC494" s="562"/>
      <c r="CD494" s="425"/>
    </row>
    <row r="495" spans="2:82" ht="30" customHeight="1" x14ac:dyDescent="0.3">
      <c r="B495" s="562"/>
      <c r="C495" s="563"/>
      <c r="D495" s="425"/>
      <c r="E495" s="250" t="str">
        <f t="shared" si="63"/>
        <v/>
      </c>
      <c r="F495" s="556"/>
      <c r="G495" s="252" t="str">
        <f>IFERROR(VLOOKUP(F495,'Data (hidden)'!N:O,2,FALSE),"")</f>
        <v/>
      </c>
      <c r="H495" s="557"/>
      <c r="I495" s="558"/>
      <c r="J495" s="123">
        <f t="shared" si="66"/>
        <v>0</v>
      </c>
      <c r="K495" s="123" t="e">
        <f t="shared" si="67"/>
        <v>#VALUE!</v>
      </c>
      <c r="L495" s="123">
        <f t="shared" si="64"/>
        <v>0</v>
      </c>
      <c r="M495" s="124" t="str">
        <f t="shared" si="65"/>
        <v/>
      </c>
      <c r="N495" s="112"/>
      <c r="O495" s="101"/>
      <c r="P495" s="101"/>
      <c r="Q495" s="101"/>
      <c r="R495" s="102"/>
      <c r="S495" s="102"/>
      <c r="T495" s="102"/>
      <c r="U495" s="103"/>
      <c r="V495" s="100"/>
      <c r="W495" s="101"/>
      <c r="X495" s="113"/>
      <c r="Y495" s="114"/>
      <c r="Z495" s="102"/>
      <c r="AA495" s="101"/>
      <c r="AB495" s="111"/>
      <c r="AE495" s="187"/>
      <c r="AF495" s="185"/>
      <c r="AG495" s="185" t="str">
        <f t="shared" si="68"/>
        <v/>
      </c>
      <c r="AH495" s="186" t="str">
        <f t="shared" si="69"/>
        <v/>
      </c>
      <c r="AI495" s="185"/>
      <c r="AJ495" s="188"/>
      <c r="CC495" s="562"/>
      <c r="CD495" s="425"/>
    </row>
    <row r="496" spans="2:82" ht="30" customHeight="1" x14ac:dyDescent="0.3">
      <c r="B496" s="562"/>
      <c r="C496" s="563"/>
      <c r="D496" s="425"/>
      <c r="E496" s="250" t="str">
        <f t="shared" si="63"/>
        <v/>
      </c>
      <c r="F496" s="556"/>
      <c r="G496" s="252" t="str">
        <f>IFERROR(VLOOKUP(F496,'Data (hidden)'!N:O,2,FALSE),"")</f>
        <v/>
      </c>
      <c r="H496" s="557"/>
      <c r="I496" s="558"/>
      <c r="J496" s="123">
        <f t="shared" si="66"/>
        <v>0</v>
      </c>
      <c r="K496" s="123" t="e">
        <f t="shared" si="67"/>
        <v>#VALUE!</v>
      </c>
      <c r="L496" s="123">
        <f t="shared" si="64"/>
        <v>0</v>
      </c>
      <c r="M496" s="124" t="str">
        <f t="shared" si="65"/>
        <v/>
      </c>
      <c r="N496" s="112"/>
      <c r="O496" s="101"/>
      <c r="P496" s="101"/>
      <c r="Q496" s="101"/>
      <c r="R496" s="102"/>
      <c r="S496" s="102"/>
      <c r="T496" s="102"/>
      <c r="U496" s="103"/>
      <c r="V496" s="100"/>
      <c r="W496" s="101"/>
      <c r="X496" s="113"/>
      <c r="Y496" s="114"/>
      <c r="Z496" s="102"/>
      <c r="AA496" s="101"/>
      <c r="AB496" s="111"/>
      <c r="AE496" s="187"/>
      <c r="AF496" s="185"/>
      <c r="AG496" s="185" t="str">
        <f t="shared" si="68"/>
        <v/>
      </c>
      <c r="AH496" s="186" t="str">
        <f t="shared" si="69"/>
        <v/>
      </c>
      <c r="AI496" s="185"/>
      <c r="AJ496" s="188"/>
      <c r="CC496" s="562"/>
      <c r="CD496" s="425"/>
    </row>
    <row r="497" spans="2:82" ht="30" customHeight="1" x14ac:dyDescent="0.3">
      <c r="B497" s="562"/>
      <c r="C497" s="563"/>
      <c r="D497" s="425"/>
      <c r="E497" s="250" t="str">
        <f t="shared" si="63"/>
        <v/>
      </c>
      <c r="F497" s="556"/>
      <c r="G497" s="252" t="str">
        <f>IFERROR(VLOOKUP(F497,'Data (hidden)'!N:O,2,FALSE),"")</f>
        <v/>
      </c>
      <c r="H497" s="557"/>
      <c r="I497" s="558"/>
      <c r="J497" s="123">
        <f t="shared" si="66"/>
        <v>0</v>
      </c>
      <c r="K497" s="123" t="e">
        <f t="shared" si="67"/>
        <v>#VALUE!</v>
      </c>
      <c r="L497" s="123">
        <f t="shared" si="64"/>
        <v>0</v>
      </c>
      <c r="M497" s="124" t="str">
        <f t="shared" si="65"/>
        <v/>
      </c>
      <c r="N497" s="112"/>
      <c r="O497" s="101"/>
      <c r="P497" s="101"/>
      <c r="Q497" s="101"/>
      <c r="R497" s="102"/>
      <c r="S497" s="102"/>
      <c r="T497" s="102"/>
      <c r="U497" s="103"/>
      <c r="V497" s="100"/>
      <c r="W497" s="101"/>
      <c r="X497" s="113"/>
      <c r="Y497" s="114"/>
      <c r="Z497" s="102"/>
      <c r="AA497" s="101"/>
      <c r="AB497" s="111"/>
      <c r="AE497" s="187"/>
      <c r="AF497" s="185"/>
      <c r="AG497" s="185" t="str">
        <f t="shared" si="68"/>
        <v/>
      </c>
      <c r="AH497" s="186" t="str">
        <f t="shared" si="69"/>
        <v/>
      </c>
      <c r="AI497" s="185"/>
      <c r="AJ497" s="188"/>
      <c r="CC497" s="562"/>
      <c r="CD497" s="425"/>
    </row>
    <row r="498" spans="2:82" ht="30" customHeight="1" x14ac:dyDescent="0.3">
      <c r="B498" s="562"/>
      <c r="C498" s="563"/>
      <c r="D498" s="425"/>
      <c r="E498" s="250" t="str">
        <f t="shared" si="63"/>
        <v/>
      </c>
      <c r="F498" s="556"/>
      <c r="G498" s="252" t="str">
        <f>IFERROR(VLOOKUP(F498,'Data (hidden)'!N:O,2,FALSE),"")</f>
        <v/>
      </c>
      <c r="H498" s="557"/>
      <c r="I498" s="558"/>
      <c r="J498" s="123">
        <f t="shared" si="66"/>
        <v>0</v>
      </c>
      <c r="K498" s="123" t="e">
        <f t="shared" si="67"/>
        <v>#VALUE!</v>
      </c>
      <c r="L498" s="123">
        <f t="shared" si="64"/>
        <v>0</v>
      </c>
      <c r="M498" s="124" t="str">
        <f t="shared" si="65"/>
        <v/>
      </c>
      <c r="N498" s="112"/>
      <c r="O498" s="101"/>
      <c r="P498" s="101"/>
      <c r="Q498" s="101"/>
      <c r="R498" s="102"/>
      <c r="S498" s="102"/>
      <c r="T498" s="102"/>
      <c r="U498" s="103"/>
      <c r="V498" s="100"/>
      <c r="W498" s="101"/>
      <c r="X498" s="113"/>
      <c r="Y498" s="114"/>
      <c r="Z498" s="102"/>
      <c r="AA498" s="101"/>
      <c r="AB498" s="111"/>
      <c r="AE498" s="187"/>
      <c r="AF498" s="185"/>
      <c r="AG498" s="185" t="str">
        <f t="shared" si="68"/>
        <v/>
      </c>
      <c r="AH498" s="186" t="str">
        <f t="shared" si="69"/>
        <v/>
      </c>
      <c r="AI498" s="185"/>
      <c r="AJ498" s="188"/>
      <c r="CC498" s="562"/>
      <c r="CD498" s="425"/>
    </row>
    <row r="499" spans="2:82" ht="30" customHeight="1" x14ac:dyDescent="0.3">
      <c r="B499" s="562"/>
      <c r="C499" s="563"/>
      <c r="D499" s="425"/>
      <c r="E499" s="250" t="str">
        <f t="shared" si="63"/>
        <v/>
      </c>
      <c r="F499" s="556"/>
      <c r="G499" s="252" t="str">
        <f>IFERROR(VLOOKUP(F499,'Data (hidden)'!N:O,2,FALSE),"")</f>
        <v/>
      </c>
      <c r="H499" s="557"/>
      <c r="I499" s="558"/>
      <c r="J499" s="123">
        <f t="shared" si="66"/>
        <v>0</v>
      </c>
      <c r="K499" s="123" t="e">
        <f t="shared" si="67"/>
        <v>#VALUE!</v>
      </c>
      <c r="L499" s="123">
        <f t="shared" si="64"/>
        <v>0</v>
      </c>
      <c r="M499" s="124" t="str">
        <f t="shared" si="65"/>
        <v/>
      </c>
      <c r="N499" s="112"/>
      <c r="O499" s="101"/>
      <c r="P499" s="101"/>
      <c r="Q499" s="101"/>
      <c r="R499" s="102"/>
      <c r="S499" s="102"/>
      <c r="T499" s="102"/>
      <c r="U499" s="103"/>
      <c r="V499" s="100"/>
      <c r="W499" s="101"/>
      <c r="X499" s="113"/>
      <c r="Y499" s="114"/>
      <c r="Z499" s="102"/>
      <c r="AA499" s="101"/>
      <c r="AB499" s="111"/>
      <c r="AE499" s="187"/>
      <c r="AF499" s="185"/>
      <c r="AG499" s="185" t="str">
        <f t="shared" si="68"/>
        <v/>
      </c>
      <c r="AH499" s="186" t="str">
        <f t="shared" si="69"/>
        <v/>
      </c>
      <c r="AI499" s="185"/>
      <c r="AJ499" s="188"/>
      <c r="CC499" s="562"/>
      <c r="CD499" s="425"/>
    </row>
    <row r="500" spans="2:82" ht="30" customHeight="1" x14ac:dyDescent="0.3">
      <c r="B500" s="562"/>
      <c r="C500" s="563"/>
      <c r="D500" s="425"/>
      <c r="E500" s="250" t="str">
        <f t="shared" ref="E500:E563" si="70">IF(SUM(C500-(C500*L500))=0,"",SUM(C500-(C500*L500)))</f>
        <v/>
      </c>
      <c r="F500" s="556"/>
      <c r="G500" s="252" t="str">
        <f>IFERROR(VLOOKUP(F500,'Data (hidden)'!N:O,2,FALSE),"")</f>
        <v/>
      </c>
      <c r="H500" s="557"/>
      <c r="I500" s="558"/>
      <c r="J500" s="123">
        <f t="shared" si="66"/>
        <v>0</v>
      </c>
      <c r="K500" s="123" t="e">
        <f t="shared" si="67"/>
        <v>#VALUE!</v>
      </c>
      <c r="L500" s="123">
        <f t="shared" si="64"/>
        <v>0</v>
      </c>
      <c r="M500" s="124" t="str">
        <f t="shared" si="65"/>
        <v/>
      </c>
      <c r="N500" s="112"/>
      <c r="O500" s="101"/>
      <c r="P500" s="101"/>
      <c r="Q500" s="101"/>
      <c r="R500" s="102"/>
      <c r="S500" s="102"/>
      <c r="T500" s="102"/>
      <c r="U500" s="103"/>
      <c r="V500" s="100"/>
      <c r="W500" s="101"/>
      <c r="X500" s="113"/>
      <c r="Y500" s="114"/>
      <c r="Z500" s="102"/>
      <c r="AA500" s="101"/>
      <c r="AB500" s="111"/>
      <c r="AE500" s="187"/>
      <c r="AF500" s="185"/>
      <c r="AG500" s="185" t="str">
        <f t="shared" si="68"/>
        <v/>
      </c>
      <c r="AH500" s="186" t="str">
        <f t="shared" si="69"/>
        <v/>
      </c>
      <c r="AI500" s="185"/>
      <c r="AJ500" s="188"/>
      <c r="CC500" s="562"/>
      <c r="CD500" s="425"/>
    </row>
    <row r="501" spans="2:82" ht="30" customHeight="1" x14ac:dyDescent="0.3">
      <c r="B501" s="562"/>
      <c r="C501" s="563"/>
      <c r="D501" s="425"/>
      <c r="E501" s="250" t="str">
        <f t="shared" si="70"/>
        <v/>
      </c>
      <c r="F501" s="556"/>
      <c r="G501" s="252" t="str">
        <f>IFERROR(VLOOKUP(F501,'Data (hidden)'!N:O,2,FALSE),"")</f>
        <v/>
      </c>
      <c r="H501" s="557"/>
      <c r="I501" s="558"/>
      <c r="J501" s="123">
        <f t="shared" si="66"/>
        <v>0</v>
      </c>
      <c r="K501" s="123" t="e">
        <f t="shared" si="67"/>
        <v>#VALUE!</v>
      </c>
      <c r="L501" s="123">
        <f t="shared" si="64"/>
        <v>0</v>
      </c>
      <c r="M501" s="124" t="str">
        <f t="shared" si="65"/>
        <v/>
      </c>
      <c r="N501" s="112"/>
      <c r="O501" s="101"/>
      <c r="P501" s="101"/>
      <c r="Q501" s="101"/>
      <c r="R501" s="102"/>
      <c r="S501" s="102"/>
      <c r="T501" s="102"/>
      <c r="U501" s="103"/>
      <c r="V501" s="100"/>
      <c r="W501" s="101"/>
      <c r="X501" s="113"/>
      <c r="Y501" s="114"/>
      <c r="Z501" s="102"/>
      <c r="AA501" s="101"/>
      <c r="AB501" s="111"/>
      <c r="AE501" s="187"/>
      <c r="AF501" s="185"/>
      <c r="AG501" s="185" t="str">
        <f t="shared" si="68"/>
        <v/>
      </c>
      <c r="AH501" s="186" t="str">
        <f t="shared" si="69"/>
        <v/>
      </c>
      <c r="AI501" s="185"/>
      <c r="AJ501" s="188"/>
      <c r="CC501" s="562"/>
      <c r="CD501" s="425"/>
    </row>
    <row r="502" spans="2:82" ht="30" customHeight="1" x14ac:dyDescent="0.3">
      <c r="B502" s="562"/>
      <c r="C502" s="563"/>
      <c r="D502" s="425"/>
      <c r="E502" s="250" t="str">
        <f t="shared" si="70"/>
        <v/>
      </c>
      <c r="F502" s="556"/>
      <c r="G502" s="252" t="str">
        <f>IFERROR(VLOOKUP(F502,'Data (hidden)'!N:O,2,FALSE),"")</f>
        <v/>
      </c>
      <c r="H502" s="557"/>
      <c r="I502" s="558"/>
      <c r="J502" s="123">
        <f t="shared" si="66"/>
        <v>0</v>
      </c>
      <c r="K502" s="123" t="e">
        <f t="shared" si="67"/>
        <v>#VALUE!</v>
      </c>
      <c r="L502" s="123">
        <f t="shared" si="64"/>
        <v>0</v>
      </c>
      <c r="M502" s="124" t="str">
        <f t="shared" si="65"/>
        <v/>
      </c>
      <c r="N502" s="112"/>
      <c r="O502" s="101"/>
      <c r="P502" s="101"/>
      <c r="Q502" s="101"/>
      <c r="R502" s="102"/>
      <c r="S502" s="102"/>
      <c r="T502" s="102"/>
      <c r="U502" s="103"/>
      <c r="V502" s="100"/>
      <c r="W502" s="101"/>
      <c r="X502" s="113"/>
      <c r="Y502" s="114"/>
      <c r="Z502" s="102"/>
      <c r="AA502" s="101"/>
      <c r="AB502" s="111"/>
      <c r="AE502" s="187"/>
      <c r="AF502" s="185"/>
      <c r="AG502" s="185" t="str">
        <f t="shared" si="68"/>
        <v/>
      </c>
      <c r="AH502" s="186" t="str">
        <f t="shared" si="69"/>
        <v/>
      </c>
      <c r="AI502" s="185"/>
      <c r="AJ502" s="188"/>
      <c r="CC502" s="562"/>
      <c r="CD502" s="425"/>
    </row>
    <row r="503" spans="2:82" ht="30" customHeight="1" x14ac:dyDescent="0.3">
      <c r="B503" s="562"/>
      <c r="C503" s="563"/>
      <c r="D503" s="425"/>
      <c r="E503" s="250" t="str">
        <f t="shared" si="70"/>
        <v/>
      </c>
      <c r="F503" s="556"/>
      <c r="G503" s="252" t="str">
        <f>IFERROR(VLOOKUP(F503,'Data (hidden)'!N:O,2,FALSE),"")</f>
        <v/>
      </c>
      <c r="H503" s="557"/>
      <c r="I503" s="558"/>
      <c r="J503" s="123">
        <f t="shared" si="66"/>
        <v>0</v>
      </c>
      <c r="K503" s="123" t="e">
        <f t="shared" si="67"/>
        <v>#VALUE!</v>
      </c>
      <c r="L503" s="123">
        <f t="shared" si="64"/>
        <v>0</v>
      </c>
      <c r="M503" s="124" t="str">
        <f t="shared" si="65"/>
        <v/>
      </c>
      <c r="N503" s="112"/>
      <c r="O503" s="101"/>
      <c r="P503" s="101"/>
      <c r="Q503" s="101"/>
      <c r="R503" s="102"/>
      <c r="S503" s="102"/>
      <c r="T503" s="102"/>
      <c r="U503" s="103"/>
      <c r="V503" s="100"/>
      <c r="W503" s="101"/>
      <c r="X503" s="113"/>
      <c r="Y503" s="114"/>
      <c r="Z503" s="102"/>
      <c r="AA503" s="101"/>
      <c r="AB503" s="111"/>
      <c r="AE503" s="187"/>
      <c r="AF503" s="185"/>
      <c r="AG503" s="185" t="str">
        <f t="shared" si="68"/>
        <v/>
      </c>
      <c r="AH503" s="186" t="str">
        <f t="shared" si="69"/>
        <v/>
      </c>
      <c r="AI503" s="185"/>
      <c r="AJ503" s="188"/>
      <c r="CC503" s="562"/>
      <c r="CD503" s="425"/>
    </row>
    <row r="504" spans="2:82" ht="30" customHeight="1" x14ac:dyDescent="0.3">
      <c r="B504" s="562"/>
      <c r="C504" s="563"/>
      <c r="D504" s="425"/>
      <c r="E504" s="250" t="str">
        <f t="shared" si="70"/>
        <v/>
      </c>
      <c r="F504" s="556"/>
      <c r="G504" s="252" t="str">
        <f>IFERROR(VLOOKUP(F504,'Data (hidden)'!N:O,2,FALSE),"")</f>
        <v/>
      </c>
      <c r="H504" s="557"/>
      <c r="I504" s="558"/>
      <c r="J504" s="123">
        <f t="shared" si="66"/>
        <v>0</v>
      </c>
      <c r="K504" s="123" t="e">
        <f t="shared" si="67"/>
        <v>#VALUE!</v>
      </c>
      <c r="L504" s="123">
        <f t="shared" si="64"/>
        <v>0</v>
      </c>
      <c r="M504" s="124" t="str">
        <f t="shared" si="65"/>
        <v/>
      </c>
      <c r="N504" s="112"/>
      <c r="O504" s="101"/>
      <c r="P504" s="101"/>
      <c r="Q504" s="101"/>
      <c r="R504" s="102"/>
      <c r="S504" s="102"/>
      <c r="T504" s="102"/>
      <c r="U504" s="103"/>
      <c r="V504" s="100"/>
      <c r="W504" s="101"/>
      <c r="X504" s="113"/>
      <c r="Y504" s="114"/>
      <c r="Z504" s="102"/>
      <c r="AA504" s="101"/>
      <c r="AB504" s="111"/>
      <c r="AE504" s="187"/>
      <c r="AF504" s="185"/>
      <c r="AG504" s="185" t="str">
        <f t="shared" si="68"/>
        <v/>
      </c>
      <c r="AH504" s="186" t="str">
        <f t="shared" si="69"/>
        <v/>
      </c>
      <c r="AI504" s="185"/>
      <c r="AJ504" s="188"/>
      <c r="CC504" s="562"/>
      <c r="CD504" s="425"/>
    </row>
    <row r="505" spans="2:82" ht="30" customHeight="1" x14ac:dyDescent="0.3">
      <c r="B505" s="562"/>
      <c r="C505" s="563"/>
      <c r="D505" s="425"/>
      <c r="E505" s="250" t="str">
        <f t="shared" si="70"/>
        <v/>
      </c>
      <c r="F505" s="556"/>
      <c r="G505" s="252" t="str">
        <f>IFERROR(VLOOKUP(F505,'Data (hidden)'!N:O,2,FALSE),"")</f>
        <v/>
      </c>
      <c r="H505" s="557"/>
      <c r="I505" s="558"/>
      <c r="J505" s="123">
        <f t="shared" si="66"/>
        <v>0</v>
      </c>
      <c r="K505" s="123" t="e">
        <f t="shared" si="67"/>
        <v>#VALUE!</v>
      </c>
      <c r="L505" s="123">
        <f t="shared" si="64"/>
        <v>0</v>
      </c>
      <c r="M505" s="124" t="str">
        <f t="shared" si="65"/>
        <v/>
      </c>
      <c r="N505" s="112"/>
      <c r="O505" s="101"/>
      <c r="P505" s="101"/>
      <c r="Q505" s="101"/>
      <c r="R505" s="102"/>
      <c r="S505" s="102"/>
      <c r="T505" s="102"/>
      <c r="U505" s="103"/>
      <c r="V505" s="100"/>
      <c r="W505" s="101"/>
      <c r="X505" s="113"/>
      <c r="Y505" s="114"/>
      <c r="Z505" s="102"/>
      <c r="AA505" s="101"/>
      <c r="AB505" s="111"/>
      <c r="AE505" s="187"/>
      <c r="AF505" s="185"/>
      <c r="AG505" s="185" t="str">
        <f t="shared" si="68"/>
        <v/>
      </c>
      <c r="AH505" s="186" t="str">
        <f t="shared" si="69"/>
        <v/>
      </c>
      <c r="AI505" s="185"/>
      <c r="AJ505" s="188"/>
      <c r="CC505" s="562"/>
      <c r="CD505" s="425"/>
    </row>
    <row r="506" spans="2:82" ht="30" customHeight="1" x14ac:dyDescent="0.3">
      <c r="B506" s="562"/>
      <c r="C506" s="563"/>
      <c r="D506" s="425"/>
      <c r="E506" s="250" t="str">
        <f t="shared" si="70"/>
        <v/>
      </c>
      <c r="F506" s="556"/>
      <c r="G506" s="252" t="str">
        <f>IFERROR(VLOOKUP(F506,'Data (hidden)'!N:O,2,FALSE),"")</f>
        <v/>
      </c>
      <c r="H506" s="557"/>
      <c r="I506" s="558"/>
      <c r="J506" s="123">
        <f t="shared" si="66"/>
        <v>0</v>
      </c>
      <c r="K506" s="123" t="e">
        <f t="shared" si="67"/>
        <v>#VALUE!</v>
      </c>
      <c r="L506" s="123">
        <f t="shared" si="64"/>
        <v>0</v>
      </c>
      <c r="M506" s="124" t="str">
        <f t="shared" si="65"/>
        <v/>
      </c>
      <c r="N506" s="112"/>
      <c r="O506" s="101"/>
      <c r="P506" s="101"/>
      <c r="Q506" s="101"/>
      <c r="R506" s="102"/>
      <c r="S506" s="102"/>
      <c r="T506" s="102"/>
      <c r="U506" s="103"/>
      <c r="V506" s="100"/>
      <c r="W506" s="101"/>
      <c r="X506" s="113"/>
      <c r="Y506" s="114"/>
      <c r="Z506" s="102"/>
      <c r="AA506" s="101"/>
      <c r="AB506" s="111"/>
      <c r="AE506" s="187"/>
      <c r="AF506" s="185"/>
      <c r="AG506" s="185" t="str">
        <f t="shared" si="68"/>
        <v/>
      </c>
      <c r="AH506" s="186" t="str">
        <f t="shared" si="69"/>
        <v/>
      </c>
      <c r="AI506" s="185"/>
      <c r="AJ506" s="188"/>
      <c r="CC506" s="562"/>
      <c r="CD506" s="425"/>
    </row>
    <row r="507" spans="2:82" ht="30" customHeight="1" x14ac:dyDescent="0.3">
      <c r="B507" s="562"/>
      <c r="C507" s="563"/>
      <c r="D507" s="425"/>
      <c r="E507" s="250" t="str">
        <f t="shared" si="70"/>
        <v/>
      </c>
      <c r="F507" s="556"/>
      <c r="G507" s="252" t="str">
        <f>IFERROR(VLOOKUP(F507,'Data (hidden)'!N:O,2,FALSE),"")</f>
        <v/>
      </c>
      <c r="H507" s="557"/>
      <c r="I507" s="558"/>
      <c r="J507" s="123">
        <f t="shared" si="66"/>
        <v>0</v>
      </c>
      <c r="K507" s="123" t="e">
        <f t="shared" si="67"/>
        <v>#VALUE!</v>
      </c>
      <c r="L507" s="123">
        <f t="shared" si="64"/>
        <v>0</v>
      </c>
      <c r="M507" s="124" t="str">
        <f t="shared" si="65"/>
        <v/>
      </c>
      <c r="N507" s="112"/>
      <c r="O507" s="101"/>
      <c r="P507" s="101"/>
      <c r="Q507" s="101"/>
      <c r="R507" s="102"/>
      <c r="S507" s="102"/>
      <c r="T507" s="102"/>
      <c r="U507" s="103"/>
      <c r="V507" s="100"/>
      <c r="W507" s="101"/>
      <c r="X507" s="113"/>
      <c r="Y507" s="114"/>
      <c r="Z507" s="102"/>
      <c r="AA507" s="101"/>
      <c r="AB507" s="111"/>
      <c r="AE507" s="187"/>
      <c r="AF507" s="185"/>
      <c r="AG507" s="185" t="str">
        <f t="shared" si="68"/>
        <v/>
      </c>
      <c r="AH507" s="186" t="str">
        <f t="shared" si="69"/>
        <v/>
      </c>
      <c r="AI507" s="185"/>
      <c r="AJ507" s="188"/>
      <c r="CC507" s="562"/>
      <c r="CD507" s="425"/>
    </row>
    <row r="508" spans="2:82" ht="30" customHeight="1" x14ac:dyDescent="0.3">
      <c r="B508" s="562"/>
      <c r="C508" s="563"/>
      <c r="D508" s="425"/>
      <c r="E508" s="250" t="str">
        <f t="shared" si="70"/>
        <v/>
      </c>
      <c r="F508" s="556"/>
      <c r="G508" s="252" t="str">
        <f>IFERROR(VLOOKUP(F508,'Data (hidden)'!N:O,2,FALSE),"")</f>
        <v/>
      </c>
      <c r="H508" s="557"/>
      <c r="I508" s="558"/>
      <c r="J508" s="123">
        <f t="shared" si="66"/>
        <v>0</v>
      </c>
      <c r="K508" s="123" t="e">
        <f t="shared" si="67"/>
        <v>#VALUE!</v>
      </c>
      <c r="L508" s="123">
        <f t="shared" si="64"/>
        <v>0</v>
      </c>
      <c r="M508" s="124" t="str">
        <f t="shared" si="65"/>
        <v/>
      </c>
      <c r="N508" s="112"/>
      <c r="O508" s="101"/>
      <c r="P508" s="101"/>
      <c r="Q508" s="101"/>
      <c r="R508" s="102"/>
      <c r="S508" s="102"/>
      <c r="T508" s="102"/>
      <c r="U508" s="103"/>
      <c r="V508" s="100"/>
      <c r="W508" s="101"/>
      <c r="X508" s="113"/>
      <c r="Y508" s="114"/>
      <c r="Z508" s="102"/>
      <c r="AA508" s="101"/>
      <c r="AB508" s="111"/>
      <c r="AE508" s="187"/>
      <c r="AF508" s="185"/>
      <c r="AG508" s="185" t="str">
        <f t="shared" si="68"/>
        <v/>
      </c>
      <c r="AH508" s="186" t="str">
        <f t="shared" si="69"/>
        <v/>
      </c>
      <c r="AI508" s="185"/>
      <c r="AJ508" s="188"/>
      <c r="CC508" s="562"/>
      <c r="CD508" s="425"/>
    </row>
    <row r="509" spans="2:82" ht="30" customHeight="1" x14ac:dyDescent="0.3">
      <c r="B509" s="562"/>
      <c r="C509" s="563"/>
      <c r="D509" s="425"/>
      <c r="E509" s="250" t="str">
        <f t="shared" si="70"/>
        <v/>
      </c>
      <c r="F509" s="556"/>
      <c r="G509" s="252" t="str">
        <f>IFERROR(VLOOKUP(F509,'Data (hidden)'!N:O,2,FALSE),"")</f>
        <v/>
      </c>
      <c r="H509" s="557"/>
      <c r="I509" s="558"/>
      <c r="J509" s="123">
        <f t="shared" si="66"/>
        <v>0</v>
      </c>
      <c r="K509" s="123" t="e">
        <f t="shared" si="67"/>
        <v>#VALUE!</v>
      </c>
      <c r="L509" s="123">
        <f t="shared" si="64"/>
        <v>0</v>
      </c>
      <c r="M509" s="124" t="str">
        <f t="shared" si="65"/>
        <v/>
      </c>
      <c r="N509" s="112"/>
      <c r="O509" s="101"/>
      <c r="P509" s="101"/>
      <c r="Q509" s="101"/>
      <c r="R509" s="102"/>
      <c r="S509" s="102"/>
      <c r="T509" s="102"/>
      <c r="U509" s="103"/>
      <c r="V509" s="100"/>
      <c r="W509" s="101"/>
      <c r="X509" s="113"/>
      <c r="Y509" s="114"/>
      <c r="Z509" s="102"/>
      <c r="AA509" s="101"/>
      <c r="AB509" s="111"/>
      <c r="AE509" s="187"/>
      <c r="AF509" s="185"/>
      <c r="AG509" s="185" t="str">
        <f t="shared" si="68"/>
        <v/>
      </c>
      <c r="AH509" s="186" t="str">
        <f t="shared" si="69"/>
        <v/>
      </c>
      <c r="AI509" s="185"/>
      <c r="AJ509" s="188"/>
      <c r="CC509" s="562"/>
      <c r="CD509" s="425"/>
    </row>
    <row r="510" spans="2:82" ht="30" customHeight="1" x14ac:dyDescent="0.3">
      <c r="B510" s="562"/>
      <c r="C510" s="563"/>
      <c r="D510" s="425"/>
      <c r="E510" s="250" t="str">
        <f t="shared" si="70"/>
        <v/>
      </c>
      <c r="F510" s="556"/>
      <c r="G510" s="252" t="str">
        <f>IFERROR(VLOOKUP(F510,'Data (hidden)'!N:O,2,FALSE),"")</f>
        <v/>
      </c>
      <c r="H510" s="557"/>
      <c r="I510" s="558"/>
      <c r="J510" s="123">
        <f t="shared" si="66"/>
        <v>0</v>
      </c>
      <c r="K510" s="123" t="e">
        <f t="shared" si="67"/>
        <v>#VALUE!</v>
      </c>
      <c r="L510" s="123">
        <f t="shared" si="64"/>
        <v>0</v>
      </c>
      <c r="M510" s="124" t="str">
        <f t="shared" si="65"/>
        <v/>
      </c>
      <c r="N510" s="112"/>
      <c r="O510" s="101"/>
      <c r="P510" s="101"/>
      <c r="Q510" s="101"/>
      <c r="R510" s="102"/>
      <c r="S510" s="102"/>
      <c r="T510" s="102"/>
      <c r="U510" s="103"/>
      <c r="V510" s="100"/>
      <c r="W510" s="101"/>
      <c r="X510" s="113"/>
      <c r="Y510" s="114"/>
      <c r="Z510" s="102"/>
      <c r="AA510" s="101"/>
      <c r="AB510" s="111"/>
      <c r="AE510" s="187"/>
      <c r="AF510" s="185"/>
      <c r="AG510" s="185" t="str">
        <f t="shared" si="68"/>
        <v/>
      </c>
      <c r="AH510" s="186" t="str">
        <f t="shared" si="69"/>
        <v/>
      </c>
      <c r="AI510" s="185"/>
      <c r="AJ510" s="188"/>
      <c r="CC510" s="562"/>
      <c r="CD510" s="425"/>
    </row>
    <row r="511" spans="2:82" ht="30" customHeight="1" x14ac:dyDescent="0.3">
      <c r="B511" s="562"/>
      <c r="C511" s="563"/>
      <c r="D511" s="425"/>
      <c r="E511" s="250" t="str">
        <f t="shared" si="70"/>
        <v/>
      </c>
      <c r="F511" s="556"/>
      <c r="G511" s="252" t="str">
        <f>IFERROR(VLOOKUP(F511,'Data (hidden)'!N:O,2,FALSE),"")</f>
        <v/>
      </c>
      <c r="H511" s="557"/>
      <c r="I511" s="558"/>
      <c r="J511" s="123">
        <f t="shared" si="66"/>
        <v>0</v>
      </c>
      <c r="K511" s="123" t="e">
        <f t="shared" si="67"/>
        <v>#VALUE!</v>
      </c>
      <c r="L511" s="123">
        <f t="shared" si="64"/>
        <v>0</v>
      </c>
      <c r="M511" s="124" t="str">
        <f t="shared" si="65"/>
        <v/>
      </c>
      <c r="N511" s="112"/>
      <c r="O511" s="101"/>
      <c r="P511" s="101"/>
      <c r="Q511" s="101"/>
      <c r="R511" s="102"/>
      <c r="S511" s="102"/>
      <c r="T511" s="102"/>
      <c r="U511" s="103"/>
      <c r="V511" s="100"/>
      <c r="W511" s="101"/>
      <c r="X511" s="113"/>
      <c r="Y511" s="114"/>
      <c r="Z511" s="102"/>
      <c r="AA511" s="101"/>
      <c r="AB511" s="111"/>
      <c r="AE511" s="187"/>
      <c r="AF511" s="185"/>
      <c r="AG511" s="185" t="str">
        <f t="shared" si="68"/>
        <v/>
      </c>
      <c r="AH511" s="186" t="str">
        <f t="shared" si="69"/>
        <v/>
      </c>
      <c r="AI511" s="185"/>
      <c r="AJ511" s="188"/>
      <c r="CC511" s="562"/>
      <c r="CD511" s="425"/>
    </row>
    <row r="512" spans="2:82" ht="30" customHeight="1" x14ac:dyDescent="0.3">
      <c r="B512" s="562"/>
      <c r="C512" s="563"/>
      <c r="D512" s="425"/>
      <c r="E512" s="250" t="str">
        <f t="shared" si="70"/>
        <v/>
      </c>
      <c r="F512" s="556"/>
      <c r="G512" s="252" t="str">
        <f>IFERROR(VLOOKUP(F512,'Data (hidden)'!N:O,2,FALSE),"")</f>
        <v/>
      </c>
      <c r="H512" s="557"/>
      <c r="I512" s="558"/>
      <c r="J512" s="123">
        <f t="shared" si="66"/>
        <v>0</v>
      </c>
      <c r="K512" s="123" t="e">
        <f t="shared" si="67"/>
        <v>#VALUE!</v>
      </c>
      <c r="L512" s="123">
        <f t="shared" si="64"/>
        <v>0</v>
      </c>
      <c r="M512" s="124" t="str">
        <f t="shared" si="65"/>
        <v/>
      </c>
      <c r="N512" s="112"/>
      <c r="O512" s="101"/>
      <c r="P512" s="101"/>
      <c r="Q512" s="101"/>
      <c r="R512" s="102"/>
      <c r="S512" s="102"/>
      <c r="T512" s="102"/>
      <c r="U512" s="103"/>
      <c r="V512" s="100"/>
      <c r="W512" s="101"/>
      <c r="X512" s="113"/>
      <c r="Y512" s="114"/>
      <c r="Z512" s="102"/>
      <c r="AA512" s="101"/>
      <c r="AB512" s="111"/>
      <c r="AE512" s="187"/>
      <c r="AF512" s="185"/>
      <c r="AG512" s="185" t="str">
        <f t="shared" si="68"/>
        <v/>
      </c>
      <c r="AH512" s="186" t="str">
        <f t="shared" si="69"/>
        <v/>
      </c>
      <c r="AI512" s="185"/>
      <c r="AJ512" s="188"/>
      <c r="CC512" s="562"/>
      <c r="CD512" s="425"/>
    </row>
    <row r="513" spans="2:82" ht="30" customHeight="1" x14ac:dyDescent="0.3">
      <c r="B513" s="562"/>
      <c r="C513" s="563"/>
      <c r="D513" s="425"/>
      <c r="E513" s="250" t="str">
        <f t="shared" si="70"/>
        <v/>
      </c>
      <c r="F513" s="556"/>
      <c r="G513" s="252" t="str">
        <f>IFERROR(VLOOKUP(F513,'Data (hidden)'!N:O,2,FALSE),"")</f>
        <v/>
      </c>
      <c r="H513" s="557"/>
      <c r="I513" s="558"/>
      <c r="J513" s="123">
        <f t="shared" si="66"/>
        <v>0</v>
      </c>
      <c r="K513" s="123" t="e">
        <f t="shared" si="67"/>
        <v>#VALUE!</v>
      </c>
      <c r="L513" s="123">
        <f t="shared" si="64"/>
        <v>0</v>
      </c>
      <c r="M513" s="124" t="str">
        <f t="shared" si="65"/>
        <v/>
      </c>
      <c r="N513" s="112"/>
      <c r="O513" s="101"/>
      <c r="P513" s="101"/>
      <c r="Q513" s="101"/>
      <c r="R513" s="102"/>
      <c r="S513" s="102"/>
      <c r="T513" s="102"/>
      <c r="U513" s="103"/>
      <c r="V513" s="100"/>
      <c r="W513" s="101"/>
      <c r="X513" s="113"/>
      <c r="Y513" s="114"/>
      <c r="Z513" s="102"/>
      <c r="AA513" s="101"/>
      <c r="AB513" s="111"/>
      <c r="AE513" s="187"/>
      <c r="AF513" s="185"/>
      <c r="AG513" s="185" t="str">
        <f t="shared" si="68"/>
        <v/>
      </c>
      <c r="AH513" s="186" t="str">
        <f t="shared" si="69"/>
        <v/>
      </c>
      <c r="AI513" s="185"/>
      <c r="AJ513" s="188"/>
      <c r="CC513" s="562"/>
      <c r="CD513" s="425"/>
    </row>
    <row r="514" spans="2:82" ht="30" customHeight="1" x14ac:dyDescent="0.3">
      <c r="B514" s="562"/>
      <c r="C514" s="563"/>
      <c r="D514" s="425"/>
      <c r="E514" s="250" t="str">
        <f t="shared" si="70"/>
        <v/>
      </c>
      <c r="F514" s="556"/>
      <c r="G514" s="252" t="str">
        <f>IFERROR(VLOOKUP(F514,'Data (hidden)'!N:O,2,FALSE),"")</f>
        <v/>
      </c>
      <c r="H514" s="557"/>
      <c r="I514" s="558"/>
      <c r="J514" s="123">
        <f t="shared" si="66"/>
        <v>0</v>
      </c>
      <c r="K514" s="123" t="e">
        <f t="shared" si="67"/>
        <v>#VALUE!</v>
      </c>
      <c r="L514" s="123">
        <f t="shared" si="64"/>
        <v>0</v>
      </c>
      <c r="M514" s="124" t="str">
        <f t="shared" si="65"/>
        <v/>
      </c>
      <c r="N514" s="112"/>
      <c r="O514" s="101"/>
      <c r="P514" s="101"/>
      <c r="Q514" s="101"/>
      <c r="R514" s="102"/>
      <c r="S514" s="102"/>
      <c r="T514" s="102"/>
      <c r="U514" s="103"/>
      <c r="V514" s="100"/>
      <c r="W514" s="101"/>
      <c r="X514" s="113"/>
      <c r="Y514" s="114"/>
      <c r="Z514" s="102"/>
      <c r="AA514" s="101"/>
      <c r="AB514" s="111"/>
      <c r="AE514" s="187"/>
      <c r="AF514" s="185"/>
      <c r="AG514" s="185" t="str">
        <f t="shared" si="68"/>
        <v/>
      </c>
      <c r="AH514" s="186" t="str">
        <f t="shared" si="69"/>
        <v/>
      </c>
      <c r="AI514" s="185"/>
      <c r="AJ514" s="188"/>
      <c r="CC514" s="562"/>
      <c r="CD514" s="425"/>
    </row>
    <row r="515" spans="2:82" ht="30" customHeight="1" x14ac:dyDescent="0.3">
      <c r="B515" s="562"/>
      <c r="C515" s="563"/>
      <c r="D515" s="425"/>
      <c r="E515" s="250" t="str">
        <f t="shared" si="70"/>
        <v/>
      </c>
      <c r="F515" s="556"/>
      <c r="G515" s="252" t="str">
        <f>IFERROR(VLOOKUP(F515,'Data (hidden)'!N:O,2,FALSE),"")</f>
        <v/>
      </c>
      <c r="H515" s="557"/>
      <c r="I515" s="558"/>
      <c r="J515" s="123">
        <f t="shared" si="66"/>
        <v>0</v>
      </c>
      <c r="K515" s="123" t="e">
        <f t="shared" si="67"/>
        <v>#VALUE!</v>
      </c>
      <c r="L515" s="123">
        <f t="shared" si="64"/>
        <v>0</v>
      </c>
      <c r="M515" s="124" t="str">
        <f t="shared" si="65"/>
        <v/>
      </c>
      <c r="N515" s="112"/>
      <c r="O515" s="101"/>
      <c r="P515" s="101"/>
      <c r="Q515" s="101"/>
      <c r="R515" s="102"/>
      <c r="S515" s="102"/>
      <c r="T515" s="102"/>
      <c r="U515" s="103"/>
      <c r="V515" s="100"/>
      <c r="W515" s="101"/>
      <c r="X515" s="113"/>
      <c r="Y515" s="114"/>
      <c r="Z515" s="102"/>
      <c r="AA515" s="101"/>
      <c r="AB515" s="111"/>
      <c r="AE515" s="187"/>
      <c r="AF515" s="185"/>
      <c r="AG515" s="185" t="str">
        <f t="shared" si="68"/>
        <v/>
      </c>
      <c r="AH515" s="186" t="str">
        <f t="shared" si="69"/>
        <v/>
      </c>
      <c r="AI515" s="185"/>
      <c r="AJ515" s="188"/>
      <c r="CC515" s="562"/>
      <c r="CD515" s="425"/>
    </row>
    <row r="516" spans="2:82" ht="30" customHeight="1" x14ac:dyDescent="0.3">
      <c r="B516" s="562"/>
      <c r="C516" s="563"/>
      <c r="D516" s="425"/>
      <c r="E516" s="250" t="str">
        <f t="shared" si="70"/>
        <v/>
      </c>
      <c r="F516" s="556"/>
      <c r="G516" s="252" t="str">
        <f>IFERROR(VLOOKUP(F516,'Data (hidden)'!N:O,2,FALSE),"")</f>
        <v/>
      </c>
      <c r="H516" s="557"/>
      <c r="I516" s="558"/>
      <c r="J516" s="123">
        <f t="shared" si="66"/>
        <v>0</v>
      </c>
      <c r="K516" s="123" t="e">
        <f t="shared" si="67"/>
        <v>#VALUE!</v>
      </c>
      <c r="L516" s="123">
        <f t="shared" si="64"/>
        <v>0</v>
      </c>
      <c r="M516" s="124" t="str">
        <f t="shared" si="65"/>
        <v/>
      </c>
      <c r="N516" s="112"/>
      <c r="O516" s="101"/>
      <c r="P516" s="101"/>
      <c r="Q516" s="101"/>
      <c r="R516" s="102"/>
      <c r="S516" s="102"/>
      <c r="T516" s="102"/>
      <c r="U516" s="103"/>
      <c r="V516" s="100"/>
      <c r="W516" s="101"/>
      <c r="X516" s="113"/>
      <c r="Y516" s="114"/>
      <c r="Z516" s="102"/>
      <c r="AA516" s="101"/>
      <c r="AB516" s="111"/>
      <c r="AE516" s="187"/>
      <c r="AF516" s="185"/>
      <c r="AG516" s="185" t="str">
        <f t="shared" si="68"/>
        <v/>
      </c>
      <c r="AH516" s="186" t="str">
        <f t="shared" si="69"/>
        <v/>
      </c>
      <c r="AI516" s="185"/>
      <c r="AJ516" s="188"/>
      <c r="CC516" s="562"/>
      <c r="CD516" s="425"/>
    </row>
    <row r="517" spans="2:82" ht="30" customHeight="1" x14ac:dyDescent="0.3">
      <c r="B517" s="562"/>
      <c r="C517" s="563"/>
      <c r="D517" s="425"/>
      <c r="E517" s="250" t="str">
        <f t="shared" si="70"/>
        <v/>
      </c>
      <c r="F517" s="556"/>
      <c r="G517" s="252" t="str">
        <f>IFERROR(VLOOKUP(F517,'Data (hidden)'!N:O,2,FALSE),"")</f>
        <v/>
      </c>
      <c r="H517" s="557"/>
      <c r="I517" s="558"/>
      <c r="J517" s="123">
        <f t="shared" si="66"/>
        <v>0</v>
      </c>
      <c r="K517" s="123" t="e">
        <f t="shared" si="67"/>
        <v>#VALUE!</v>
      </c>
      <c r="L517" s="123">
        <f t="shared" si="64"/>
        <v>0</v>
      </c>
      <c r="M517" s="124" t="str">
        <f t="shared" si="65"/>
        <v/>
      </c>
      <c r="N517" s="112"/>
      <c r="O517" s="101"/>
      <c r="P517" s="101"/>
      <c r="Q517" s="101"/>
      <c r="R517" s="102"/>
      <c r="S517" s="102"/>
      <c r="T517" s="102"/>
      <c r="U517" s="103"/>
      <c r="V517" s="100"/>
      <c r="W517" s="101"/>
      <c r="X517" s="113"/>
      <c r="Y517" s="114"/>
      <c r="Z517" s="102"/>
      <c r="AA517" s="101"/>
      <c r="AB517" s="111"/>
      <c r="AE517" s="187"/>
      <c r="AF517" s="185"/>
      <c r="AG517" s="185" t="str">
        <f t="shared" si="68"/>
        <v/>
      </c>
      <c r="AH517" s="186" t="str">
        <f t="shared" si="69"/>
        <v/>
      </c>
      <c r="AI517" s="185"/>
      <c r="AJ517" s="188"/>
      <c r="CC517" s="562"/>
      <c r="CD517" s="425"/>
    </row>
    <row r="518" spans="2:82" ht="30" customHeight="1" x14ac:dyDescent="0.3">
      <c r="B518" s="562"/>
      <c r="C518" s="563"/>
      <c r="D518" s="425"/>
      <c r="E518" s="250" t="str">
        <f t="shared" si="70"/>
        <v/>
      </c>
      <c r="F518" s="556"/>
      <c r="G518" s="252" t="str">
        <f>IFERROR(VLOOKUP(F518,'Data (hidden)'!N:O,2,FALSE),"")</f>
        <v/>
      </c>
      <c r="H518" s="557"/>
      <c r="I518" s="558"/>
      <c r="J518" s="123">
        <f t="shared" si="66"/>
        <v>0</v>
      </c>
      <c r="K518" s="123" t="e">
        <f t="shared" si="67"/>
        <v>#VALUE!</v>
      </c>
      <c r="L518" s="123">
        <f t="shared" si="64"/>
        <v>0</v>
      </c>
      <c r="M518" s="124" t="str">
        <f t="shared" si="65"/>
        <v/>
      </c>
      <c r="N518" s="112"/>
      <c r="O518" s="101"/>
      <c r="P518" s="101"/>
      <c r="Q518" s="101"/>
      <c r="R518" s="102"/>
      <c r="S518" s="102"/>
      <c r="T518" s="102"/>
      <c r="U518" s="103"/>
      <c r="V518" s="100"/>
      <c r="W518" s="101"/>
      <c r="X518" s="113"/>
      <c r="Y518" s="114"/>
      <c r="Z518" s="102"/>
      <c r="AA518" s="101"/>
      <c r="AB518" s="111"/>
      <c r="AE518" s="187"/>
      <c r="AF518" s="185"/>
      <c r="AG518" s="185" t="str">
        <f t="shared" si="68"/>
        <v/>
      </c>
      <c r="AH518" s="186" t="str">
        <f t="shared" si="69"/>
        <v/>
      </c>
      <c r="AI518" s="185"/>
      <c r="AJ518" s="188"/>
      <c r="CC518" s="562"/>
      <c r="CD518" s="425"/>
    </row>
    <row r="519" spans="2:82" ht="30" customHeight="1" x14ac:dyDescent="0.3">
      <c r="B519" s="562"/>
      <c r="C519" s="563"/>
      <c r="D519" s="425"/>
      <c r="E519" s="250" t="str">
        <f t="shared" si="70"/>
        <v/>
      </c>
      <c r="F519" s="556"/>
      <c r="G519" s="252" t="str">
        <f>IFERROR(VLOOKUP(F519,'Data (hidden)'!N:O,2,FALSE),"")</f>
        <v/>
      </c>
      <c r="H519" s="557"/>
      <c r="I519" s="558"/>
      <c r="J519" s="123">
        <f t="shared" si="66"/>
        <v>0</v>
      </c>
      <c r="K519" s="123" t="e">
        <f t="shared" si="67"/>
        <v>#VALUE!</v>
      </c>
      <c r="L519" s="123">
        <f t="shared" si="64"/>
        <v>0</v>
      </c>
      <c r="M519" s="124" t="str">
        <f t="shared" si="65"/>
        <v/>
      </c>
      <c r="N519" s="112"/>
      <c r="O519" s="101"/>
      <c r="P519" s="101"/>
      <c r="Q519" s="101"/>
      <c r="R519" s="102"/>
      <c r="S519" s="102"/>
      <c r="T519" s="102"/>
      <c r="U519" s="103"/>
      <c r="V519" s="100"/>
      <c r="W519" s="101"/>
      <c r="X519" s="113"/>
      <c r="Y519" s="114"/>
      <c r="Z519" s="102"/>
      <c r="AA519" s="101"/>
      <c r="AB519" s="111"/>
      <c r="AE519" s="187"/>
      <c r="AF519" s="185"/>
      <c r="AG519" s="185" t="str">
        <f t="shared" si="68"/>
        <v/>
      </c>
      <c r="AH519" s="186" t="str">
        <f t="shared" si="69"/>
        <v/>
      </c>
      <c r="AI519" s="185"/>
      <c r="AJ519" s="188"/>
      <c r="CC519" s="562"/>
      <c r="CD519" s="425"/>
    </row>
    <row r="520" spans="2:82" ht="30" customHeight="1" x14ac:dyDescent="0.3">
      <c r="B520" s="562"/>
      <c r="C520" s="563"/>
      <c r="D520" s="425"/>
      <c r="E520" s="250" t="str">
        <f t="shared" si="70"/>
        <v/>
      </c>
      <c r="F520" s="556"/>
      <c r="G520" s="252" t="str">
        <f>IFERROR(VLOOKUP(F520,'Data (hidden)'!N:O,2,FALSE),"")</f>
        <v/>
      </c>
      <c r="H520" s="557"/>
      <c r="I520" s="558"/>
      <c r="J520" s="123">
        <f t="shared" si="66"/>
        <v>0</v>
      </c>
      <c r="K520" s="123" t="e">
        <f t="shared" si="67"/>
        <v>#VALUE!</v>
      </c>
      <c r="L520" s="123">
        <f t="shared" si="64"/>
        <v>0</v>
      </c>
      <c r="M520" s="124" t="str">
        <f t="shared" si="65"/>
        <v/>
      </c>
      <c r="N520" s="112"/>
      <c r="O520" s="101"/>
      <c r="P520" s="101"/>
      <c r="Q520" s="101"/>
      <c r="R520" s="102"/>
      <c r="S520" s="102"/>
      <c r="T520" s="102"/>
      <c r="U520" s="103"/>
      <c r="V520" s="100"/>
      <c r="W520" s="101"/>
      <c r="X520" s="113"/>
      <c r="Y520" s="114"/>
      <c r="Z520" s="102"/>
      <c r="AA520" s="101"/>
      <c r="AB520" s="111"/>
      <c r="AE520" s="187"/>
      <c r="AF520" s="185"/>
      <c r="AG520" s="185" t="str">
        <f t="shared" si="68"/>
        <v/>
      </c>
      <c r="AH520" s="186" t="str">
        <f t="shared" si="69"/>
        <v/>
      </c>
      <c r="AI520" s="185"/>
      <c r="AJ520" s="188"/>
      <c r="CC520" s="562"/>
      <c r="CD520" s="425"/>
    </row>
    <row r="521" spans="2:82" ht="30" customHeight="1" x14ac:dyDescent="0.3">
      <c r="B521" s="562"/>
      <c r="C521" s="563"/>
      <c r="D521" s="425"/>
      <c r="E521" s="250" t="str">
        <f t="shared" si="70"/>
        <v/>
      </c>
      <c r="F521" s="556"/>
      <c r="G521" s="252" t="str">
        <f>IFERROR(VLOOKUP(F521,'Data (hidden)'!N:O,2,FALSE),"")</f>
        <v/>
      </c>
      <c r="H521" s="557"/>
      <c r="I521" s="558"/>
      <c r="J521" s="123">
        <f t="shared" si="66"/>
        <v>0</v>
      </c>
      <c r="K521" s="123" t="e">
        <f t="shared" si="67"/>
        <v>#VALUE!</v>
      </c>
      <c r="L521" s="123">
        <f t="shared" si="64"/>
        <v>0</v>
      </c>
      <c r="M521" s="124" t="str">
        <f t="shared" si="65"/>
        <v/>
      </c>
      <c r="N521" s="112"/>
      <c r="O521" s="101"/>
      <c r="P521" s="101"/>
      <c r="Q521" s="101"/>
      <c r="R521" s="102"/>
      <c r="S521" s="102"/>
      <c r="T521" s="102"/>
      <c r="U521" s="103"/>
      <c r="V521" s="100"/>
      <c r="W521" s="101"/>
      <c r="X521" s="113"/>
      <c r="Y521" s="114"/>
      <c r="Z521" s="102"/>
      <c r="AA521" s="101"/>
      <c r="AB521" s="111"/>
      <c r="AE521" s="187"/>
      <c r="AF521" s="185"/>
      <c r="AG521" s="185" t="str">
        <f t="shared" si="68"/>
        <v/>
      </c>
      <c r="AH521" s="186" t="str">
        <f t="shared" si="69"/>
        <v/>
      </c>
      <c r="AI521" s="185"/>
      <c r="AJ521" s="188"/>
      <c r="CC521" s="562"/>
      <c r="CD521" s="425"/>
    </row>
    <row r="522" spans="2:82" ht="30" customHeight="1" x14ac:dyDescent="0.3">
      <c r="B522" s="562"/>
      <c r="C522" s="563"/>
      <c r="D522" s="425"/>
      <c r="E522" s="250" t="str">
        <f t="shared" si="70"/>
        <v/>
      </c>
      <c r="F522" s="556"/>
      <c r="G522" s="252" t="str">
        <f>IFERROR(VLOOKUP(F522,'Data (hidden)'!N:O,2,FALSE),"")</f>
        <v/>
      </c>
      <c r="H522" s="557"/>
      <c r="I522" s="558"/>
      <c r="J522" s="123">
        <f t="shared" si="66"/>
        <v>0</v>
      </c>
      <c r="K522" s="123" t="e">
        <f t="shared" si="67"/>
        <v>#VALUE!</v>
      </c>
      <c r="L522" s="123">
        <f t="shared" si="64"/>
        <v>0</v>
      </c>
      <c r="M522" s="124" t="str">
        <f t="shared" si="65"/>
        <v/>
      </c>
      <c r="N522" s="112"/>
      <c r="O522" s="101"/>
      <c r="P522" s="101"/>
      <c r="Q522" s="101"/>
      <c r="R522" s="102"/>
      <c r="S522" s="102"/>
      <c r="T522" s="102"/>
      <c r="U522" s="103"/>
      <c r="V522" s="100"/>
      <c r="W522" s="101"/>
      <c r="X522" s="113"/>
      <c r="Y522" s="114"/>
      <c r="Z522" s="102"/>
      <c r="AA522" s="101"/>
      <c r="AB522" s="111"/>
      <c r="AE522" s="187"/>
      <c r="AF522" s="185"/>
      <c r="AG522" s="185" t="str">
        <f t="shared" si="68"/>
        <v/>
      </c>
      <c r="AH522" s="186" t="str">
        <f t="shared" si="69"/>
        <v/>
      </c>
      <c r="AI522" s="185"/>
      <c r="AJ522" s="188"/>
      <c r="CC522" s="562"/>
      <c r="CD522" s="425"/>
    </row>
    <row r="523" spans="2:82" ht="30" customHeight="1" x14ac:dyDescent="0.3">
      <c r="B523" s="562"/>
      <c r="C523" s="563"/>
      <c r="D523" s="425"/>
      <c r="E523" s="250" t="str">
        <f t="shared" si="70"/>
        <v/>
      </c>
      <c r="F523" s="556"/>
      <c r="G523" s="252" t="str">
        <f>IFERROR(VLOOKUP(F523,'Data (hidden)'!N:O,2,FALSE),"")</f>
        <v/>
      </c>
      <c r="H523" s="557"/>
      <c r="I523" s="558"/>
      <c r="J523" s="123">
        <f t="shared" si="66"/>
        <v>0</v>
      </c>
      <c r="K523" s="123" t="e">
        <f t="shared" si="67"/>
        <v>#VALUE!</v>
      </c>
      <c r="L523" s="123">
        <f t="shared" si="64"/>
        <v>0</v>
      </c>
      <c r="M523" s="124" t="str">
        <f t="shared" si="65"/>
        <v/>
      </c>
      <c r="N523" s="112"/>
      <c r="O523" s="101"/>
      <c r="P523" s="101"/>
      <c r="Q523" s="101"/>
      <c r="R523" s="102"/>
      <c r="S523" s="102"/>
      <c r="T523" s="102"/>
      <c r="U523" s="103"/>
      <c r="V523" s="100"/>
      <c r="W523" s="101"/>
      <c r="X523" s="113"/>
      <c r="Y523" s="114"/>
      <c r="Z523" s="102"/>
      <c r="AA523" s="101"/>
      <c r="AB523" s="111"/>
      <c r="AE523" s="187"/>
      <c r="AF523" s="185"/>
      <c r="AG523" s="185" t="str">
        <f t="shared" si="68"/>
        <v/>
      </c>
      <c r="AH523" s="186" t="str">
        <f t="shared" si="69"/>
        <v/>
      </c>
      <c r="AI523" s="185"/>
      <c r="AJ523" s="188"/>
      <c r="CC523" s="562"/>
      <c r="CD523" s="425"/>
    </row>
    <row r="524" spans="2:82" ht="30" customHeight="1" x14ac:dyDescent="0.3">
      <c r="B524" s="562"/>
      <c r="C524" s="563"/>
      <c r="D524" s="425"/>
      <c r="E524" s="250" t="str">
        <f t="shared" si="70"/>
        <v/>
      </c>
      <c r="F524" s="556"/>
      <c r="G524" s="252" t="str">
        <f>IFERROR(VLOOKUP(F524,'Data (hidden)'!N:O,2,FALSE),"")</f>
        <v/>
      </c>
      <c r="H524" s="557"/>
      <c r="I524" s="558"/>
      <c r="J524" s="123">
        <f t="shared" si="66"/>
        <v>0</v>
      </c>
      <c r="K524" s="123" t="e">
        <f t="shared" si="67"/>
        <v>#VALUE!</v>
      </c>
      <c r="L524" s="123">
        <f t="shared" si="64"/>
        <v>0</v>
      </c>
      <c r="M524" s="124" t="str">
        <f t="shared" si="65"/>
        <v/>
      </c>
      <c r="N524" s="112"/>
      <c r="O524" s="101"/>
      <c r="P524" s="101"/>
      <c r="Q524" s="101"/>
      <c r="R524" s="102"/>
      <c r="S524" s="102"/>
      <c r="T524" s="102"/>
      <c r="U524" s="103"/>
      <c r="V524" s="100"/>
      <c r="W524" s="101"/>
      <c r="X524" s="113"/>
      <c r="Y524" s="114"/>
      <c r="Z524" s="102"/>
      <c r="AA524" s="101"/>
      <c r="AB524" s="111"/>
      <c r="AE524" s="187"/>
      <c r="AF524" s="185"/>
      <c r="AG524" s="185" t="str">
        <f t="shared" si="68"/>
        <v/>
      </c>
      <c r="AH524" s="186" t="str">
        <f t="shared" si="69"/>
        <v/>
      </c>
      <c r="AI524" s="185"/>
      <c r="AJ524" s="188"/>
      <c r="CC524" s="562"/>
      <c r="CD524" s="425"/>
    </row>
    <row r="525" spans="2:82" ht="30" customHeight="1" x14ac:dyDescent="0.3">
      <c r="B525" s="562"/>
      <c r="C525" s="563"/>
      <c r="D525" s="425"/>
      <c r="E525" s="250" t="str">
        <f t="shared" si="70"/>
        <v/>
      </c>
      <c r="F525" s="556"/>
      <c r="G525" s="252" t="str">
        <f>IFERROR(VLOOKUP(F525,'Data (hidden)'!N:O,2,FALSE),"")</f>
        <v/>
      </c>
      <c r="H525" s="557"/>
      <c r="I525" s="558"/>
      <c r="J525" s="123">
        <f t="shared" si="66"/>
        <v>0</v>
      </c>
      <c r="K525" s="123" t="e">
        <f t="shared" si="67"/>
        <v>#VALUE!</v>
      </c>
      <c r="L525" s="123">
        <f t="shared" si="64"/>
        <v>0</v>
      </c>
      <c r="M525" s="124" t="str">
        <f t="shared" si="65"/>
        <v/>
      </c>
      <c r="N525" s="112"/>
      <c r="O525" s="101"/>
      <c r="P525" s="101"/>
      <c r="Q525" s="101"/>
      <c r="R525" s="102"/>
      <c r="S525" s="102"/>
      <c r="T525" s="102"/>
      <c r="U525" s="103"/>
      <c r="V525" s="100"/>
      <c r="W525" s="101"/>
      <c r="X525" s="113"/>
      <c r="Y525" s="114"/>
      <c r="Z525" s="102"/>
      <c r="AA525" s="101"/>
      <c r="AB525" s="111"/>
      <c r="AE525" s="187"/>
      <c r="AF525" s="185"/>
      <c r="AG525" s="185" t="str">
        <f t="shared" si="68"/>
        <v/>
      </c>
      <c r="AH525" s="186" t="str">
        <f t="shared" si="69"/>
        <v/>
      </c>
      <c r="AI525" s="185"/>
      <c r="AJ525" s="188"/>
      <c r="CC525" s="562"/>
      <c r="CD525" s="425"/>
    </row>
    <row r="526" spans="2:82" ht="30" customHeight="1" x14ac:dyDescent="0.3">
      <c r="B526" s="562"/>
      <c r="C526" s="563"/>
      <c r="D526" s="425"/>
      <c r="E526" s="250" t="str">
        <f t="shared" si="70"/>
        <v/>
      </c>
      <c r="F526" s="556"/>
      <c r="G526" s="252" t="str">
        <f>IFERROR(VLOOKUP(F526,'Data (hidden)'!N:O,2,FALSE),"")</f>
        <v/>
      </c>
      <c r="H526" s="557"/>
      <c r="I526" s="558"/>
      <c r="J526" s="123">
        <f t="shared" si="66"/>
        <v>0</v>
      </c>
      <c r="K526" s="123" t="e">
        <f t="shared" si="67"/>
        <v>#VALUE!</v>
      </c>
      <c r="L526" s="123">
        <f t="shared" si="64"/>
        <v>0</v>
      </c>
      <c r="M526" s="124" t="str">
        <f t="shared" si="65"/>
        <v/>
      </c>
      <c r="N526" s="112"/>
      <c r="O526" s="101"/>
      <c r="P526" s="101"/>
      <c r="Q526" s="101"/>
      <c r="R526" s="102"/>
      <c r="S526" s="102"/>
      <c r="T526" s="102"/>
      <c r="U526" s="103"/>
      <c r="V526" s="100"/>
      <c r="W526" s="101"/>
      <c r="X526" s="113"/>
      <c r="Y526" s="114"/>
      <c r="Z526" s="102"/>
      <c r="AA526" s="101"/>
      <c r="AB526" s="111"/>
      <c r="AE526" s="187"/>
      <c r="AF526" s="185"/>
      <c r="AG526" s="185" t="str">
        <f t="shared" si="68"/>
        <v/>
      </c>
      <c r="AH526" s="186" t="str">
        <f t="shared" si="69"/>
        <v/>
      </c>
      <c r="AI526" s="185"/>
      <c r="AJ526" s="188"/>
      <c r="CC526" s="562"/>
      <c r="CD526" s="425"/>
    </row>
    <row r="527" spans="2:82" ht="30" customHeight="1" x14ac:dyDescent="0.3">
      <c r="B527" s="562"/>
      <c r="C527" s="563"/>
      <c r="D527" s="425"/>
      <c r="E527" s="250" t="str">
        <f t="shared" si="70"/>
        <v/>
      </c>
      <c r="F527" s="556"/>
      <c r="G527" s="252" t="str">
        <f>IFERROR(VLOOKUP(F527,'Data (hidden)'!N:O,2,FALSE),"")</f>
        <v/>
      </c>
      <c r="H527" s="557"/>
      <c r="I527" s="558"/>
      <c r="J527" s="123">
        <f t="shared" si="66"/>
        <v>0</v>
      </c>
      <c r="K527" s="123" t="e">
        <f t="shared" si="67"/>
        <v>#VALUE!</v>
      </c>
      <c r="L527" s="123">
        <f t="shared" si="64"/>
        <v>0</v>
      </c>
      <c r="M527" s="124" t="str">
        <f t="shared" si="65"/>
        <v/>
      </c>
      <c r="N527" s="112"/>
      <c r="O527" s="101"/>
      <c r="P527" s="101"/>
      <c r="Q527" s="101"/>
      <c r="R527" s="102"/>
      <c r="S527" s="102"/>
      <c r="T527" s="102"/>
      <c r="U527" s="103"/>
      <c r="V527" s="100"/>
      <c r="W527" s="101"/>
      <c r="X527" s="113"/>
      <c r="Y527" s="114"/>
      <c r="Z527" s="102"/>
      <c r="AA527" s="101"/>
      <c r="AB527" s="111"/>
      <c r="AE527" s="187"/>
      <c r="AF527" s="185"/>
      <c r="AG527" s="185" t="str">
        <f t="shared" si="68"/>
        <v/>
      </c>
      <c r="AH527" s="186" t="str">
        <f t="shared" si="69"/>
        <v/>
      </c>
      <c r="AI527" s="185"/>
      <c r="AJ527" s="188"/>
      <c r="CC527" s="562"/>
      <c r="CD527" s="425"/>
    </row>
    <row r="528" spans="2:82" ht="30" customHeight="1" x14ac:dyDescent="0.3">
      <c r="B528" s="562"/>
      <c r="C528" s="563"/>
      <c r="D528" s="425"/>
      <c r="E528" s="250" t="str">
        <f t="shared" si="70"/>
        <v/>
      </c>
      <c r="F528" s="556"/>
      <c r="G528" s="252" t="str">
        <f>IFERROR(VLOOKUP(F528,'Data (hidden)'!N:O,2,FALSE),"")</f>
        <v/>
      </c>
      <c r="H528" s="557"/>
      <c r="I528" s="558"/>
      <c r="J528" s="123">
        <f t="shared" si="66"/>
        <v>0</v>
      </c>
      <c r="K528" s="123" t="e">
        <f t="shared" si="67"/>
        <v>#VALUE!</v>
      </c>
      <c r="L528" s="123">
        <f t="shared" si="64"/>
        <v>0</v>
      </c>
      <c r="M528" s="124" t="str">
        <f t="shared" si="65"/>
        <v/>
      </c>
      <c r="N528" s="112"/>
      <c r="O528" s="101"/>
      <c r="P528" s="101"/>
      <c r="Q528" s="101"/>
      <c r="R528" s="102"/>
      <c r="S528" s="102"/>
      <c r="T528" s="102"/>
      <c r="U528" s="103"/>
      <c r="V528" s="100"/>
      <c r="W528" s="101"/>
      <c r="X528" s="113"/>
      <c r="Y528" s="114"/>
      <c r="Z528" s="102"/>
      <c r="AA528" s="101"/>
      <c r="AB528" s="111"/>
      <c r="AE528" s="187"/>
      <c r="AF528" s="185"/>
      <c r="AG528" s="185" t="str">
        <f t="shared" si="68"/>
        <v/>
      </c>
      <c r="AH528" s="186" t="str">
        <f t="shared" si="69"/>
        <v/>
      </c>
      <c r="AI528" s="185"/>
      <c r="AJ528" s="188"/>
      <c r="CC528" s="562"/>
      <c r="CD528" s="425"/>
    </row>
    <row r="529" spans="2:82" ht="30" customHeight="1" x14ac:dyDescent="0.3">
      <c r="B529" s="562"/>
      <c r="C529" s="563"/>
      <c r="D529" s="425"/>
      <c r="E529" s="250" t="str">
        <f t="shared" si="70"/>
        <v/>
      </c>
      <c r="F529" s="556"/>
      <c r="G529" s="252" t="str">
        <f>IFERROR(VLOOKUP(F529,'Data (hidden)'!N:O,2,FALSE),"")</f>
        <v/>
      </c>
      <c r="H529" s="557"/>
      <c r="I529" s="558"/>
      <c r="J529" s="123">
        <f t="shared" si="66"/>
        <v>0</v>
      </c>
      <c r="K529" s="123" t="e">
        <f t="shared" si="67"/>
        <v>#VALUE!</v>
      </c>
      <c r="L529" s="123">
        <f t="shared" si="64"/>
        <v>0</v>
      </c>
      <c r="M529" s="124" t="str">
        <f t="shared" si="65"/>
        <v/>
      </c>
      <c r="N529" s="112"/>
      <c r="O529" s="101"/>
      <c r="P529" s="101"/>
      <c r="Q529" s="101"/>
      <c r="R529" s="102"/>
      <c r="S529" s="102"/>
      <c r="T529" s="102"/>
      <c r="U529" s="103"/>
      <c r="V529" s="100"/>
      <c r="W529" s="101"/>
      <c r="X529" s="113"/>
      <c r="Y529" s="114"/>
      <c r="Z529" s="102"/>
      <c r="AA529" s="101"/>
      <c r="AB529" s="111"/>
      <c r="AE529" s="187"/>
      <c r="AF529" s="185"/>
      <c r="AG529" s="185" t="str">
        <f t="shared" si="68"/>
        <v/>
      </c>
      <c r="AH529" s="186" t="str">
        <f t="shared" si="69"/>
        <v/>
      </c>
      <c r="AI529" s="185"/>
      <c r="AJ529" s="188"/>
      <c r="CC529" s="562"/>
      <c r="CD529" s="425"/>
    </row>
    <row r="530" spans="2:82" ht="30" customHeight="1" x14ac:dyDescent="0.3">
      <c r="B530" s="562"/>
      <c r="C530" s="563"/>
      <c r="D530" s="425"/>
      <c r="E530" s="250" t="str">
        <f t="shared" si="70"/>
        <v/>
      </c>
      <c r="F530" s="556"/>
      <c r="G530" s="252" t="str">
        <f>IFERROR(VLOOKUP(F530,'Data (hidden)'!N:O,2,FALSE),"")</f>
        <v/>
      </c>
      <c r="H530" s="557"/>
      <c r="I530" s="558"/>
      <c r="J530" s="123">
        <f t="shared" si="66"/>
        <v>0</v>
      </c>
      <c r="K530" s="123" t="e">
        <f t="shared" si="67"/>
        <v>#VALUE!</v>
      </c>
      <c r="L530" s="123">
        <f t="shared" si="64"/>
        <v>0</v>
      </c>
      <c r="M530" s="124" t="str">
        <f t="shared" si="65"/>
        <v/>
      </c>
      <c r="N530" s="112"/>
      <c r="O530" s="101"/>
      <c r="P530" s="101"/>
      <c r="Q530" s="101"/>
      <c r="R530" s="102"/>
      <c r="S530" s="102"/>
      <c r="T530" s="102"/>
      <c r="U530" s="103"/>
      <c r="V530" s="100"/>
      <c r="W530" s="101"/>
      <c r="X530" s="113"/>
      <c r="Y530" s="114"/>
      <c r="Z530" s="102"/>
      <c r="AA530" s="101"/>
      <c r="AB530" s="111"/>
      <c r="AE530" s="187"/>
      <c r="AF530" s="185"/>
      <c r="AG530" s="185" t="str">
        <f t="shared" si="68"/>
        <v/>
      </c>
      <c r="AH530" s="186" t="str">
        <f t="shared" si="69"/>
        <v/>
      </c>
      <c r="AI530" s="185"/>
      <c r="AJ530" s="188"/>
      <c r="CC530" s="562"/>
      <c r="CD530" s="425"/>
    </row>
    <row r="531" spans="2:82" ht="30" customHeight="1" x14ac:dyDescent="0.3">
      <c r="B531" s="562"/>
      <c r="C531" s="563"/>
      <c r="D531" s="425"/>
      <c r="E531" s="250" t="str">
        <f t="shared" si="70"/>
        <v/>
      </c>
      <c r="F531" s="556"/>
      <c r="G531" s="252" t="str">
        <f>IFERROR(VLOOKUP(F531,'Data (hidden)'!N:O,2,FALSE),"")</f>
        <v/>
      </c>
      <c r="H531" s="557"/>
      <c r="I531" s="558"/>
      <c r="J531" s="123">
        <f t="shared" si="66"/>
        <v>0</v>
      </c>
      <c r="K531" s="123" t="e">
        <f t="shared" si="67"/>
        <v>#VALUE!</v>
      </c>
      <c r="L531" s="123">
        <f t="shared" ref="L531:L594" si="71">D531*0.01</f>
        <v>0</v>
      </c>
      <c r="M531" s="124" t="str">
        <f t="shared" ref="M531:M594" si="72">IFERROR(K531*I531,"")</f>
        <v/>
      </c>
      <c r="N531" s="112"/>
      <c r="O531" s="101"/>
      <c r="P531" s="101"/>
      <c r="Q531" s="101"/>
      <c r="R531" s="102"/>
      <c r="S531" s="102"/>
      <c r="T531" s="102"/>
      <c r="U531" s="103"/>
      <c r="V531" s="100"/>
      <c r="W531" s="101"/>
      <c r="X531" s="113"/>
      <c r="Y531" s="114"/>
      <c r="Z531" s="102"/>
      <c r="AA531" s="101"/>
      <c r="AB531" s="111"/>
      <c r="AE531" s="187"/>
      <c r="AF531" s="185"/>
      <c r="AG531" s="185" t="str">
        <f t="shared" si="68"/>
        <v/>
      </c>
      <c r="AH531" s="186" t="str">
        <f t="shared" si="69"/>
        <v/>
      </c>
      <c r="AI531" s="185"/>
      <c r="AJ531" s="188"/>
      <c r="CC531" s="562"/>
      <c r="CD531" s="425"/>
    </row>
    <row r="532" spans="2:82" ht="30" customHeight="1" x14ac:dyDescent="0.3">
      <c r="B532" s="562"/>
      <c r="C532" s="563"/>
      <c r="D532" s="425"/>
      <c r="E532" s="250" t="str">
        <f t="shared" si="70"/>
        <v/>
      </c>
      <c r="F532" s="556"/>
      <c r="G532" s="252" t="str">
        <f>IFERROR(VLOOKUP(F532,'Data (hidden)'!N:O,2,FALSE),"")</f>
        <v/>
      </c>
      <c r="H532" s="557"/>
      <c r="I532" s="558"/>
      <c r="J532" s="123">
        <f t="shared" ref="J532:J595" si="73">H532*0.01</f>
        <v>0</v>
      </c>
      <c r="K532" s="123" t="e">
        <f t="shared" ref="K532:K595" si="74">E532*J532</f>
        <v>#VALUE!</v>
      </c>
      <c r="L532" s="123">
        <f t="shared" si="71"/>
        <v>0</v>
      </c>
      <c r="M532" s="124" t="str">
        <f t="shared" si="72"/>
        <v/>
      </c>
      <c r="N532" s="112"/>
      <c r="O532" s="101"/>
      <c r="P532" s="101"/>
      <c r="Q532" s="101"/>
      <c r="R532" s="102"/>
      <c r="S532" s="102"/>
      <c r="T532" s="102"/>
      <c r="U532" s="103"/>
      <c r="V532" s="100"/>
      <c r="W532" s="101"/>
      <c r="X532" s="113"/>
      <c r="Y532" s="114"/>
      <c r="Z532" s="102"/>
      <c r="AA532" s="101"/>
      <c r="AB532" s="111"/>
      <c r="AE532" s="187"/>
      <c r="AF532" s="185"/>
      <c r="AG532" s="185" t="str">
        <f t="shared" ref="AG532:AG595" si="75">IF(ISNUMBER(B532), B532, "")</f>
        <v/>
      </c>
      <c r="AH532" s="186" t="str">
        <f t="shared" ref="AH532:AH595" si="76">E532</f>
        <v/>
      </c>
      <c r="AI532" s="185"/>
      <c r="AJ532" s="188"/>
      <c r="CC532" s="562"/>
      <c r="CD532" s="425"/>
    </row>
    <row r="533" spans="2:82" ht="30" customHeight="1" x14ac:dyDescent="0.3">
      <c r="B533" s="562"/>
      <c r="C533" s="563"/>
      <c r="D533" s="425"/>
      <c r="E533" s="250" t="str">
        <f t="shared" si="70"/>
        <v/>
      </c>
      <c r="F533" s="556"/>
      <c r="G533" s="252" t="str">
        <f>IFERROR(VLOOKUP(F533,'Data (hidden)'!N:O,2,FALSE),"")</f>
        <v/>
      </c>
      <c r="H533" s="557"/>
      <c r="I533" s="558"/>
      <c r="J533" s="123">
        <f t="shared" si="73"/>
        <v>0</v>
      </c>
      <c r="K533" s="123" t="e">
        <f t="shared" si="74"/>
        <v>#VALUE!</v>
      </c>
      <c r="L533" s="123">
        <f t="shared" si="71"/>
        <v>0</v>
      </c>
      <c r="M533" s="124" t="str">
        <f t="shared" si="72"/>
        <v/>
      </c>
      <c r="N533" s="112"/>
      <c r="O533" s="101"/>
      <c r="P533" s="101"/>
      <c r="Q533" s="101"/>
      <c r="R533" s="102"/>
      <c r="S533" s="102"/>
      <c r="T533" s="102"/>
      <c r="U533" s="103"/>
      <c r="V533" s="100"/>
      <c r="W533" s="101"/>
      <c r="X533" s="113"/>
      <c r="Y533" s="114"/>
      <c r="Z533" s="102"/>
      <c r="AA533" s="101"/>
      <c r="AB533" s="111"/>
      <c r="AE533" s="187"/>
      <c r="AF533" s="185"/>
      <c r="AG533" s="185" t="str">
        <f t="shared" si="75"/>
        <v/>
      </c>
      <c r="AH533" s="186" t="str">
        <f t="shared" si="76"/>
        <v/>
      </c>
      <c r="AI533" s="185"/>
      <c r="AJ533" s="188"/>
      <c r="CC533" s="562"/>
      <c r="CD533" s="425"/>
    </row>
    <row r="534" spans="2:82" ht="30" customHeight="1" x14ac:dyDescent="0.3">
      <c r="B534" s="562"/>
      <c r="C534" s="563"/>
      <c r="D534" s="425"/>
      <c r="E534" s="250" t="str">
        <f t="shared" si="70"/>
        <v/>
      </c>
      <c r="F534" s="556"/>
      <c r="G534" s="252" t="str">
        <f>IFERROR(VLOOKUP(F534,'Data (hidden)'!N:O,2,FALSE),"")</f>
        <v/>
      </c>
      <c r="H534" s="557"/>
      <c r="I534" s="558"/>
      <c r="J534" s="123">
        <f t="shared" si="73"/>
        <v>0</v>
      </c>
      <c r="K534" s="123" t="e">
        <f t="shared" si="74"/>
        <v>#VALUE!</v>
      </c>
      <c r="L534" s="123">
        <f t="shared" si="71"/>
        <v>0</v>
      </c>
      <c r="M534" s="124" t="str">
        <f t="shared" si="72"/>
        <v/>
      </c>
      <c r="N534" s="112"/>
      <c r="O534" s="101"/>
      <c r="P534" s="101"/>
      <c r="Q534" s="101"/>
      <c r="R534" s="102"/>
      <c r="S534" s="102"/>
      <c r="T534" s="102"/>
      <c r="U534" s="103"/>
      <c r="V534" s="100"/>
      <c r="W534" s="101"/>
      <c r="X534" s="113"/>
      <c r="Y534" s="114"/>
      <c r="Z534" s="102"/>
      <c r="AA534" s="101"/>
      <c r="AB534" s="111"/>
      <c r="AE534" s="187"/>
      <c r="AF534" s="185"/>
      <c r="AG534" s="185" t="str">
        <f t="shared" si="75"/>
        <v/>
      </c>
      <c r="AH534" s="186" t="str">
        <f t="shared" si="76"/>
        <v/>
      </c>
      <c r="AI534" s="185"/>
      <c r="AJ534" s="188"/>
      <c r="CC534" s="562"/>
      <c r="CD534" s="425"/>
    </row>
    <row r="535" spans="2:82" ht="30" customHeight="1" x14ac:dyDescent="0.3">
      <c r="B535" s="562"/>
      <c r="C535" s="563"/>
      <c r="D535" s="425"/>
      <c r="E535" s="250" t="str">
        <f t="shared" si="70"/>
        <v/>
      </c>
      <c r="F535" s="556"/>
      <c r="G535" s="252" t="str">
        <f>IFERROR(VLOOKUP(F535,'Data (hidden)'!N:O,2,FALSE),"")</f>
        <v/>
      </c>
      <c r="H535" s="557"/>
      <c r="I535" s="558"/>
      <c r="J535" s="123">
        <f t="shared" si="73"/>
        <v>0</v>
      </c>
      <c r="K535" s="123" t="e">
        <f t="shared" si="74"/>
        <v>#VALUE!</v>
      </c>
      <c r="L535" s="123">
        <f t="shared" si="71"/>
        <v>0</v>
      </c>
      <c r="M535" s="124" t="str">
        <f t="shared" si="72"/>
        <v/>
      </c>
      <c r="N535" s="112"/>
      <c r="O535" s="101"/>
      <c r="P535" s="101"/>
      <c r="Q535" s="101"/>
      <c r="R535" s="102"/>
      <c r="S535" s="102"/>
      <c r="T535" s="102"/>
      <c r="U535" s="103"/>
      <c r="V535" s="100"/>
      <c r="W535" s="101"/>
      <c r="X535" s="113"/>
      <c r="Y535" s="114"/>
      <c r="Z535" s="102"/>
      <c r="AA535" s="101"/>
      <c r="AB535" s="111"/>
      <c r="AE535" s="187"/>
      <c r="AF535" s="185"/>
      <c r="AG535" s="185" t="str">
        <f t="shared" si="75"/>
        <v/>
      </c>
      <c r="AH535" s="186" t="str">
        <f t="shared" si="76"/>
        <v/>
      </c>
      <c r="AI535" s="185"/>
      <c r="AJ535" s="188"/>
      <c r="CC535" s="562"/>
      <c r="CD535" s="425"/>
    </row>
    <row r="536" spans="2:82" ht="30" customHeight="1" x14ac:dyDescent="0.3">
      <c r="B536" s="562"/>
      <c r="C536" s="563"/>
      <c r="D536" s="425"/>
      <c r="E536" s="250" t="str">
        <f t="shared" si="70"/>
        <v/>
      </c>
      <c r="F536" s="556"/>
      <c r="G536" s="252" t="str">
        <f>IFERROR(VLOOKUP(F536,'Data (hidden)'!N:O,2,FALSE),"")</f>
        <v/>
      </c>
      <c r="H536" s="557"/>
      <c r="I536" s="558"/>
      <c r="J536" s="123">
        <f t="shared" si="73"/>
        <v>0</v>
      </c>
      <c r="K536" s="123" t="e">
        <f t="shared" si="74"/>
        <v>#VALUE!</v>
      </c>
      <c r="L536" s="123">
        <f t="shared" si="71"/>
        <v>0</v>
      </c>
      <c r="M536" s="124" t="str">
        <f t="shared" si="72"/>
        <v/>
      </c>
      <c r="N536" s="112"/>
      <c r="O536" s="101"/>
      <c r="P536" s="101"/>
      <c r="Q536" s="101"/>
      <c r="R536" s="102"/>
      <c r="S536" s="102"/>
      <c r="T536" s="102"/>
      <c r="U536" s="103"/>
      <c r="V536" s="100"/>
      <c r="W536" s="101"/>
      <c r="X536" s="113"/>
      <c r="Y536" s="114"/>
      <c r="Z536" s="102"/>
      <c r="AA536" s="101"/>
      <c r="AB536" s="111"/>
      <c r="AE536" s="187"/>
      <c r="AF536" s="185"/>
      <c r="AG536" s="185" t="str">
        <f t="shared" si="75"/>
        <v/>
      </c>
      <c r="AH536" s="186" t="str">
        <f t="shared" si="76"/>
        <v/>
      </c>
      <c r="AI536" s="185"/>
      <c r="AJ536" s="188"/>
      <c r="CC536" s="562"/>
      <c r="CD536" s="425"/>
    </row>
    <row r="537" spans="2:82" ht="30" customHeight="1" x14ac:dyDescent="0.3">
      <c r="B537" s="562"/>
      <c r="C537" s="563"/>
      <c r="D537" s="425"/>
      <c r="E537" s="250" t="str">
        <f t="shared" si="70"/>
        <v/>
      </c>
      <c r="F537" s="556"/>
      <c r="G537" s="252" t="str">
        <f>IFERROR(VLOOKUP(F537,'Data (hidden)'!N:O,2,FALSE),"")</f>
        <v/>
      </c>
      <c r="H537" s="557"/>
      <c r="I537" s="558"/>
      <c r="J537" s="123">
        <f t="shared" si="73"/>
        <v>0</v>
      </c>
      <c r="K537" s="123" t="e">
        <f t="shared" si="74"/>
        <v>#VALUE!</v>
      </c>
      <c r="L537" s="123">
        <f t="shared" si="71"/>
        <v>0</v>
      </c>
      <c r="M537" s="124" t="str">
        <f t="shared" si="72"/>
        <v/>
      </c>
      <c r="N537" s="112"/>
      <c r="O537" s="101"/>
      <c r="P537" s="101"/>
      <c r="Q537" s="101"/>
      <c r="R537" s="102"/>
      <c r="S537" s="102"/>
      <c r="T537" s="102"/>
      <c r="U537" s="103"/>
      <c r="V537" s="100"/>
      <c r="W537" s="101"/>
      <c r="X537" s="113"/>
      <c r="Y537" s="114"/>
      <c r="Z537" s="102"/>
      <c r="AA537" s="101"/>
      <c r="AB537" s="111"/>
      <c r="AE537" s="187"/>
      <c r="AF537" s="185"/>
      <c r="AG537" s="185" t="str">
        <f t="shared" si="75"/>
        <v/>
      </c>
      <c r="AH537" s="186" t="str">
        <f t="shared" si="76"/>
        <v/>
      </c>
      <c r="AI537" s="185"/>
      <c r="AJ537" s="188"/>
      <c r="CC537" s="562"/>
      <c r="CD537" s="425"/>
    </row>
    <row r="538" spans="2:82" ht="30" customHeight="1" x14ac:dyDescent="0.3">
      <c r="B538" s="562"/>
      <c r="C538" s="563"/>
      <c r="D538" s="425"/>
      <c r="E538" s="250" t="str">
        <f t="shared" si="70"/>
        <v/>
      </c>
      <c r="F538" s="556"/>
      <c r="G538" s="252" t="str">
        <f>IFERROR(VLOOKUP(F538,'Data (hidden)'!N:O,2,FALSE),"")</f>
        <v/>
      </c>
      <c r="H538" s="557"/>
      <c r="I538" s="558"/>
      <c r="J538" s="123">
        <f t="shared" si="73"/>
        <v>0</v>
      </c>
      <c r="K538" s="123" t="e">
        <f t="shared" si="74"/>
        <v>#VALUE!</v>
      </c>
      <c r="L538" s="123">
        <f t="shared" si="71"/>
        <v>0</v>
      </c>
      <c r="M538" s="124" t="str">
        <f t="shared" si="72"/>
        <v/>
      </c>
      <c r="N538" s="112"/>
      <c r="O538" s="101"/>
      <c r="P538" s="101"/>
      <c r="Q538" s="101"/>
      <c r="R538" s="102"/>
      <c r="S538" s="102"/>
      <c r="T538" s="102"/>
      <c r="U538" s="103"/>
      <c r="V538" s="100"/>
      <c r="W538" s="101"/>
      <c r="X538" s="113"/>
      <c r="Y538" s="114"/>
      <c r="Z538" s="102"/>
      <c r="AA538" s="101"/>
      <c r="AB538" s="111"/>
      <c r="AE538" s="187"/>
      <c r="AF538" s="185"/>
      <c r="AG538" s="185" t="str">
        <f t="shared" si="75"/>
        <v/>
      </c>
      <c r="AH538" s="186" t="str">
        <f t="shared" si="76"/>
        <v/>
      </c>
      <c r="AI538" s="185"/>
      <c r="AJ538" s="188"/>
      <c r="CC538" s="562"/>
      <c r="CD538" s="425"/>
    </row>
    <row r="539" spans="2:82" ht="30" customHeight="1" x14ac:dyDescent="0.3">
      <c r="B539" s="562"/>
      <c r="C539" s="563"/>
      <c r="D539" s="425"/>
      <c r="E539" s="250" t="str">
        <f t="shared" si="70"/>
        <v/>
      </c>
      <c r="F539" s="556"/>
      <c r="G539" s="252" t="str">
        <f>IFERROR(VLOOKUP(F539,'Data (hidden)'!N:O,2,FALSE),"")</f>
        <v/>
      </c>
      <c r="H539" s="557"/>
      <c r="I539" s="558"/>
      <c r="J539" s="123">
        <f t="shared" si="73"/>
        <v>0</v>
      </c>
      <c r="K539" s="123" t="e">
        <f t="shared" si="74"/>
        <v>#VALUE!</v>
      </c>
      <c r="L539" s="123">
        <f t="shared" si="71"/>
        <v>0</v>
      </c>
      <c r="M539" s="124" t="str">
        <f t="shared" si="72"/>
        <v/>
      </c>
      <c r="N539" s="112"/>
      <c r="O539" s="101"/>
      <c r="P539" s="101"/>
      <c r="Q539" s="101"/>
      <c r="R539" s="102"/>
      <c r="S539" s="102"/>
      <c r="T539" s="102"/>
      <c r="U539" s="103"/>
      <c r="V539" s="100"/>
      <c r="W539" s="101"/>
      <c r="X539" s="113"/>
      <c r="Y539" s="114"/>
      <c r="Z539" s="102"/>
      <c r="AA539" s="101"/>
      <c r="AB539" s="111"/>
      <c r="AE539" s="187"/>
      <c r="AF539" s="185"/>
      <c r="AG539" s="185" t="str">
        <f t="shared" si="75"/>
        <v/>
      </c>
      <c r="AH539" s="186" t="str">
        <f t="shared" si="76"/>
        <v/>
      </c>
      <c r="AI539" s="185"/>
      <c r="AJ539" s="188"/>
      <c r="CC539" s="562"/>
      <c r="CD539" s="425"/>
    </row>
    <row r="540" spans="2:82" ht="30" customHeight="1" x14ac:dyDescent="0.3">
      <c r="B540" s="562"/>
      <c r="C540" s="563"/>
      <c r="D540" s="425"/>
      <c r="E540" s="250" t="str">
        <f t="shared" si="70"/>
        <v/>
      </c>
      <c r="F540" s="556"/>
      <c r="G540" s="252" t="str">
        <f>IFERROR(VLOOKUP(F540,'Data (hidden)'!N:O,2,FALSE),"")</f>
        <v/>
      </c>
      <c r="H540" s="557"/>
      <c r="I540" s="558"/>
      <c r="J540" s="123">
        <f t="shared" si="73"/>
        <v>0</v>
      </c>
      <c r="K540" s="123" t="e">
        <f t="shared" si="74"/>
        <v>#VALUE!</v>
      </c>
      <c r="L540" s="123">
        <f t="shared" si="71"/>
        <v>0</v>
      </c>
      <c r="M540" s="124" t="str">
        <f t="shared" si="72"/>
        <v/>
      </c>
      <c r="N540" s="112"/>
      <c r="O540" s="101"/>
      <c r="P540" s="101"/>
      <c r="Q540" s="101"/>
      <c r="R540" s="102"/>
      <c r="S540" s="102"/>
      <c r="T540" s="102"/>
      <c r="U540" s="103"/>
      <c r="V540" s="100"/>
      <c r="W540" s="101"/>
      <c r="X540" s="113"/>
      <c r="Y540" s="114"/>
      <c r="Z540" s="102"/>
      <c r="AA540" s="101"/>
      <c r="AB540" s="111"/>
      <c r="AE540" s="187"/>
      <c r="AF540" s="185"/>
      <c r="AG540" s="185" t="str">
        <f t="shared" si="75"/>
        <v/>
      </c>
      <c r="AH540" s="186" t="str">
        <f t="shared" si="76"/>
        <v/>
      </c>
      <c r="AI540" s="185"/>
      <c r="AJ540" s="188"/>
      <c r="CC540" s="562"/>
      <c r="CD540" s="425"/>
    </row>
    <row r="541" spans="2:82" ht="30" customHeight="1" x14ac:dyDescent="0.3">
      <c r="B541" s="562"/>
      <c r="C541" s="563"/>
      <c r="D541" s="425"/>
      <c r="E541" s="250" t="str">
        <f t="shared" si="70"/>
        <v/>
      </c>
      <c r="F541" s="556"/>
      <c r="G541" s="252" t="str">
        <f>IFERROR(VLOOKUP(F541,'Data (hidden)'!N:O,2,FALSE),"")</f>
        <v/>
      </c>
      <c r="H541" s="557"/>
      <c r="I541" s="558"/>
      <c r="J541" s="123">
        <f t="shared" si="73"/>
        <v>0</v>
      </c>
      <c r="K541" s="123" t="e">
        <f t="shared" si="74"/>
        <v>#VALUE!</v>
      </c>
      <c r="L541" s="123">
        <f t="shared" si="71"/>
        <v>0</v>
      </c>
      <c r="M541" s="124" t="str">
        <f t="shared" si="72"/>
        <v/>
      </c>
      <c r="N541" s="112"/>
      <c r="O541" s="101"/>
      <c r="P541" s="101"/>
      <c r="Q541" s="101"/>
      <c r="R541" s="102"/>
      <c r="S541" s="102"/>
      <c r="T541" s="102"/>
      <c r="U541" s="103"/>
      <c r="V541" s="100"/>
      <c r="W541" s="101"/>
      <c r="X541" s="113"/>
      <c r="Y541" s="114"/>
      <c r="Z541" s="102"/>
      <c r="AA541" s="101"/>
      <c r="AB541" s="111"/>
      <c r="AE541" s="187"/>
      <c r="AF541" s="185"/>
      <c r="AG541" s="185" t="str">
        <f t="shared" si="75"/>
        <v/>
      </c>
      <c r="AH541" s="186" t="str">
        <f t="shared" si="76"/>
        <v/>
      </c>
      <c r="AI541" s="185"/>
      <c r="AJ541" s="188"/>
      <c r="CC541" s="562"/>
      <c r="CD541" s="425"/>
    </row>
    <row r="542" spans="2:82" ht="30" customHeight="1" x14ac:dyDescent="0.3">
      <c r="B542" s="562"/>
      <c r="C542" s="563"/>
      <c r="D542" s="425"/>
      <c r="E542" s="250" t="str">
        <f t="shared" si="70"/>
        <v/>
      </c>
      <c r="F542" s="556"/>
      <c r="G542" s="252" t="str">
        <f>IFERROR(VLOOKUP(F542,'Data (hidden)'!N:O,2,FALSE),"")</f>
        <v/>
      </c>
      <c r="H542" s="557"/>
      <c r="I542" s="558"/>
      <c r="J542" s="123">
        <f t="shared" si="73"/>
        <v>0</v>
      </c>
      <c r="K542" s="123" t="e">
        <f t="shared" si="74"/>
        <v>#VALUE!</v>
      </c>
      <c r="L542" s="123">
        <f t="shared" si="71"/>
        <v>0</v>
      </c>
      <c r="M542" s="124" t="str">
        <f t="shared" si="72"/>
        <v/>
      </c>
      <c r="N542" s="112"/>
      <c r="O542" s="101"/>
      <c r="P542" s="101"/>
      <c r="Q542" s="101"/>
      <c r="R542" s="102"/>
      <c r="S542" s="102"/>
      <c r="T542" s="102"/>
      <c r="U542" s="103"/>
      <c r="V542" s="100"/>
      <c r="W542" s="101"/>
      <c r="X542" s="113"/>
      <c r="Y542" s="114"/>
      <c r="Z542" s="102"/>
      <c r="AA542" s="101"/>
      <c r="AB542" s="111"/>
      <c r="AE542" s="187"/>
      <c r="AF542" s="185"/>
      <c r="AG542" s="185" t="str">
        <f t="shared" si="75"/>
        <v/>
      </c>
      <c r="AH542" s="186" t="str">
        <f t="shared" si="76"/>
        <v/>
      </c>
      <c r="AI542" s="185"/>
      <c r="AJ542" s="188"/>
      <c r="CC542" s="562"/>
      <c r="CD542" s="425"/>
    </row>
    <row r="543" spans="2:82" ht="30" customHeight="1" x14ac:dyDescent="0.3">
      <c r="B543" s="562"/>
      <c r="C543" s="563"/>
      <c r="D543" s="425"/>
      <c r="E543" s="250" t="str">
        <f t="shared" si="70"/>
        <v/>
      </c>
      <c r="F543" s="556"/>
      <c r="G543" s="252" t="str">
        <f>IFERROR(VLOOKUP(F543,'Data (hidden)'!N:O,2,FALSE),"")</f>
        <v/>
      </c>
      <c r="H543" s="557"/>
      <c r="I543" s="558"/>
      <c r="J543" s="123">
        <f t="shared" si="73"/>
        <v>0</v>
      </c>
      <c r="K543" s="123" t="e">
        <f t="shared" si="74"/>
        <v>#VALUE!</v>
      </c>
      <c r="L543" s="123">
        <f t="shared" si="71"/>
        <v>0</v>
      </c>
      <c r="M543" s="124" t="str">
        <f t="shared" si="72"/>
        <v/>
      </c>
      <c r="N543" s="112"/>
      <c r="O543" s="101"/>
      <c r="P543" s="101"/>
      <c r="Q543" s="101"/>
      <c r="R543" s="102"/>
      <c r="S543" s="102"/>
      <c r="T543" s="102"/>
      <c r="U543" s="103"/>
      <c r="V543" s="100"/>
      <c r="W543" s="101"/>
      <c r="X543" s="113"/>
      <c r="Y543" s="114"/>
      <c r="Z543" s="102"/>
      <c r="AA543" s="101"/>
      <c r="AB543" s="111"/>
      <c r="AE543" s="187"/>
      <c r="AF543" s="185"/>
      <c r="AG543" s="185" t="str">
        <f t="shared" si="75"/>
        <v/>
      </c>
      <c r="AH543" s="186" t="str">
        <f t="shared" si="76"/>
        <v/>
      </c>
      <c r="AI543" s="185"/>
      <c r="AJ543" s="188"/>
      <c r="CC543" s="562"/>
      <c r="CD543" s="425"/>
    </row>
    <row r="544" spans="2:82" ht="30" customHeight="1" x14ac:dyDescent="0.3">
      <c r="B544" s="562"/>
      <c r="C544" s="563"/>
      <c r="D544" s="425"/>
      <c r="E544" s="250" t="str">
        <f t="shared" si="70"/>
        <v/>
      </c>
      <c r="F544" s="556"/>
      <c r="G544" s="252" t="str">
        <f>IFERROR(VLOOKUP(F544,'Data (hidden)'!N:O,2,FALSE),"")</f>
        <v/>
      </c>
      <c r="H544" s="557"/>
      <c r="I544" s="558"/>
      <c r="J544" s="123">
        <f t="shared" si="73"/>
        <v>0</v>
      </c>
      <c r="K544" s="123" t="e">
        <f t="shared" si="74"/>
        <v>#VALUE!</v>
      </c>
      <c r="L544" s="123">
        <f t="shared" si="71"/>
        <v>0</v>
      </c>
      <c r="M544" s="124" t="str">
        <f t="shared" si="72"/>
        <v/>
      </c>
      <c r="N544" s="112"/>
      <c r="O544" s="101"/>
      <c r="P544" s="101"/>
      <c r="Q544" s="101"/>
      <c r="R544" s="102"/>
      <c r="S544" s="102"/>
      <c r="T544" s="102"/>
      <c r="U544" s="103"/>
      <c r="V544" s="100"/>
      <c r="W544" s="101"/>
      <c r="X544" s="113"/>
      <c r="Y544" s="114"/>
      <c r="Z544" s="102"/>
      <c r="AA544" s="101"/>
      <c r="AB544" s="111"/>
      <c r="AE544" s="187"/>
      <c r="AF544" s="185"/>
      <c r="AG544" s="185" t="str">
        <f t="shared" si="75"/>
        <v/>
      </c>
      <c r="AH544" s="186" t="str">
        <f t="shared" si="76"/>
        <v/>
      </c>
      <c r="AI544" s="185"/>
      <c r="AJ544" s="188"/>
      <c r="CC544" s="562"/>
      <c r="CD544" s="425"/>
    </row>
    <row r="545" spans="2:82" ht="30" customHeight="1" x14ac:dyDescent="0.3">
      <c r="B545" s="562"/>
      <c r="C545" s="563"/>
      <c r="D545" s="425"/>
      <c r="E545" s="250" t="str">
        <f t="shared" si="70"/>
        <v/>
      </c>
      <c r="F545" s="556"/>
      <c r="G545" s="252" t="str">
        <f>IFERROR(VLOOKUP(F545,'Data (hidden)'!N:O,2,FALSE),"")</f>
        <v/>
      </c>
      <c r="H545" s="557"/>
      <c r="I545" s="558"/>
      <c r="J545" s="123">
        <f t="shared" si="73"/>
        <v>0</v>
      </c>
      <c r="K545" s="123" t="e">
        <f t="shared" si="74"/>
        <v>#VALUE!</v>
      </c>
      <c r="L545" s="123">
        <f t="shared" si="71"/>
        <v>0</v>
      </c>
      <c r="M545" s="124" t="str">
        <f t="shared" si="72"/>
        <v/>
      </c>
      <c r="N545" s="112"/>
      <c r="O545" s="101"/>
      <c r="P545" s="101"/>
      <c r="Q545" s="101"/>
      <c r="R545" s="102"/>
      <c r="S545" s="102"/>
      <c r="T545" s="102"/>
      <c r="U545" s="103"/>
      <c r="V545" s="100"/>
      <c r="W545" s="101"/>
      <c r="X545" s="113"/>
      <c r="Y545" s="114"/>
      <c r="Z545" s="102"/>
      <c r="AA545" s="101"/>
      <c r="AB545" s="111"/>
      <c r="AE545" s="187"/>
      <c r="AF545" s="185"/>
      <c r="AG545" s="185" t="str">
        <f t="shared" si="75"/>
        <v/>
      </c>
      <c r="AH545" s="186" t="str">
        <f t="shared" si="76"/>
        <v/>
      </c>
      <c r="AI545" s="185"/>
      <c r="AJ545" s="188"/>
      <c r="CC545" s="562"/>
      <c r="CD545" s="425"/>
    </row>
    <row r="546" spans="2:82" ht="30" customHeight="1" x14ac:dyDescent="0.3">
      <c r="B546" s="562"/>
      <c r="C546" s="563"/>
      <c r="D546" s="425"/>
      <c r="E546" s="250" t="str">
        <f t="shared" si="70"/>
        <v/>
      </c>
      <c r="F546" s="556"/>
      <c r="G546" s="252" t="str">
        <f>IFERROR(VLOOKUP(F546,'Data (hidden)'!N:O,2,FALSE),"")</f>
        <v/>
      </c>
      <c r="H546" s="557"/>
      <c r="I546" s="558"/>
      <c r="J546" s="123">
        <f t="shared" si="73"/>
        <v>0</v>
      </c>
      <c r="K546" s="123" t="e">
        <f t="shared" si="74"/>
        <v>#VALUE!</v>
      </c>
      <c r="L546" s="123">
        <f t="shared" si="71"/>
        <v>0</v>
      </c>
      <c r="M546" s="124" t="str">
        <f t="shared" si="72"/>
        <v/>
      </c>
      <c r="N546" s="112"/>
      <c r="O546" s="101"/>
      <c r="P546" s="101"/>
      <c r="Q546" s="101"/>
      <c r="R546" s="102"/>
      <c r="S546" s="102"/>
      <c r="T546" s="102"/>
      <c r="U546" s="103"/>
      <c r="V546" s="100"/>
      <c r="W546" s="101"/>
      <c r="X546" s="113"/>
      <c r="Y546" s="114"/>
      <c r="Z546" s="102"/>
      <c r="AA546" s="101"/>
      <c r="AB546" s="111"/>
      <c r="AE546" s="187"/>
      <c r="AF546" s="185"/>
      <c r="AG546" s="185" t="str">
        <f t="shared" si="75"/>
        <v/>
      </c>
      <c r="AH546" s="186" t="str">
        <f t="shared" si="76"/>
        <v/>
      </c>
      <c r="AI546" s="185"/>
      <c r="AJ546" s="188"/>
      <c r="CC546" s="562"/>
      <c r="CD546" s="425"/>
    </row>
    <row r="547" spans="2:82" ht="30" customHeight="1" x14ac:dyDescent="0.3">
      <c r="B547" s="562"/>
      <c r="C547" s="563"/>
      <c r="D547" s="425"/>
      <c r="E547" s="250" t="str">
        <f t="shared" si="70"/>
        <v/>
      </c>
      <c r="F547" s="556"/>
      <c r="G547" s="252" t="str">
        <f>IFERROR(VLOOKUP(F547,'Data (hidden)'!N:O,2,FALSE),"")</f>
        <v/>
      </c>
      <c r="H547" s="557"/>
      <c r="I547" s="558"/>
      <c r="J547" s="123">
        <f t="shared" si="73"/>
        <v>0</v>
      </c>
      <c r="K547" s="123" t="e">
        <f t="shared" si="74"/>
        <v>#VALUE!</v>
      </c>
      <c r="L547" s="123">
        <f t="shared" si="71"/>
        <v>0</v>
      </c>
      <c r="M547" s="124" t="str">
        <f t="shared" si="72"/>
        <v/>
      </c>
      <c r="N547" s="112"/>
      <c r="O547" s="101"/>
      <c r="P547" s="101"/>
      <c r="Q547" s="101"/>
      <c r="R547" s="102"/>
      <c r="S547" s="102"/>
      <c r="T547" s="102"/>
      <c r="U547" s="103"/>
      <c r="V547" s="100"/>
      <c r="W547" s="101"/>
      <c r="X547" s="113"/>
      <c r="Y547" s="114"/>
      <c r="Z547" s="102"/>
      <c r="AA547" s="101"/>
      <c r="AB547" s="111"/>
      <c r="AE547" s="187"/>
      <c r="AF547" s="185"/>
      <c r="AG547" s="185" t="str">
        <f t="shared" si="75"/>
        <v/>
      </c>
      <c r="AH547" s="186" t="str">
        <f t="shared" si="76"/>
        <v/>
      </c>
      <c r="AI547" s="185"/>
      <c r="AJ547" s="188"/>
      <c r="CC547" s="562"/>
      <c r="CD547" s="425"/>
    </row>
    <row r="548" spans="2:82" ht="30" customHeight="1" x14ac:dyDescent="0.3">
      <c r="B548" s="562"/>
      <c r="C548" s="563"/>
      <c r="D548" s="425"/>
      <c r="E548" s="250" t="str">
        <f t="shared" si="70"/>
        <v/>
      </c>
      <c r="F548" s="556"/>
      <c r="G548" s="252" t="str">
        <f>IFERROR(VLOOKUP(F548,'Data (hidden)'!N:O,2,FALSE),"")</f>
        <v/>
      </c>
      <c r="H548" s="557"/>
      <c r="I548" s="558"/>
      <c r="J548" s="123">
        <f t="shared" si="73"/>
        <v>0</v>
      </c>
      <c r="K548" s="123" t="e">
        <f t="shared" si="74"/>
        <v>#VALUE!</v>
      </c>
      <c r="L548" s="123">
        <f t="shared" si="71"/>
        <v>0</v>
      </c>
      <c r="M548" s="124" t="str">
        <f t="shared" si="72"/>
        <v/>
      </c>
      <c r="N548" s="112"/>
      <c r="O548" s="101"/>
      <c r="P548" s="101"/>
      <c r="Q548" s="101"/>
      <c r="R548" s="102"/>
      <c r="S548" s="102"/>
      <c r="T548" s="102"/>
      <c r="U548" s="103"/>
      <c r="V548" s="100"/>
      <c r="W548" s="101"/>
      <c r="X548" s="113"/>
      <c r="Y548" s="114"/>
      <c r="Z548" s="102"/>
      <c r="AA548" s="101"/>
      <c r="AB548" s="111"/>
      <c r="AE548" s="187"/>
      <c r="AF548" s="185"/>
      <c r="AG548" s="185" t="str">
        <f t="shared" si="75"/>
        <v/>
      </c>
      <c r="AH548" s="186" t="str">
        <f t="shared" si="76"/>
        <v/>
      </c>
      <c r="AI548" s="185"/>
      <c r="AJ548" s="188"/>
      <c r="CC548" s="562"/>
      <c r="CD548" s="425"/>
    </row>
    <row r="549" spans="2:82" ht="30" customHeight="1" x14ac:dyDescent="0.3">
      <c r="B549" s="562"/>
      <c r="C549" s="563"/>
      <c r="D549" s="425"/>
      <c r="E549" s="250" t="str">
        <f t="shared" si="70"/>
        <v/>
      </c>
      <c r="F549" s="556"/>
      <c r="G549" s="252" t="str">
        <f>IFERROR(VLOOKUP(F549,'Data (hidden)'!N:O,2,FALSE),"")</f>
        <v/>
      </c>
      <c r="H549" s="557"/>
      <c r="I549" s="558"/>
      <c r="J549" s="123">
        <f t="shared" si="73"/>
        <v>0</v>
      </c>
      <c r="K549" s="123" t="e">
        <f t="shared" si="74"/>
        <v>#VALUE!</v>
      </c>
      <c r="L549" s="123">
        <f t="shared" si="71"/>
        <v>0</v>
      </c>
      <c r="M549" s="124" t="str">
        <f t="shared" si="72"/>
        <v/>
      </c>
      <c r="N549" s="112"/>
      <c r="O549" s="101"/>
      <c r="P549" s="101"/>
      <c r="Q549" s="101"/>
      <c r="R549" s="102"/>
      <c r="S549" s="102"/>
      <c r="T549" s="102"/>
      <c r="U549" s="103"/>
      <c r="V549" s="100"/>
      <c r="W549" s="101"/>
      <c r="X549" s="113"/>
      <c r="Y549" s="114"/>
      <c r="Z549" s="102"/>
      <c r="AA549" s="101"/>
      <c r="AB549" s="111"/>
      <c r="AE549" s="187"/>
      <c r="AF549" s="185"/>
      <c r="AG549" s="185" t="str">
        <f t="shared" si="75"/>
        <v/>
      </c>
      <c r="AH549" s="186" t="str">
        <f t="shared" si="76"/>
        <v/>
      </c>
      <c r="AI549" s="185"/>
      <c r="AJ549" s="188"/>
      <c r="CC549" s="562"/>
      <c r="CD549" s="425"/>
    </row>
    <row r="550" spans="2:82" ht="30" customHeight="1" x14ac:dyDescent="0.3">
      <c r="B550" s="562"/>
      <c r="C550" s="563"/>
      <c r="D550" s="425"/>
      <c r="E550" s="250" t="str">
        <f t="shared" si="70"/>
        <v/>
      </c>
      <c r="F550" s="556"/>
      <c r="G550" s="252" t="str">
        <f>IFERROR(VLOOKUP(F550,'Data (hidden)'!N:O,2,FALSE),"")</f>
        <v/>
      </c>
      <c r="H550" s="557"/>
      <c r="I550" s="558"/>
      <c r="J550" s="123">
        <f t="shared" si="73"/>
        <v>0</v>
      </c>
      <c r="K550" s="123" t="e">
        <f t="shared" si="74"/>
        <v>#VALUE!</v>
      </c>
      <c r="L550" s="123">
        <f t="shared" si="71"/>
        <v>0</v>
      </c>
      <c r="M550" s="124" t="str">
        <f t="shared" si="72"/>
        <v/>
      </c>
      <c r="N550" s="112"/>
      <c r="O550" s="101"/>
      <c r="P550" s="101"/>
      <c r="Q550" s="101"/>
      <c r="R550" s="102"/>
      <c r="S550" s="102"/>
      <c r="T550" s="102"/>
      <c r="U550" s="103"/>
      <c r="V550" s="100"/>
      <c r="W550" s="101"/>
      <c r="X550" s="113"/>
      <c r="Y550" s="114"/>
      <c r="Z550" s="102"/>
      <c r="AA550" s="101"/>
      <c r="AB550" s="111"/>
      <c r="AE550" s="187"/>
      <c r="AF550" s="185"/>
      <c r="AG550" s="185" t="str">
        <f t="shared" si="75"/>
        <v/>
      </c>
      <c r="AH550" s="186" t="str">
        <f t="shared" si="76"/>
        <v/>
      </c>
      <c r="AI550" s="185"/>
      <c r="AJ550" s="188"/>
      <c r="CC550" s="562"/>
      <c r="CD550" s="425"/>
    </row>
    <row r="551" spans="2:82" ht="30" customHeight="1" x14ac:dyDescent="0.3">
      <c r="B551" s="562"/>
      <c r="C551" s="563"/>
      <c r="D551" s="425"/>
      <c r="E551" s="250" t="str">
        <f t="shared" si="70"/>
        <v/>
      </c>
      <c r="F551" s="556"/>
      <c r="G551" s="252" t="str">
        <f>IFERROR(VLOOKUP(F551,'Data (hidden)'!N:O,2,FALSE),"")</f>
        <v/>
      </c>
      <c r="H551" s="557"/>
      <c r="I551" s="558"/>
      <c r="J551" s="123">
        <f t="shared" si="73"/>
        <v>0</v>
      </c>
      <c r="K551" s="123" t="e">
        <f t="shared" si="74"/>
        <v>#VALUE!</v>
      </c>
      <c r="L551" s="123">
        <f t="shared" si="71"/>
        <v>0</v>
      </c>
      <c r="M551" s="124" t="str">
        <f t="shared" si="72"/>
        <v/>
      </c>
      <c r="N551" s="112"/>
      <c r="O551" s="101"/>
      <c r="P551" s="101"/>
      <c r="Q551" s="101"/>
      <c r="R551" s="102"/>
      <c r="S551" s="102"/>
      <c r="T551" s="102"/>
      <c r="U551" s="103"/>
      <c r="V551" s="100"/>
      <c r="W551" s="101"/>
      <c r="X551" s="113"/>
      <c r="Y551" s="114"/>
      <c r="Z551" s="102"/>
      <c r="AA551" s="101"/>
      <c r="AB551" s="111"/>
      <c r="AE551" s="187"/>
      <c r="AF551" s="185"/>
      <c r="AG551" s="185" t="str">
        <f t="shared" si="75"/>
        <v/>
      </c>
      <c r="AH551" s="186" t="str">
        <f t="shared" si="76"/>
        <v/>
      </c>
      <c r="AI551" s="185"/>
      <c r="AJ551" s="188"/>
      <c r="CC551" s="562"/>
      <c r="CD551" s="425"/>
    </row>
    <row r="552" spans="2:82" ht="30" customHeight="1" x14ac:dyDescent="0.3">
      <c r="B552" s="562"/>
      <c r="C552" s="563"/>
      <c r="D552" s="425"/>
      <c r="E552" s="250" t="str">
        <f t="shared" si="70"/>
        <v/>
      </c>
      <c r="F552" s="556"/>
      <c r="G552" s="252" t="str">
        <f>IFERROR(VLOOKUP(F552,'Data (hidden)'!N:O,2,FALSE),"")</f>
        <v/>
      </c>
      <c r="H552" s="557"/>
      <c r="I552" s="558"/>
      <c r="J552" s="123">
        <f t="shared" si="73"/>
        <v>0</v>
      </c>
      <c r="K552" s="123" t="e">
        <f t="shared" si="74"/>
        <v>#VALUE!</v>
      </c>
      <c r="L552" s="123">
        <f t="shared" si="71"/>
        <v>0</v>
      </c>
      <c r="M552" s="124" t="str">
        <f t="shared" si="72"/>
        <v/>
      </c>
      <c r="N552" s="112"/>
      <c r="O552" s="101"/>
      <c r="P552" s="101"/>
      <c r="Q552" s="101"/>
      <c r="R552" s="102"/>
      <c r="S552" s="102"/>
      <c r="T552" s="102"/>
      <c r="U552" s="103"/>
      <c r="V552" s="100"/>
      <c r="W552" s="101"/>
      <c r="X552" s="113"/>
      <c r="Y552" s="114"/>
      <c r="Z552" s="102"/>
      <c r="AA552" s="101"/>
      <c r="AB552" s="111"/>
      <c r="AE552" s="187"/>
      <c r="AF552" s="185"/>
      <c r="AG552" s="185" t="str">
        <f t="shared" si="75"/>
        <v/>
      </c>
      <c r="AH552" s="186" t="str">
        <f t="shared" si="76"/>
        <v/>
      </c>
      <c r="AI552" s="185"/>
      <c r="AJ552" s="188"/>
      <c r="CC552" s="562"/>
      <c r="CD552" s="425"/>
    </row>
    <row r="553" spans="2:82" ht="30" customHeight="1" x14ac:dyDescent="0.3">
      <c r="B553" s="562"/>
      <c r="C553" s="563"/>
      <c r="D553" s="425"/>
      <c r="E553" s="250" t="str">
        <f t="shared" si="70"/>
        <v/>
      </c>
      <c r="F553" s="556"/>
      <c r="G553" s="252" t="str">
        <f>IFERROR(VLOOKUP(F553,'Data (hidden)'!N:O,2,FALSE),"")</f>
        <v/>
      </c>
      <c r="H553" s="557"/>
      <c r="I553" s="558"/>
      <c r="J553" s="123">
        <f t="shared" si="73"/>
        <v>0</v>
      </c>
      <c r="K553" s="123" t="e">
        <f t="shared" si="74"/>
        <v>#VALUE!</v>
      </c>
      <c r="L553" s="123">
        <f t="shared" si="71"/>
        <v>0</v>
      </c>
      <c r="M553" s="124" t="str">
        <f t="shared" si="72"/>
        <v/>
      </c>
      <c r="N553" s="112"/>
      <c r="O553" s="101"/>
      <c r="P553" s="101"/>
      <c r="Q553" s="101"/>
      <c r="R553" s="102"/>
      <c r="S553" s="102"/>
      <c r="T553" s="102"/>
      <c r="U553" s="103"/>
      <c r="V553" s="100"/>
      <c r="W553" s="101"/>
      <c r="X553" s="113"/>
      <c r="Y553" s="114"/>
      <c r="Z553" s="102"/>
      <c r="AA553" s="101"/>
      <c r="AB553" s="111"/>
      <c r="AE553" s="187"/>
      <c r="AF553" s="185"/>
      <c r="AG553" s="185" t="str">
        <f t="shared" si="75"/>
        <v/>
      </c>
      <c r="AH553" s="186" t="str">
        <f t="shared" si="76"/>
        <v/>
      </c>
      <c r="AI553" s="185"/>
      <c r="AJ553" s="188"/>
      <c r="CC553" s="562"/>
      <c r="CD553" s="425"/>
    </row>
    <row r="554" spans="2:82" ht="30" customHeight="1" x14ac:dyDescent="0.3">
      <c r="B554" s="562"/>
      <c r="C554" s="563"/>
      <c r="D554" s="425"/>
      <c r="E554" s="250" t="str">
        <f t="shared" si="70"/>
        <v/>
      </c>
      <c r="F554" s="556"/>
      <c r="G554" s="252" t="str">
        <f>IFERROR(VLOOKUP(F554,'Data (hidden)'!N:O,2,FALSE),"")</f>
        <v/>
      </c>
      <c r="H554" s="557"/>
      <c r="I554" s="558"/>
      <c r="J554" s="123">
        <f t="shared" si="73"/>
        <v>0</v>
      </c>
      <c r="K554" s="123" t="e">
        <f t="shared" si="74"/>
        <v>#VALUE!</v>
      </c>
      <c r="L554" s="123">
        <f t="shared" si="71"/>
        <v>0</v>
      </c>
      <c r="M554" s="124" t="str">
        <f t="shared" si="72"/>
        <v/>
      </c>
      <c r="N554" s="112"/>
      <c r="O554" s="101"/>
      <c r="P554" s="101"/>
      <c r="Q554" s="101"/>
      <c r="R554" s="102"/>
      <c r="S554" s="102"/>
      <c r="T554" s="102"/>
      <c r="U554" s="103"/>
      <c r="V554" s="100"/>
      <c r="W554" s="101"/>
      <c r="X554" s="113"/>
      <c r="Y554" s="114"/>
      <c r="Z554" s="102"/>
      <c r="AA554" s="101"/>
      <c r="AB554" s="111"/>
      <c r="AE554" s="187"/>
      <c r="AF554" s="185"/>
      <c r="AG554" s="185" t="str">
        <f t="shared" si="75"/>
        <v/>
      </c>
      <c r="AH554" s="186" t="str">
        <f t="shared" si="76"/>
        <v/>
      </c>
      <c r="AI554" s="185"/>
      <c r="AJ554" s="188"/>
      <c r="CC554" s="562"/>
      <c r="CD554" s="425"/>
    </row>
    <row r="555" spans="2:82" ht="30" customHeight="1" x14ac:dyDescent="0.3">
      <c r="B555" s="562"/>
      <c r="C555" s="563"/>
      <c r="D555" s="425"/>
      <c r="E555" s="250" t="str">
        <f t="shared" si="70"/>
        <v/>
      </c>
      <c r="F555" s="556"/>
      <c r="G555" s="252" t="str">
        <f>IFERROR(VLOOKUP(F555,'Data (hidden)'!N:O,2,FALSE),"")</f>
        <v/>
      </c>
      <c r="H555" s="557"/>
      <c r="I555" s="558"/>
      <c r="J555" s="123">
        <f t="shared" si="73"/>
        <v>0</v>
      </c>
      <c r="K555" s="123" t="e">
        <f t="shared" si="74"/>
        <v>#VALUE!</v>
      </c>
      <c r="L555" s="123">
        <f t="shared" si="71"/>
        <v>0</v>
      </c>
      <c r="M555" s="124" t="str">
        <f t="shared" si="72"/>
        <v/>
      </c>
      <c r="N555" s="112"/>
      <c r="O555" s="101"/>
      <c r="P555" s="101"/>
      <c r="Q555" s="101"/>
      <c r="R555" s="102"/>
      <c r="S555" s="102"/>
      <c r="T555" s="102"/>
      <c r="U555" s="103"/>
      <c r="V555" s="100"/>
      <c r="W555" s="101"/>
      <c r="X555" s="113"/>
      <c r="Y555" s="114"/>
      <c r="Z555" s="102"/>
      <c r="AA555" s="101"/>
      <c r="AB555" s="111"/>
      <c r="AE555" s="187"/>
      <c r="AF555" s="185"/>
      <c r="AG555" s="185" t="str">
        <f t="shared" si="75"/>
        <v/>
      </c>
      <c r="AH555" s="186" t="str">
        <f t="shared" si="76"/>
        <v/>
      </c>
      <c r="AI555" s="185"/>
      <c r="AJ555" s="188"/>
      <c r="CC555" s="562"/>
      <c r="CD555" s="425"/>
    </row>
    <row r="556" spans="2:82" ht="30" customHeight="1" x14ac:dyDescent="0.3">
      <c r="B556" s="562"/>
      <c r="C556" s="563"/>
      <c r="D556" s="425"/>
      <c r="E556" s="250" t="str">
        <f t="shared" si="70"/>
        <v/>
      </c>
      <c r="F556" s="556"/>
      <c r="G556" s="252" t="str">
        <f>IFERROR(VLOOKUP(F556,'Data (hidden)'!N:O,2,FALSE),"")</f>
        <v/>
      </c>
      <c r="H556" s="557"/>
      <c r="I556" s="558"/>
      <c r="J556" s="123">
        <f t="shared" si="73"/>
        <v>0</v>
      </c>
      <c r="K556" s="123" t="e">
        <f t="shared" si="74"/>
        <v>#VALUE!</v>
      </c>
      <c r="L556" s="123">
        <f t="shared" si="71"/>
        <v>0</v>
      </c>
      <c r="M556" s="124" t="str">
        <f t="shared" si="72"/>
        <v/>
      </c>
      <c r="N556" s="112"/>
      <c r="O556" s="101"/>
      <c r="P556" s="101"/>
      <c r="Q556" s="101"/>
      <c r="R556" s="102"/>
      <c r="S556" s="102"/>
      <c r="T556" s="102"/>
      <c r="U556" s="103"/>
      <c r="V556" s="100"/>
      <c r="W556" s="101"/>
      <c r="X556" s="113"/>
      <c r="Y556" s="114"/>
      <c r="Z556" s="102"/>
      <c r="AA556" s="101"/>
      <c r="AB556" s="111"/>
      <c r="AE556" s="187"/>
      <c r="AF556" s="185"/>
      <c r="AG556" s="185" t="str">
        <f t="shared" si="75"/>
        <v/>
      </c>
      <c r="AH556" s="186" t="str">
        <f t="shared" si="76"/>
        <v/>
      </c>
      <c r="AI556" s="185"/>
      <c r="AJ556" s="188"/>
      <c r="CC556" s="562"/>
      <c r="CD556" s="425"/>
    </row>
    <row r="557" spans="2:82" ht="30" customHeight="1" x14ac:dyDescent="0.3">
      <c r="B557" s="562"/>
      <c r="C557" s="563"/>
      <c r="D557" s="425"/>
      <c r="E557" s="250" t="str">
        <f t="shared" si="70"/>
        <v/>
      </c>
      <c r="F557" s="556"/>
      <c r="G557" s="252" t="str">
        <f>IFERROR(VLOOKUP(F557,'Data (hidden)'!N:O,2,FALSE),"")</f>
        <v/>
      </c>
      <c r="H557" s="557"/>
      <c r="I557" s="558"/>
      <c r="J557" s="123">
        <f t="shared" si="73"/>
        <v>0</v>
      </c>
      <c r="K557" s="123" t="e">
        <f t="shared" si="74"/>
        <v>#VALUE!</v>
      </c>
      <c r="L557" s="123">
        <f t="shared" si="71"/>
        <v>0</v>
      </c>
      <c r="M557" s="124" t="str">
        <f t="shared" si="72"/>
        <v/>
      </c>
      <c r="N557" s="112"/>
      <c r="O557" s="101"/>
      <c r="P557" s="101"/>
      <c r="Q557" s="101"/>
      <c r="R557" s="102"/>
      <c r="S557" s="102"/>
      <c r="T557" s="102"/>
      <c r="U557" s="103"/>
      <c r="V557" s="100"/>
      <c r="W557" s="101"/>
      <c r="X557" s="113"/>
      <c r="Y557" s="114"/>
      <c r="Z557" s="102"/>
      <c r="AA557" s="101"/>
      <c r="AB557" s="111"/>
      <c r="AE557" s="187"/>
      <c r="AF557" s="185"/>
      <c r="AG557" s="185" t="str">
        <f t="shared" si="75"/>
        <v/>
      </c>
      <c r="AH557" s="186" t="str">
        <f t="shared" si="76"/>
        <v/>
      </c>
      <c r="AI557" s="185"/>
      <c r="AJ557" s="188"/>
      <c r="CC557" s="562"/>
      <c r="CD557" s="425"/>
    </row>
    <row r="558" spans="2:82" ht="30" customHeight="1" x14ac:dyDescent="0.3">
      <c r="B558" s="562"/>
      <c r="C558" s="563"/>
      <c r="D558" s="425"/>
      <c r="E558" s="250" t="str">
        <f t="shared" si="70"/>
        <v/>
      </c>
      <c r="F558" s="556"/>
      <c r="G558" s="252" t="str">
        <f>IFERROR(VLOOKUP(F558,'Data (hidden)'!N:O,2,FALSE),"")</f>
        <v/>
      </c>
      <c r="H558" s="557"/>
      <c r="I558" s="558"/>
      <c r="J558" s="123">
        <f t="shared" si="73"/>
        <v>0</v>
      </c>
      <c r="K558" s="123" t="e">
        <f t="shared" si="74"/>
        <v>#VALUE!</v>
      </c>
      <c r="L558" s="123">
        <f t="shared" si="71"/>
        <v>0</v>
      </c>
      <c r="M558" s="124" t="str">
        <f t="shared" si="72"/>
        <v/>
      </c>
      <c r="N558" s="112"/>
      <c r="O558" s="101"/>
      <c r="P558" s="101"/>
      <c r="Q558" s="101"/>
      <c r="R558" s="102"/>
      <c r="S558" s="102"/>
      <c r="T558" s="102"/>
      <c r="U558" s="103"/>
      <c r="V558" s="100"/>
      <c r="W558" s="101"/>
      <c r="X558" s="113"/>
      <c r="Y558" s="114"/>
      <c r="Z558" s="102"/>
      <c r="AA558" s="101"/>
      <c r="AB558" s="111"/>
      <c r="AE558" s="187"/>
      <c r="AF558" s="185"/>
      <c r="AG558" s="185" t="str">
        <f t="shared" si="75"/>
        <v/>
      </c>
      <c r="AH558" s="186" t="str">
        <f t="shared" si="76"/>
        <v/>
      </c>
      <c r="AI558" s="185"/>
      <c r="AJ558" s="188"/>
      <c r="CC558" s="562"/>
      <c r="CD558" s="425"/>
    </row>
    <row r="559" spans="2:82" ht="30" customHeight="1" x14ac:dyDescent="0.3">
      <c r="B559" s="562"/>
      <c r="C559" s="563"/>
      <c r="D559" s="425"/>
      <c r="E559" s="250" t="str">
        <f t="shared" si="70"/>
        <v/>
      </c>
      <c r="F559" s="556"/>
      <c r="G559" s="252" t="str">
        <f>IFERROR(VLOOKUP(F559,'Data (hidden)'!N:O,2,FALSE),"")</f>
        <v/>
      </c>
      <c r="H559" s="557"/>
      <c r="I559" s="558"/>
      <c r="J559" s="123">
        <f t="shared" si="73"/>
        <v>0</v>
      </c>
      <c r="K559" s="123" t="e">
        <f t="shared" si="74"/>
        <v>#VALUE!</v>
      </c>
      <c r="L559" s="123">
        <f t="shared" si="71"/>
        <v>0</v>
      </c>
      <c r="M559" s="124" t="str">
        <f t="shared" si="72"/>
        <v/>
      </c>
      <c r="N559" s="112"/>
      <c r="O559" s="101"/>
      <c r="P559" s="101"/>
      <c r="Q559" s="101"/>
      <c r="R559" s="102"/>
      <c r="S559" s="102"/>
      <c r="T559" s="102"/>
      <c r="U559" s="103"/>
      <c r="V559" s="100"/>
      <c r="W559" s="101"/>
      <c r="X559" s="113"/>
      <c r="Y559" s="114"/>
      <c r="Z559" s="102"/>
      <c r="AA559" s="101"/>
      <c r="AB559" s="111"/>
      <c r="AE559" s="187"/>
      <c r="AF559" s="185"/>
      <c r="AG559" s="185" t="str">
        <f t="shared" si="75"/>
        <v/>
      </c>
      <c r="AH559" s="186" t="str">
        <f t="shared" si="76"/>
        <v/>
      </c>
      <c r="AI559" s="185"/>
      <c r="AJ559" s="188"/>
      <c r="CC559" s="562"/>
      <c r="CD559" s="425"/>
    </row>
    <row r="560" spans="2:82" ht="30" customHeight="1" x14ac:dyDescent="0.3">
      <c r="B560" s="562"/>
      <c r="C560" s="563"/>
      <c r="D560" s="425"/>
      <c r="E560" s="250" t="str">
        <f t="shared" si="70"/>
        <v/>
      </c>
      <c r="F560" s="556"/>
      <c r="G560" s="252" t="str">
        <f>IFERROR(VLOOKUP(F560,'Data (hidden)'!N:O,2,FALSE),"")</f>
        <v/>
      </c>
      <c r="H560" s="557"/>
      <c r="I560" s="558"/>
      <c r="J560" s="123">
        <f t="shared" si="73"/>
        <v>0</v>
      </c>
      <c r="K560" s="123" t="e">
        <f t="shared" si="74"/>
        <v>#VALUE!</v>
      </c>
      <c r="L560" s="123">
        <f t="shared" si="71"/>
        <v>0</v>
      </c>
      <c r="M560" s="124" t="str">
        <f t="shared" si="72"/>
        <v/>
      </c>
      <c r="N560" s="112"/>
      <c r="O560" s="101"/>
      <c r="P560" s="101"/>
      <c r="Q560" s="101"/>
      <c r="R560" s="102"/>
      <c r="S560" s="102"/>
      <c r="T560" s="102"/>
      <c r="U560" s="103"/>
      <c r="V560" s="100"/>
      <c r="W560" s="101"/>
      <c r="X560" s="113"/>
      <c r="Y560" s="114"/>
      <c r="Z560" s="102"/>
      <c r="AA560" s="101"/>
      <c r="AB560" s="111"/>
      <c r="AE560" s="187"/>
      <c r="AF560" s="185"/>
      <c r="AG560" s="185" t="str">
        <f t="shared" si="75"/>
        <v/>
      </c>
      <c r="AH560" s="186" t="str">
        <f t="shared" si="76"/>
        <v/>
      </c>
      <c r="AI560" s="185"/>
      <c r="AJ560" s="188"/>
      <c r="CC560" s="562"/>
      <c r="CD560" s="425"/>
    </row>
    <row r="561" spans="2:82" ht="30" customHeight="1" x14ac:dyDescent="0.3">
      <c r="B561" s="562"/>
      <c r="C561" s="563"/>
      <c r="D561" s="425"/>
      <c r="E561" s="250" t="str">
        <f t="shared" si="70"/>
        <v/>
      </c>
      <c r="F561" s="556"/>
      <c r="G561" s="252" t="str">
        <f>IFERROR(VLOOKUP(F561,'Data (hidden)'!N:O,2,FALSE),"")</f>
        <v/>
      </c>
      <c r="H561" s="557"/>
      <c r="I561" s="558"/>
      <c r="J561" s="123">
        <f t="shared" si="73"/>
        <v>0</v>
      </c>
      <c r="K561" s="123" t="e">
        <f t="shared" si="74"/>
        <v>#VALUE!</v>
      </c>
      <c r="L561" s="123">
        <f t="shared" si="71"/>
        <v>0</v>
      </c>
      <c r="M561" s="124" t="str">
        <f t="shared" si="72"/>
        <v/>
      </c>
      <c r="N561" s="112"/>
      <c r="O561" s="101"/>
      <c r="P561" s="101"/>
      <c r="Q561" s="101"/>
      <c r="R561" s="102"/>
      <c r="S561" s="102"/>
      <c r="T561" s="102"/>
      <c r="U561" s="103"/>
      <c r="V561" s="100"/>
      <c r="W561" s="101"/>
      <c r="X561" s="113"/>
      <c r="Y561" s="114"/>
      <c r="Z561" s="102"/>
      <c r="AA561" s="101"/>
      <c r="AB561" s="111"/>
      <c r="AE561" s="187"/>
      <c r="AF561" s="185"/>
      <c r="AG561" s="185" t="str">
        <f t="shared" si="75"/>
        <v/>
      </c>
      <c r="AH561" s="186" t="str">
        <f t="shared" si="76"/>
        <v/>
      </c>
      <c r="AI561" s="185"/>
      <c r="AJ561" s="188"/>
      <c r="CC561" s="562"/>
      <c r="CD561" s="425"/>
    </row>
    <row r="562" spans="2:82" ht="30" customHeight="1" x14ac:dyDescent="0.3">
      <c r="B562" s="562"/>
      <c r="C562" s="563"/>
      <c r="D562" s="425"/>
      <c r="E562" s="250" t="str">
        <f t="shared" si="70"/>
        <v/>
      </c>
      <c r="F562" s="556"/>
      <c r="G562" s="252" t="str">
        <f>IFERROR(VLOOKUP(F562,'Data (hidden)'!N:O,2,FALSE),"")</f>
        <v/>
      </c>
      <c r="H562" s="557"/>
      <c r="I562" s="558"/>
      <c r="J562" s="123">
        <f t="shared" si="73"/>
        <v>0</v>
      </c>
      <c r="K562" s="123" t="e">
        <f t="shared" si="74"/>
        <v>#VALUE!</v>
      </c>
      <c r="L562" s="123">
        <f t="shared" si="71"/>
        <v>0</v>
      </c>
      <c r="M562" s="124" t="str">
        <f t="shared" si="72"/>
        <v/>
      </c>
      <c r="N562" s="112"/>
      <c r="O562" s="101"/>
      <c r="P562" s="101"/>
      <c r="Q562" s="101"/>
      <c r="R562" s="102"/>
      <c r="S562" s="102"/>
      <c r="T562" s="102"/>
      <c r="U562" s="103"/>
      <c r="V562" s="100"/>
      <c r="W562" s="101"/>
      <c r="X562" s="113"/>
      <c r="Y562" s="114"/>
      <c r="Z562" s="102"/>
      <c r="AA562" s="101"/>
      <c r="AB562" s="111"/>
      <c r="AE562" s="187"/>
      <c r="AF562" s="185"/>
      <c r="AG562" s="185" t="str">
        <f t="shared" si="75"/>
        <v/>
      </c>
      <c r="AH562" s="186" t="str">
        <f t="shared" si="76"/>
        <v/>
      </c>
      <c r="AI562" s="185"/>
      <c r="AJ562" s="188"/>
      <c r="CC562" s="562"/>
      <c r="CD562" s="425"/>
    </row>
    <row r="563" spans="2:82" ht="30" customHeight="1" x14ac:dyDescent="0.3">
      <c r="B563" s="562"/>
      <c r="C563" s="563"/>
      <c r="D563" s="425"/>
      <c r="E563" s="250" t="str">
        <f t="shared" si="70"/>
        <v/>
      </c>
      <c r="F563" s="556"/>
      <c r="G563" s="252" t="str">
        <f>IFERROR(VLOOKUP(F563,'Data (hidden)'!N:O,2,FALSE),"")</f>
        <v/>
      </c>
      <c r="H563" s="557"/>
      <c r="I563" s="558"/>
      <c r="J563" s="123">
        <f t="shared" si="73"/>
        <v>0</v>
      </c>
      <c r="K563" s="123" t="e">
        <f t="shared" si="74"/>
        <v>#VALUE!</v>
      </c>
      <c r="L563" s="123">
        <f t="shared" si="71"/>
        <v>0</v>
      </c>
      <c r="M563" s="124" t="str">
        <f t="shared" si="72"/>
        <v/>
      </c>
      <c r="N563" s="112"/>
      <c r="O563" s="101"/>
      <c r="P563" s="101"/>
      <c r="Q563" s="101"/>
      <c r="R563" s="102"/>
      <c r="S563" s="102"/>
      <c r="T563" s="102"/>
      <c r="U563" s="103"/>
      <c r="V563" s="100"/>
      <c r="W563" s="101"/>
      <c r="X563" s="113"/>
      <c r="Y563" s="114"/>
      <c r="Z563" s="102"/>
      <c r="AA563" s="101"/>
      <c r="AB563" s="111"/>
      <c r="AE563" s="187"/>
      <c r="AF563" s="185"/>
      <c r="AG563" s="185" t="str">
        <f t="shared" si="75"/>
        <v/>
      </c>
      <c r="AH563" s="186" t="str">
        <f t="shared" si="76"/>
        <v/>
      </c>
      <c r="AI563" s="185"/>
      <c r="AJ563" s="188"/>
      <c r="CC563" s="562"/>
      <c r="CD563" s="425"/>
    </row>
    <row r="564" spans="2:82" ht="30" customHeight="1" x14ac:dyDescent="0.3">
      <c r="B564" s="562"/>
      <c r="C564" s="563"/>
      <c r="D564" s="425"/>
      <c r="E564" s="250" t="str">
        <f t="shared" ref="E564:E627" si="77">IF(SUM(C564-(C564*L564))=0,"",SUM(C564-(C564*L564)))</f>
        <v/>
      </c>
      <c r="F564" s="556"/>
      <c r="G564" s="252" t="str">
        <f>IFERROR(VLOOKUP(F564,'Data (hidden)'!N:O,2,FALSE),"")</f>
        <v/>
      </c>
      <c r="H564" s="557"/>
      <c r="I564" s="558"/>
      <c r="J564" s="123">
        <f t="shared" si="73"/>
        <v>0</v>
      </c>
      <c r="K564" s="123" t="e">
        <f t="shared" si="74"/>
        <v>#VALUE!</v>
      </c>
      <c r="L564" s="123">
        <f t="shared" si="71"/>
        <v>0</v>
      </c>
      <c r="M564" s="124" t="str">
        <f t="shared" si="72"/>
        <v/>
      </c>
      <c r="N564" s="112"/>
      <c r="O564" s="101"/>
      <c r="P564" s="101"/>
      <c r="Q564" s="101"/>
      <c r="R564" s="102"/>
      <c r="S564" s="102"/>
      <c r="T564" s="102"/>
      <c r="U564" s="103"/>
      <c r="V564" s="100"/>
      <c r="W564" s="101"/>
      <c r="X564" s="113"/>
      <c r="Y564" s="114"/>
      <c r="Z564" s="102"/>
      <c r="AA564" s="101"/>
      <c r="AB564" s="111"/>
      <c r="AE564" s="187"/>
      <c r="AF564" s="185"/>
      <c r="AG564" s="185" t="str">
        <f t="shared" si="75"/>
        <v/>
      </c>
      <c r="AH564" s="186" t="str">
        <f t="shared" si="76"/>
        <v/>
      </c>
      <c r="AI564" s="185"/>
      <c r="AJ564" s="188"/>
      <c r="CC564" s="562"/>
      <c r="CD564" s="425"/>
    </row>
    <row r="565" spans="2:82" ht="30" customHeight="1" x14ac:dyDescent="0.3">
      <c r="B565" s="562"/>
      <c r="C565" s="563"/>
      <c r="D565" s="425"/>
      <c r="E565" s="250" t="str">
        <f t="shared" si="77"/>
        <v/>
      </c>
      <c r="F565" s="556"/>
      <c r="G565" s="252" t="str">
        <f>IFERROR(VLOOKUP(F565,'Data (hidden)'!N:O,2,FALSE),"")</f>
        <v/>
      </c>
      <c r="H565" s="557"/>
      <c r="I565" s="558"/>
      <c r="J565" s="123">
        <f t="shared" si="73"/>
        <v>0</v>
      </c>
      <c r="K565" s="123" t="e">
        <f t="shared" si="74"/>
        <v>#VALUE!</v>
      </c>
      <c r="L565" s="123">
        <f t="shared" si="71"/>
        <v>0</v>
      </c>
      <c r="M565" s="124" t="str">
        <f t="shared" si="72"/>
        <v/>
      </c>
      <c r="N565" s="112"/>
      <c r="O565" s="101"/>
      <c r="P565" s="101"/>
      <c r="Q565" s="101"/>
      <c r="R565" s="102"/>
      <c r="S565" s="102"/>
      <c r="T565" s="102"/>
      <c r="U565" s="103"/>
      <c r="V565" s="100"/>
      <c r="W565" s="101"/>
      <c r="X565" s="113"/>
      <c r="Y565" s="114"/>
      <c r="Z565" s="102"/>
      <c r="AA565" s="101"/>
      <c r="AB565" s="111"/>
      <c r="AE565" s="187"/>
      <c r="AF565" s="185"/>
      <c r="AG565" s="185" t="str">
        <f t="shared" si="75"/>
        <v/>
      </c>
      <c r="AH565" s="186" t="str">
        <f t="shared" si="76"/>
        <v/>
      </c>
      <c r="AI565" s="185"/>
      <c r="AJ565" s="188"/>
      <c r="CC565" s="562"/>
      <c r="CD565" s="425"/>
    </row>
    <row r="566" spans="2:82" ht="30" customHeight="1" x14ac:dyDescent="0.3">
      <c r="B566" s="562"/>
      <c r="C566" s="563"/>
      <c r="D566" s="425"/>
      <c r="E566" s="250" t="str">
        <f t="shared" si="77"/>
        <v/>
      </c>
      <c r="F566" s="556"/>
      <c r="G566" s="252" t="str">
        <f>IFERROR(VLOOKUP(F566,'Data (hidden)'!N:O,2,FALSE),"")</f>
        <v/>
      </c>
      <c r="H566" s="557"/>
      <c r="I566" s="558"/>
      <c r="J566" s="123">
        <f t="shared" si="73"/>
        <v>0</v>
      </c>
      <c r="K566" s="123" t="e">
        <f t="shared" si="74"/>
        <v>#VALUE!</v>
      </c>
      <c r="L566" s="123">
        <f t="shared" si="71"/>
        <v>0</v>
      </c>
      <c r="M566" s="124" t="str">
        <f t="shared" si="72"/>
        <v/>
      </c>
      <c r="N566" s="112"/>
      <c r="O566" s="101"/>
      <c r="P566" s="101"/>
      <c r="Q566" s="101"/>
      <c r="R566" s="102"/>
      <c r="S566" s="102"/>
      <c r="T566" s="102"/>
      <c r="U566" s="103"/>
      <c r="V566" s="100"/>
      <c r="W566" s="101"/>
      <c r="X566" s="113"/>
      <c r="Y566" s="114"/>
      <c r="Z566" s="102"/>
      <c r="AA566" s="101"/>
      <c r="AB566" s="111"/>
      <c r="AE566" s="187"/>
      <c r="AF566" s="185"/>
      <c r="AG566" s="185" t="str">
        <f t="shared" si="75"/>
        <v/>
      </c>
      <c r="AH566" s="186" t="str">
        <f t="shared" si="76"/>
        <v/>
      </c>
      <c r="AI566" s="185"/>
      <c r="AJ566" s="188"/>
      <c r="CC566" s="562"/>
      <c r="CD566" s="425"/>
    </row>
    <row r="567" spans="2:82" ht="30" customHeight="1" x14ac:dyDescent="0.3">
      <c r="B567" s="562"/>
      <c r="C567" s="563"/>
      <c r="D567" s="425"/>
      <c r="E567" s="250" t="str">
        <f t="shared" si="77"/>
        <v/>
      </c>
      <c r="F567" s="556"/>
      <c r="G567" s="252" t="str">
        <f>IFERROR(VLOOKUP(F567,'Data (hidden)'!N:O,2,FALSE),"")</f>
        <v/>
      </c>
      <c r="H567" s="557"/>
      <c r="I567" s="558"/>
      <c r="J567" s="123">
        <f t="shared" si="73"/>
        <v>0</v>
      </c>
      <c r="K567" s="123" t="e">
        <f t="shared" si="74"/>
        <v>#VALUE!</v>
      </c>
      <c r="L567" s="123">
        <f t="shared" si="71"/>
        <v>0</v>
      </c>
      <c r="M567" s="124" t="str">
        <f t="shared" si="72"/>
        <v/>
      </c>
      <c r="N567" s="112"/>
      <c r="O567" s="101"/>
      <c r="P567" s="101"/>
      <c r="Q567" s="101"/>
      <c r="R567" s="102"/>
      <c r="S567" s="102"/>
      <c r="T567" s="102"/>
      <c r="U567" s="103"/>
      <c r="V567" s="100"/>
      <c r="W567" s="101"/>
      <c r="X567" s="113"/>
      <c r="Y567" s="114"/>
      <c r="Z567" s="102"/>
      <c r="AA567" s="101"/>
      <c r="AB567" s="111"/>
      <c r="AE567" s="187"/>
      <c r="AF567" s="185"/>
      <c r="AG567" s="185" t="str">
        <f t="shared" si="75"/>
        <v/>
      </c>
      <c r="AH567" s="186" t="str">
        <f t="shared" si="76"/>
        <v/>
      </c>
      <c r="AI567" s="185"/>
      <c r="AJ567" s="188"/>
      <c r="CC567" s="562"/>
      <c r="CD567" s="425"/>
    </row>
    <row r="568" spans="2:82" ht="30" customHeight="1" x14ac:dyDescent="0.3">
      <c r="B568" s="562"/>
      <c r="C568" s="563"/>
      <c r="D568" s="425"/>
      <c r="E568" s="250" t="str">
        <f t="shared" si="77"/>
        <v/>
      </c>
      <c r="F568" s="556"/>
      <c r="G568" s="252" t="str">
        <f>IFERROR(VLOOKUP(F568,'Data (hidden)'!N:O,2,FALSE),"")</f>
        <v/>
      </c>
      <c r="H568" s="557"/>
      <c r="I568" s="558"/>
      <c r="J568" s="123">
        <f t="shared" si="73"/>
        <v>0</v>
      </c>
      <c r="K568" s="123" t="e">
        <f t="shared" si="74"/>
        <v>#VALUE!</v>
      </c>
      <c r="L568" s="123">
        <f t="shared" si="71"/>
        <v>0</v>
      </c>
      <c r="M568" s="124" t="str">
        <f t="shared" si="72"/>
        <v/>
      </c>
      <c r="N568" s="112"/>
      <c r="O568" s="101"/>
      <c r="P568" s="101"/>
      <c r="Q568" s="101"/>
      <c r="R568" s="102"/>
      <c r="S568" s="102"/>
      <c r="T568" s="102"/>
      <c r="U568" s="103"/>
      <c r="V568" s="100"/>
      <c r="W568" s="101"/>
      <c r="X568" s="113"/>
      <c r="Y568" s="114"/>
      <c r="Z568" s="102"/>
      <c r="AA568" s="101"/>
      <c r="AB568" s="111"/>
      <c r="AE568" s="187"/>
      <c r="AF568" s="185"/>
      <c r="AG568" s="185" t="str">
        <f t="shared" si="75"/>
        <v/>
      </c>
      <c r="AH568" s="186" t="str">
        <f t="shared" si="76"/>
        <v/>
      </c>
      <c r="AI568" s="185"/>
      <c r="AJ568" s="188"/>
      <c r="CC568" s="562"/>
      <c r="CD568" s="425"/>
    </row>
    <row r="569" spans="2:82" ht="30" customHeight="1" x14ac:dyDescent="0.3">
      <c r="B569" s="562"/>
      <c r="C569" s="563"/>
      <c r="D569" s="425"/>
      <c r="E569" s="250" t="str">
        <f t="shared" si="77"/>
        <v/>
      </c>
      <c r="F569" s="556"/>
      <c r="G569" s="252" t="str">
        <f>IFERROR(VLOOKUP(F569,'Data (hidden)'!N:O,2,FALSE),"")</f>
        <v/>
      </c>
      <c r="H569" s="557"/>
      <c r="I569" s="558"/>
      <c r="J569" s="123">
        <f t="shared" si="73"/>
        <v>0</v>
      </c>
      <c r="K569" s="123" t="e">
        <f t="shared" si="74"/>
        <v>#VALUE!</v>
      </c>
      <c r="L569" s="123">
        <f t="shared" si="71"/>
        <v>0</v>
      </c>
      <c r="M569" s="124" t="str">
        <f t="shared" si="72"/>
        <v/>
      </c>
      <c r="N569" s="112"/>
      <c r="O569" s="101"/>
      <c r="P569" s="101"/>
      <c r="Q569" s="101"/>
      <c r="R569" s="102"/>
      <c r="S569" s="102"/>
      <c r="T569" s="102"/>
      <c r="U569" s="103"/>
      <c r="V569" s="100"/>
      <c r="W569" s="101"/>
      <c r="X569" s="113"/>
      <c r="Y569" s="114"/>
      <c r="Z569" s="102"/>
      <c r="AA569" s="101"/>
      <c r="AB569" s="111"/>
      <c r="AE569" s="187"/>
      <c r="AF569" s="185"/>
      <c r="AG569" s="185" t="str">
        <f t="shared" si="75"/>
        <v/>
      </c>
      <c r="AH569" s="186" t="str">
        <f t="shared" si="76"/>
        <v/>
      </c>
      <c r="AI569" s="185"/>
      <c r="AJ569" s="188"/>
      <c r="CC569" s="562"/>
      <c r="CD569" s="425"/>
    </row>
    <row r="570" spans="2:82" ht="30" customHeight="1" x14ac:dyDescent="0.3">
      <c r="B570" s="562"/>
      <c r="C570" s="563"/>
      <c r="D570" s="425"/>
      <c r="E570" s="250" t="str">
        <f t="shared" si="77"/>
        <v/>
      </c>
      <c r="F570" s="556"/>
      <c r="G570" s="252" t="str">
        <f>IFERROR(VLOOKUP(F570,'Data (hidden)'!N:O,2,FALSE),"")</f>
        <v/>
      </c>
      <c r="H570" s="557"/>
      <c r="I570" s="558"/>
      <c r="J570" s="123">
        <f t="shared" si="73"/>
        <v>0</v>
      </c>
      <c r="K570" s="123" t="e">
        <f t="shared" si="74"/>
        <v>#VALUE!</v>
      </c>
      <c r="L570" s="123">
        <f t="shared" si="71"/>
        <v>0</v>
      </c>
      <c r="M570" s="124" t="str">
        <f t="shared" si="72"/>
        <v/>
      </c>
      <c r="N570" s="112"/>
      <c r="O570" s="101"/>
      <c r="P570" s="101"/>
      <c r="Q570" s="101"/>
      <c r="R570" s="102"/>
      <c r="S570" s="102"/>
      <c r="T570" s="102"/>
      <c r="U570" s="103"/>
      <c r="V570" s="100"/>
      <c r="W570" s="101"/>
      <c r="X570" s="113"/>
      <c r="Y570" s="114"/>
      <c r="Z570" s="102"/>
      <c r="AA570" s="101"/>
      <c r="AB570" s="111"/>
      <c r="AE570" s="187"/>
      <c r="AF570" s="185"/>
      <c r="AG570" s="185" t="str">
        <f t="shared" si="75"/>
        <v/>
      </c>
      <c r="AH570" s="186" t="str">
        <f t="shared" si="76"/>
        <v/>
      </c>
      <c r="AI570" s="185"/>
      <c r="AJ570" s="188"/>
      <c r="CC570" s="562"/>
      <c r="CD570" s="425"/>
    </row>
    <row r="571" spans="2:82" ht="30" customHeight="1" x14ac:dyDescent="0.3">
      <c r="B571" s="562"/>
      <c r="C571" s="563"/>
      <c r="D571" s="425"/>
      <c r="E571" s="250" t="str">
        <f t="shared" si="77"/>
        <v/>
      </c>
      <c r="F571" s="556"/>
      <c r="G571" s="252" t="str">
        <f>IFERROR(VLOOKUP(F571,'Data (hidden)'!N:O,2,FALSE),"")</f>
        <v/>
      </c>
      <c r="H571" s="557"/>
      <c r="I571" s="558"/>
      <c r="J571" s="123">
        <f t="shared" si="73"/>
        <v>0</v>
      </c>
      <c r="K571" s="123" t="e">
        <f t="shared" si="74"/>
        <v>#VALUE!</v>
      </c>
      <c r="L571" s="123">
        <f t="shared" si="71"/>
        <v>0</v>
      </c>
      <c r="M571" s="124" t="str">
        <f t="shared" si="72"/>
        <v/>
      </c>
      <c r="N571" s="112"/>
      <c r="O571" s="101"/>
      <c r="P571" s="101"/>
      <c r="Q571" s="101"/>
      <c r="R571" s="102"/>
      <c r="S571" s="102"/>
      <c r="T571" s="102"/>
      <c r="U571" s="103"/>
      <c r="V571" s="100"/>
      <c r="W571" s="101"/>
      <c r="X571" s="113"/>
      <c r="Y571" s="114"/>
      <c r="Z571" s="102"/>
      <c r="AA571" s="101"/>
      <c r="AB571" s="111"/>
      <c r="AE571" s="187"/>
      <c r="AF571" s="185"/>
      <c r="AG571" s="185" t="str">
        <f t="shared" si="75"/>
        <v/>
      </c>
      <c r="AH571" s="186" t="str">
        <f t="shared" si="76"/>
        <v/>
      </c>
      <c r="AI571" s="185"/>
      <c r="AJ571" s="188"/>
      <c r="CC571" s="562"/>
      <c r="CD571" s="425"/>
    </row>
    <row r="572" spans="2:82" ht="30" customHeight="1" x14ac:dyDescent="0.3">
      <c r="B572" s="562"/>
      <c r="C572" s="563"/>
      <c r="D572" s="425"/>
      <c r="E572" s="250" t="str">
        <f t="shared" si="77"/>
        <v/>
      </c>
      <c r="F572" s="556"/>
      <c r="G572" s="252" t="str">
        <f>IFERROR(VLOOKUP(F572,'Data (hidden)'!N:O,2,FALSE),"")</f>
        <v/>
      </c>
      <c r="H572" s="557"/>
      <c r="I572" s="558"/>
      <c r="J572" s="123">
        <f t="shared" si="73"/>
        <v>0</v>
      </c>
      <c r="K572" s="123" t="e">
        <f t="shared" si="74"/>
        <v>#VALUE!</v>
      </c>
      <c r="L572" s="123">
        <f t="shared" si="71"/>
        <v>0</v>
      </c>
      <c r="M572" s="124" t="str">
        <f t="shared" si="72"/>
        <v/>
      </c>
      <c r="N572" s="112"/>
      <c r="O572" s="101"/>
      <c r="P572" s="101"/>
      <c r="Q572" s="101"/>
      <c r="R572" s="102"/>
      <c r="S572" s="102"/>
      <c r="T572" s="102"/>
      <c r="U572" s="103"/>
      <c r="V572" s="100"/>
      <c r="W572" s="101"/>
      <c r="X572" s="113"/>
      <c r="Y572" s="114"/>
      <c r="Z572" s="102"/>
      <c r="AA572" s="101"/>
      <c r="AB572" s="111"/>
      <c r="AE572" s="187"/>
      <c r="AF572" s="185"/>
      <c r="AG572" s="185" t="str">
        <f t="shared" si="75"/>
        <v/>
      </c>
      <c r="AH572" s="186" t="str">
        <f t="shared" si="76"/>
        <v/>
      </c>
      <c r="AI572" s="185"/>
      <c r="AJ572" s="188"/>
      <c r="CC572" s="562"/>
      <c r="CD572" s="425"/>
    </row>
    <row r="573" spans="2:82" ht="30" customHeight="1" x14ac:dyDescent="0.3">
      <c r="B573" s="562"/>
      <c r="C573" s="563"/>
      <c r="D573" s="425"/>
      <c r="E573" s="250" t="str">
        <f t="shared" si="77"/>
        <v/>
      </c>
      <c r="F573" s="556"/>
      <c r="G573" s="252" t="str">
        <f>IFERROR(VLOOKUP(F573,'Data (hidden)'!N:O,2,FALSE),"")</f>
        <v/>
      </c>
      <c r="H573" s="557"/>
      <c r="I573" s="558"/>
      <c r="J573" s="123">
        <f t="shared" si="73"/>
        <v>0</v>
      </c>
      <c r="K573" s="123" t="e">
        <f t="shared" si="74"/>
        <v>#VALUE!</v>
      </c>
      <c r="L573" s="123">
        <f t="shared" si="71"/>
        <v>0</v>
      </c>
      <c r="M573" s="124" t="str">
        <f t="shared" si="72"/>
        <v/>
      </c>
      <c r="N573" s="112"/>
      <c r="O573" s="101"/>
      <c r="P573" s="101"/>
      <c r="Q573" s="101"/>
      <c r="R573" s="102"/>
      <c r="S573" s="102"/>
      <c r="T573" s="102"/>
      <c r="U573" s="103"/>
      <c r="V573" s="100"/>
      <c r="W573" s="101"/>
      <c r="X573" s="113"/>
      <c r="Y573" s="114"/>
      <c r="Z573" s="102"/>
      <c r="AA573" s="101"/>
      <c r="AB573" s="111"/>
      <c r="AE573" s="187"/>
      <c r="AF573" s="185"/>
      <c r="AG573" s="185" t="str">
        <f t="shared" si="75"/>
        <v/>
      </c>
      <c r="AH573" s="186" t="str">
        <f t="shared" si="76"/>
        <v/>
      </c>
      <c r="AI573" s="185"/>
      <c r="AJ573" s="188"/>
      <c r="CC573" s="562"/>
      <c r="CD573" s="425"/>
    </row>
    <row r="574" spans="2:82" ht="30" customHeight="1" x14ac:dyDescent="0.3">
      <c r="B574" s="562"/>
      <c r="C574" s="563"/>
      <c r="D574" s="425"/>
      <c r="E574" s="250" t="str">
        <f t="shared" si="77"/>
        <v/>
      </c>
      <c r="F574" s="556"/>
      <c r="G574" s="252" t="str">
        <f>IFERROR(VLOOKUP(F574,'Data (hidden)'!N:O,2,FALSE),"")</f>
        <v/>
      </c>
      <c r="H574" s="557"/>
      <c r="I574" s="558"/>
      <c r="J574" s="123">
        <f t="shared" si="73"/>
        <v>0</v>
      </c>
      <c r="K574" s="123" t="e">
        <f t="shared" si="74"/>
        <v>#VALUE!</v>
      </c>
      <c r="L574" s="123">
        <f t="shared" si="71"/>
        <v>0</v>
      </c>
      <c r="M574" s="124" t="str">
        <f t="shared" si="72"/>
        <v/>
      </c>
      <c r="N574" s="112"/>
      <c r="O574" s="101"/>
      <c r="P574" s="101"/>
      <c r="Q574" s="101"/>
      <c r="R574" s="102"/>
      <c r="S574" s="102"/>
      <c r="T574" s="102"/>
      <c r="U574" s="103"/>
      <c r="V574" s="100"/>
      <c r="W574" s="101"/>
      <c r="X574" s="113"/>
      <c r="Y574" s="114"/>
      <c r="Z574" s="102"/>
      <c r="AA574" s="101"/>
      <c r="AB574" s="111"/>
      <c r="AE574" s="187"/>
      <c r="AF574" s="185"/>
      <c r="AG574" s="185" t="str">
        <f t="shared" si="75"/>
        <v/>
      </c>
      <c r="AH574" s="186" t="str">
        <f t="shared" si="76"/>
        <v/>
      </c>
      <c r="AI574" s="185"/>
      <c r="AJ574" s="188"/>
      <c r="CC574" s="562"/>
      <c r="CD574" s="425"/>
    </row>
    <row r="575" spans="2:82" ht="30" customHeight="1" x14ac:dyDescent="0.3">
      <c r="B575" s="562"/>
      <c r="C575" s="563"/>
      <c r="D575" s="425"/>
      <c r="E575" s="250" t="str">
        <f t="shared" si="77"/>
        <v/>
      </c>
      <c r="F575" s="556"/>
      <c r="G575" s="252" t="str">
        <f>IFERROR(VLOOKUP(F575,'Data (hidden)'!N:O,2,FALSE),"")</f>
        <v/>
      </c>
      <c r="H575" s="557"/>
      <c r="I575" s="558"/>
      <c r="J575" s="123">
        <f t="shared" si="73"/>
        <v>0</v>
      </c>
      <c r="K575" s="123" t="e">
        <f t="shared" si="74"/>
        <v>#VALUE!</v>
      </c>
      <c r="L575" s="123">
        <f t="shared" si="71"/>
        <v>0</v>
      </c>
      <c r="M575" s="124" t="str">
        <f t="shared" si="72"/>
        <v/>
      </c>
      <c r="N575" s="112"/>
      <c r="O575" s="101"/>
      <c r="P575" s="101"/>
      <c r="Q575" s="101"/>
      <c r="R575" s="102"/>
      <c r="S575" s="102"/>
      <c r="T575" s="102"/>
      <c r="U575" s="103"/>
      <c r="V575" s="100"/>
      <c r="W575" s="101"/>
      <c r="X575" s="113"/>
      <c r="Y575" s="114"/>
      <c r="Z575" s="102"/>
      <c r="AA575" s="101"/>
      <c r="AB575" s="111"/>
      <c r="AE575" s="187"/>
      <c r="AF575" s="185"/>
      <c r="AG575" s="185" t="str">
        <f t="shared" si="75"/>
        <v/>
      </c>
      <c r="AH575" s="186" t="str">
        <f t="shared" si="76"/>
        <v/>
      </c>
      <c r="AI575" s="185"/>
      <c r="AJ575" s="188"/>
      <c r="CC575" s="562"/>
      <c r="CD575" s="425"/>
    </row>
    <row r="576" spans="2:82" ht="30" customHeight="1" x14ac:dyDescent="0.3">
      <c r="B576" s="562"/>
      <c r="C576" s="563"/>
      <c r="D576" s="425"/>
      <c r="E576" s="250" t="str">
        <f t="shared" si="77"/>
        <v/>
      </c>
      <c r="F576" s="556"/>
      <c r="G576" s="252" t="str">
        <f>IFERROR(VLOOKUP(F576,'Data (hidden)'!N:O,2,FALSE),"")</f>
        <v/>
      </c>
      <c r="H576" s="557"/>
      <c r="I576" s="558"/>
      <c r="J576" s="123">
        <f t="shared" si="73"/>
        <v>0</v>
      </c>
      <c r="K576" s="123" t="e">
        <f t="shared" si="74"/>
        <v>#VALUE!</v>
      </c>
      <c r="L576" s="123">
        <f t="shared" si="71"/>
        <v>0</v>
      </c>
      <c r="M576" s="124" t="str">
        <f t="shared" si="72"/>
        <v/>
      </c>
      <c r="N576" s="112"/>
      <c r="O576" s="101"/>
      <c r="P576" s="101"/>
      <c r="Q576" s="101"/>
      <c r="R576" s="102"/>
      <c r="S576" s="102"/>
      <c r="T576" s="102"/>
      <c r="U576" s="103"/>
      <c r="V576" s="100"/>
      <c r="W576" s="101"/>
      <c r="X576" s="113"/>
      <c r="Y576" s="114"/>
      <c r="Z576" s="102"/>
      <c r="AA576" s="101"/>
      <c r="AB576" s="111"/>
      <c r="AE576" s="187"/>
      <c r="AF576" s="185"/>
      <c r="AG576" s="185" t="str">
        <f t="shared" si="75"/>
        <v/>
      </c>
      <c r="AH576" s="186" t="str">
        <f t="shared" si="76"/>
        <v/>
      </c>
      <c r="AI576" s="185"/>
      <c r="AJ576" s="188"/>
      <c r="CC576" s="562"/>
      <c r="CD576" s="425"/>
    </row>
    <row r="577" spans="2:82" ht="30" customHeight="1" x14ac:dyDescent="0.3">
      <c r="B577" s="562"/>
      <c r="C577" s="563"/>
      <c r="D577" s="425"/>
      <c r="E577" s="250" t="str">
        <f t="shared" si="77"/>
        <v/>
      </c>
      <c r="F577" s="556"/>
      <c r="G577" s="252" t="str">
        <f>IFERROR(VLOOKUP(F577,'Data (hidden)'!N:O,2,FALSE),"")</f>
        <v/>
      </c>
      <c r="H577" s="557"/>
      <c r="I577" s="558"/>
      <c r="J577" s="123">
        <f t="shared" si="73"/>
        <v>0</v>
      </c>
      <c r="K577" s="123" t="e">
        <f t="shared" si="74"/>
        <v>#VALUE!</v>
      </c>
      <c r="L577" s="123">
        <f t="shared" si="71"/>
        <v>0</v>
      </c>
      <c r="M577" s="124" t="str">
        <f t="shared" si="72"/>
        <v/>
      </c>
      <c r="N577" s="112"/>
      <c r="O577" s="101"/>
      <c r="P577" s="101"/>
      <c r="Q577" s="101"/>
      <c r="R577" s="102"/>
      <c r="S577" s="102"/>
      <c r="T577" s="102"/>
      <c r="U577" s="103"/>
      <c r="V577" s="100"/>
      <c r="W577" s="101"/>
      <c r="X577" s="113"/>
      <c r="Y577" s="114"/>
      <c r="Z577" s="102"/>
      <c r="AA577" s="101"/>
      <c r="AB577" s="111"/>
      <c r="AE577" s="187"/>
      <c r="AF577" s="185"/>
      <c r="AG577" s="185" t="str">
        <f t="shared" si="75"/>
        <v/>
      </c>
      <c r="AH577" s="186" t="str">
        <f t="shared" si="76"/>
        <v/>
      </c>
      <c r="AI577" s="185"/>
      <c r="AJ577" s="188"/>
      <c r="CC577" s="562"/>
      <c r="CD577" s="425"/>
    </row>
    <row r="578" spans="2:82" ht="30" customHeight="1" x14ac:dyDescent="0.3">
      <c r="B578" s="562"/>
      <c r="C578" s="563"/>
      <c r="D578" s="425"/>
      <c r="E578" s="250" t="str">
        <f t="shared" si="77"/>
        <v/>
      </c>
      <c r="F578" s="556"/>
      <c r="G578" s="252" t="str">
        <f>IFERROR(VLOOKUP(F578,'Data (hidden)'!N:O,2,FALSE),"")</f>
        <v/>
      </c>
      <c r="H578" s="557"/>
      <c r="I578" s="558"/>
      <c r="J578" s="123">
        <f t="shared" si="73"/>
        <v>0</v>
      </c>
      <c r="K578" s="123" t="e">
        <f t="shared" si="74"/>
        <v>#VALUE!</v>
      </c>
      <c r="L578" s="123">
        <f t="shared" si="71"/>
        <v>0</v>
      </c>
      <c r="M578" s="124" t="str">
        <f t="shared" si="72"/>
        <v/>
      </c>
      <c r="N578" s="112"/>
      <c r="O578" s="101"/>
      <c r="P578" s="101"/>
      <c r="Q578" s="101"/>
      <c r="R578" s="102"/>
      <c r="S578" s="102"/>
      <c r="T578" s="102"/>
      <c r="U578" s="103"/>
      <c r="V578" s="100"/>
      <c r="W578" s="101"/>
      <c r="X578" s="113"/>
      <c r="Y578" s="114"/>
      <c r="Z578" s="102"/>
      <c r="AA578" s="101"/>
      <c r="AB578" s="111"/>
      <c r="AE578" s="187"/>
      <c r="AF578" s="185"/>
      <c r="AG578" s="185" t="str">
        <f t="shared" si="75"/>
        <v/>
      </c>
      <c r="AH578" s="186" t="str">
        <f t="shared" si="76"/>
        <v/>
      </c>
      <c r="AI578" s="185"/>
      <c r="AJ578" s="188"/>
      <c r="CC578" s="562"/>
      <c r="CD578" s="425"/>
    </row>
    <row r="579" spans="2:82" ht="30" customHeight="1" x14ac:dyDescent="0.3">
      <c r="B579" s="562"/>
      <c r="C579" s="563"/>
      <c r="D579" s="425"/>
      <c r="E579" s="250" t="str">
        <f t="shared" si="77"/>
        <v/>
      </c>
      <c r="F579" s="556"/>
      <c r="G579" s="252" t="str">
        <f>IFERROR(VLOOKUP(F579,'Data (hidden)'!N:O,2,FALSE),"")</f>
        <v/>
      </c>
      <c r="H579" s="557"/>
      <c r="I579" s="558"/>
      <c r="J579" s="123">
        <f t="shared" si="73"/>
        <v>0</v>
      </c>
      <c r="K579" s="123" t="e">
        <f t="shared" si="74"/>
        <v>#VALUE!</v>
      </c>
      <c r="L579" s="123">
        <f t="shared" si="71"/>
        <v>0</v>
      </c>
      <c r="M579" s="124" t="str">
        <f t="shared" si="72"/>
        <v/>
      </c>
      <c r="N579" s="112"/>
      <c r="O579" s="101"/>
      <c r="P579" s="101"/>
      <c r="Q579" s="101"/>
      <c r="R579" s="102"/>
      <c r="S579" s="102"/>
      <c r="T579" s="102"/>
      <c r="U579" s="103"/>
      <c r="V579" s="100"/>
      <c r="W579" s="101"/>
      <c r="X579" s="113"/>
      <c r="Y579" s="114"/>
      <c r="Z579" s="102"/>
      <c r="AA579" s="101"/>
      <c r="AB579" s="111"/>
      <c r="AE579" s="187"/>
      <c r="AF579" s="185"/>
      <c r="AG579" s="185" t="str">
        <f t="shared" si="75"/>
        <v/>
      </c>
      <c r="AH579" s="186" t="str">
        <f t="shared" si="76"/>
        <v/>
      </c>
      <c r="AI579" s="185"/>
      <c r="AJ579" s="188"/>
      <c r="CC579" s="562"/>
      <c r="CD579" s="425"/>
    </row>
    <row r="580" spans="2:82" ht="30" customHeight="1" x14ac:dyDescent="0.3">
      <c r="B580" s="562"/>
      <c r="C580" s="563"/>
      <c r="D580" s="425"/>
      <c r="E580" s="250" t="str">
        <f t="shared" si="77"/>
        <v/>
      </c>
      <c r="F580" s="556"/>
      <c r="G580" s="252" t="str">
        <f>IFERROR(VLOOKUP(F580,'Data (hidden)'!N:O,2,FALSE),"")</f>
        <v/>
      </c>
      <c r="H580" s="557"/>
      <c r="I580" s="558"/>
      <c r="J580" s="123">
        <f t="shared" si="73"/>
        <v>0</v>
      </c>
      <c r="K580" s="123" t="e">
        <f t="shared" si="74"/>
        <v>#VALUE!</v>
      </c>
      <c r="L580" s="123">
        <f t="shared" si="71"/>
        <v>0</v>
      </c>
      <c r="M580" s="124" t="str">
        <f t="shared" si="72"/>
        <v/>
      </c>
      <c r="N580" s="112"/>
      <c r="O580" s="101"/>
      <c r="P580" s="101"/>
      <c r="Q580" s="101"/>
      <c r="R580" s="102"/>
      <c r="S580" s="102"/>
      <c r="T580" s="102"/>
      <c r="U580" s="103"/>
      <c r="V580" s="100"/>
      <c r="W580" s="101"/>
      <c r="X580" s="113"/>
      <c r="Y580" s="114"/>
      <c r="Z580" s="102"/>
      <c r="AA580" s="101"/>
      <c r="AB580" s="111"/>
      <c r="AE580" s="187"/>
      <c r="AF580" s="185"/>
      <c r="AG580" s="185" t="str">
        <f t="shared" si="75"/>
        <v/>
      </c>
      <c r="AH580" s="186" t="str">
        <f t="shared" si="76"/>
        <v/>
      </c>
      <c r="AI580" s="185"/>
      <c r="AJ580" s="188"/>
      <c r="CC580" s="562"/>
      <c r="CD580" s="425"/>
    </row>
    <row r="581" spans="2:82" ht="30" customHeight="1" x14ac:dyDescent="0.3">
      <c r="B581" s="562"/>
      <c r="C581" s="563"/>
      <c r="D581" s="425"/>
      <c r="E581" s="250" t="str">
        <f t="shared" si="77"/>
        <v/>
      </c>
      <c r="F581" s="556"/>
      <c r="G581" s="252" t="str">
        <f>IFERROR(VLOOKUP(F581,'Data (hidden)'!N:O,2,FALSE),"")</f>
        <v/>
      </c>
      <c r="H581" s="557"/>
      <c r="I581" s="558"/>
      <c r="J581" s="123">
        <f t="shared" si="73"/>
        <v>0</v>
      </c>
      <c r="K581" s="123" t="e">
        <f t="shared" si="74"/>
        <v>#VALUE!</v>
      </c>
      <c r="L581" s="123">
        <f t="shared" si="71"/>
        <v>0</v>
      </c>
      <c r="M581" s="124" t="str">
        <f t="shared" si="72"/>
        <v/>
      </c>
      <c r="N581" s="112"/>
      <c r="O581" s="101"/>
      <c r="P581" s="101"/>
      <c r="Q581" s="101"/>
      <c r="R581" s="102"/>
      <c r="S581" s="102"/>
      <c r="T581" s="102"/>
      <c r="U581" s="103"/>
      <c r="V581" s="100"/>
      <c r="W581" s="101"/>
      <c r="X581" s="113"/>
      <c r="Y581" s="114"/>
      <c r="Z581" s="102"/>
      <c r="AA581" s="101"/>
      <c r="AB581" s="111"/>
      <c r="AE581" s="187"/>
      <c r="AF581" s="185"/>
      <c r="AG581" s="185" t="str">
        <f t="shared" si="75"/>
        <v/>
      </c>
      <c r="AH581" s="186" t="str">
        <f t="shared" si="76"/>
        <v/>
      </c>
      <c r="AI581" s="185"/>
      <c r="AJ581" s="188"/>
      <c r="CC581" s="562"/>
      <c r="CD581" s="425"/>
    </row>
    <row r="582" spans="2:82" ht="30" customHeight="1" x14ac:dyDescent="0.3">
      <c r="B582" s="562"/>
      <c r="C582" s="563"/>
      <c r="D582" s="425"/>
      <c r="E582" s="250" t="str">
        <f t="shared" si="77"/>
        <v/>
      </c>
      <c r="F582" s="556"/>
      <c r="G582" s="252" t="str">
        <f>IFERROR(VLOOKUP(F582,'Data (hidden)'!N:O,2,FALSE),"")</f>
        <v/>
      </c>
      <c r="H582" s="557"/>
      <c r="I582" s="558"/>
      <c r="J582" s="123">
        <f t="shared" si="73"/>
        <v>0</v>
      </c>
      <c r="K582" s="123" t="e">
        <f t="shared" si="74"/>
        <v>#VALUE!</v>
      </c>
      <c r="L582" s="123">
        <f t="shared" si="71"/>
        <v>0</v>
      </c>
      <c r="M582" s="124" t="str">
        <f t="shared" si="72"/>
        <v/>
      </c>
      <c r="N582" s="112"/>
      <c r="O582" s="101"/>
      <c r="P582" s="101"/>
      <c r="Q582" s="101"/>
      <c r="R582" s="102"/>
      <c r="S582" s="102"/>
      <c r="T582" s="102"/>
      <c r="U582" s="103"/>
      <c r="V582" s="100"/>
      <c r="W582" s="101"/>
      <c r="X582" s="113"/>
      <c r="Y582" s="114"/>
      <c r="Z582" s="102"/>
      <c r="AA582" s="101"/>
      <c r="AB582" s="111"/>
      <c r="AE582" s="187"/>
      <c r="AF582" s="185"/>
      <c r="AG582" s="185" t="str">
        <f t="shared" si="75"/>
        <v/>
      </c>
      <c r="AH582" s="186" t="str">
        <f t="shared" si="76"/>
        <v/>
      </c>
      <c r="AI582" s="185"/>
      <c r="AJ582" s="188"/>
      <c r="CC582" s="562"/>
      <c r="CD582" s="425"/>
    </row>
    <row r="583" spans="2:82" ht="30" customHeight="1" x14ac:dyDescent="0.3">
      <c r="B583" s="562"/>
      <c r="C583" s="563"/>
      <c r="D583" s="425"/>
      <c r="E583" s="250" t="str">
        <f t="shared" si="77"/>
        <v/>
      </c>
      <c r="F583" s="556"/>
      <c r="G583" s="252" t="str">
        <f>IFERROR(VLOOKUP(F583,'Data (hidden)'!N:O,2,FALSE),"")</f>
        <v/>
      </c>
      <c r="H583" s="557"/>
      <c r="I583" s="558"/>
      <c r="J583" s="123">
        <f t="shared" si="73"/>
        <v>0</v>
      </c>
      <c r="K583" s="123" t="e">
        <f t="shared" si="74"/>
        <v>#VALUE!</v>
      </c>
      <c r="L583" s="123">
        <f t="shared" si="71"/>
        <v>0</v>
      </c>
      <c r="M583" s="124" t="str">
        <f t="shared" si="72"/>
        <v/>
      </c>
      <c r="N583" s="112"/>
      <c r="O583" s="101"/>
      <c r="P583" s="101"/>
      <c r="Q583" s="101"/>
      <c r="R583" s="102"/>
      <c r="S583" s="102"/>
      <c r="T583" s="102"/>
      <c r="U583" s="103"/>
      <c r="V583" s="100"/>
      <c r="W583" s="101"/>
      <c r="X583" s="113"/>
      <c r="Y583" s="114"/>
      <c r="Z583" s="102"/>
      <c r="AA583" s="101"/>
      <c r="AB583" s="111"/>
      <c r="AE583" s="187"/>
      <c r="AF583" s="185"/>
      <c r="AG583" s="185" t="str">
        <f t="shared" si="75"/>
        <v/>
      </c>
      <c r="AH583" s="186" t="str">
        <f t="shared" si="76"/>
        <v/>
      </c>
      <c r="AI583" s="185"/>
      <c r="AJ583" s="188"/>
      <c r="CC583" s="562"/>
      <c r="CD583" s="425"/>
    </row>
    <row r="584" spans="2:82" ht="30" customHeight="1" x14ac:dyDescent="0.3">
      <c r="B584" s="562"/>
      <c r="C584" s="563"/>
      <c r="D584" s="425"/>
      <c r="E584" s="250" t="str">
        <f t="shared" si="77"/>
        <v/>
      </c>
      <c r="F584" s="556"/>
      <c r="G584" s="252" t="str">
        <f>IFERROR(VLOOKUP(F584,'Data (hidden)'!N:O,2,FALSE),"")</f>
        <v/>
      </c>
      <c r="H584" s="557"/>
      <c r="I584" s="558"/>
      <c r="J584" s="123">
        <f t="shared" si="73"/>
        <v>0</v>
      </c>
      <c r="K584" s="123" t="e">
        <f t="shared" si="74"/>
        <v>#VALUE!</v>
      </c>
      <c r="L584" s="123">
        <f t="shared" si="71"/>
        <v>0</v>
      </c>
      <c r="M584" s="124" t="str">
        <f t="shared" si="72"/>
        <v/>
      </c>
      <c r="N584" s="112"/>
      <c r="O584" s="101"/>
      <c r="P584" s="101"/>
      <c r="Q584" s="101"/>
      <c r="R584" s="102"/>
      <c r="S584" s="102"/>
      <c r="T584" s="102"/>
      <c r="U584" s="103"/>
      <c r="V584" s="100"/>
      <c r="W584" s="101"/>
      <c r="X584" s="113"/>
      <c r="Y584" s="114"/>
      <c r="Z584" s="102"/>
      <c r="AA584" s="101"/>
      <c r="AB584" s="111"/>
      <c r="AE584" s="187"/>
      <c r="AF584" s="185"/>
      <c r="AG584" s="185" t="str">
        <f t="shared" si="75"/>
        <v/>
      </c>
      <c r="AH584" s="186" t="str">
        <f t="shared" si="76"/>
        <v/>
      </c>
      <c r="AI584" s="185"/>
      <c r="AJ584" s="188"/>
      <c r="CC584" s="562"/>
      <c r="CD584" s="425"/>
    </row>
    <row r="585" spans="2:82" ht="30" customHeight="1" x14ac:dyDescent="0.3">
      <c r="B585" s="562"/>
      <c r="C585" s="563"/>
      <c r="D585" s="425"/>
      <c r="E585" s="250" t="str">
        <f t="shared" si="77"/>
        <v/>
      </c>
      <c r="F585" s="556"/>
      <c r="G585" s="252" t="str">
        <f>IFERROR(VLOOKUP(F585,'Data (hidden)'!N:O,2,FALSE),"")</f>
        <v/>
      </c>
      <c r="H585" s="557"/>
      <c r="I585" s="558"/>
      <c r="J585" s="123">
        <f t="shared" si="73"/>
        <v>0</v>
      </c>
      <c r="K585" s="123" t="e">
        <f t="shared" si="74"/>
        <v>#VALUE!</v>
      </c>
      <c r="L585" s="123">
        <f t="shared" si="71"/>
        <v>0</v>
      </c>
      <c r="M585" s="124" t="str">
        <f t="shared" si="72"/>
        <v/>
      </c>
      <c r="N585" s="112"/>
      <c r="O585" s="101"/>
      <c r="P585" s="101"/>
      <c r="Q585" s="101"/>
      <c r="R585" s="102"/>
      <c r="S585" s="102"/>
      <c r="T585" s="102"/>
      <c r="U585" s="103"/>
      <c r="V585" s="100"/>
      <c r="W585" s="101"/>
      <c r="X585" s="113"/>
      <c r="Y585" s="114"/>
      <c r="Z585" s="102"/>
      <c r="AA585" s="101"/>
      <c r="AB585" s="111"/>
      <c r="AE585" s="187"/>
      <c r="AF585" s="185"/>
      <c r="AG585" s="185" t="str">
        <f t="shared" si="75"/>
        <v/>
      </c>
      <c r="AH585" s="186" t="str">
        <f t="shared" si="76"/>
        <v/>
      </c>
      <c r="AI585" s="185"/>
      <c r="AJ585" s="188"/>
      <c r="CC585" s="562"/>
      <c r="CD585" s="425"/>
    </row>
    <row r="586" spans="2:82" ht="30" customHeight="1" x14ac:dyDescent="0.3">
      <c r="B586" s="562"/>
      <c r="C586" s="563"/>
      <c r="D586" s="425"/>
      <c r="E586" s="250" t="str">
        <f t="shared" si="77"/>
        <v/>
      </c>
      <c r="F586" s="556"/>
      <c r="G586" s="252" t="str">
        <f>IFERROR(VLOOKUP(F586,'Data (hidden)'!N:O,2,FALSE),"")</f>
        <v/>
      </c>
      <c r="H586" s="557"/>
      <c r="I586" s="558"/>
      <c r="J586" s="123">
        <f t="shared" si="73"/>
        <v>0</v>
      </c>
      <c r="K586" s="123" t="e">
        <f t="shared" si="74"/>
        <v>#VALUE!</v>
      </c>
      <c r="L586" s="123">
        <f t="shared" si="71"/>
        <v>0</v>
      </c>
      <c r="M586" s="124" t="str">
        <f t="shared" si="72"/>
        <v/>
      </c>
      <c r="N586" s="112"/>
      <c r="O586" s="101"/>
      <c r="P586" s="101"/>
      <c r="Q586" s="101"/>
      <c r="R586" s="102"/>
      <c r="S586" s="102"/>
      <c r="T586" s="102"/>
      <c r="U586" s="103"/>
      <c r="V586" s="100"/>
      <c r="W586" s="101"/>
      <c r="X586" s="113"/>
      <c r="Y586" s="114"/>
      <c r="Z586" s="102"/>
      <c r="AA586" s="101"/>
      <c r="AB586" s="111"/>
      <c r="AE586" s="187"/>
      <c r="AF586" s="185"/>
      <c r="AG586" s="185" t="str">
        <f t="shared" si="75"/>
        <v/>
      </c>
      <c r="AH586" s="186" t="str">
        <f t="shared" si="76"/>
        <v/>
      </c>
      <c r="AI586" s="185"/>
      <c r="AJ586" s="188"/>
      <c r="CC586" s="562"/>
      <c r="CD586" s="425"/>
    </row>
    <row r="587" spans="2:82" ht="30" customHeight="1" x14ac:dyDescent="0.3">
      <c r="B587" s="562"/>
      <c r="C587" s="563"/>
      <c r="D587" s="425"/>
      <c r="E587" s="250" t="str">
        <f t="shared" si="77"/>
        <v/>
      </c>
      <c r="F587" s="556"/>
      <c r="G587" s="252" t="str">
        <f>IFERROR(VLOOKUP(F587,'Data (hidden)'!N:O,2,FALSE),"")</f>
        <v/>
      </c>
      <c r="H587" s="557"/>
      <c r="I587" s="558"/>
      <c r="J587" s="123">
        <f t="shared" si="73"/>
        <v>0</v>
      </c>
      <c r="K587" s="123" t="e">
        <f t="shared" si="74"/>
        <v>#VALUE!</v>
      </c>
      <c r="L587" s="123">
        <f t="shared" si="71"/>
        <v>0</v>
      </c>
      <c r="M587" s="124" t="str">
        <f t="shared" si="72"/>
        <v/>
      </c>
      <c r="N587" s="112"/>
      <c r="O587" s="101"/>
      <c r="P587" s="101"/>
      <c r="Q587" s="101"/>
      <c r="R587" s="102"/>
      <c r="S587" s="102"/>
      <c r="T587" s="102"/>
      <c r="U587" s="103"/>
      <c r="V587" s="100"/>
      <c r="W587" s="101"/>
      <c r="X587" s="113"/>
      <c r="Y587" s="114"/>
      <c r="Z587" s="102"/>
      <c r="AA587" s="101"/>
      <c r="AB587" s="111"/>
      <c r="AE587" s="187"/>
      <c r="AF587" s="185"/>
      <c r="AG587" s="185" t="str">
        <f t="shared" si="75"/>
        <v/>
      </c>
      <c r="AH587" s="186" t="str">
        <f t="shared" si="76"/>
        <v/>
      </c>
      <c r="AI587" s="185"/>
      <c r="AJ587" s="188"/>
      <c r="CC587" s="562"/>
      <c r="CD587" s="425"/>
    </row>
    <row r="588" spans="2:82" ht="30" customHeight="1" x14ac:dyDescent="0.3">
      <c r="B588" s="562"/>
      <c r="C588" s="563"/>
      <c r="D588" s="425"/>
      <c r="E588" s="250" t="str">
        <f t="shared" si="77"/>
        <v/>
      </c>
      <c r="F588" s="556"/>
      <c r="G588" s="252" t="str">
        <f>IFERROR(VLOOKUP(F588,'Data (hidden)'!N:O,2,FALSE),"")</f>
        <v/>
      </c>
      <c r="H588" s="557"/>
      <c r="I588" s="558"/>
      <c r="J588" s="123">
        <f t="shared" si="73"/>
        <v>0</v>
      </c>
      <c r="K588" s="123" t="e">
        <f t="shared" si="74"/>
        <v>#VALUE!</v>
      </c>
      <c r="L588" s="123">
        <f t="shared" si="71"/>
        <v>0</v>
      </c>
      <c r="M588" s="124" t="str">
        <f t="shared" si="72"/>
        <v/>
      </c>
      <c r="N588" s="112"/>
      <c r="O588" s="101"/>
      <c r="P588" s="101"/>
      <c r="Q588" s="101"/>
      <c r="R588" s="102"/>
      <c r="S588" s="102"/>
      <c r="T588" s="102"/>
      <c r="U588" s="103"/>
      <c r="V588" s="100"/>
      <c r="W588" s="101"/>
      <c r="X588" s="113"/>
      <c r="Y588" s="114"/>
      <c r="Z588" s="102"/>
      <c r="AA588" s="101"/>
      <c r="AB588" s="111"/>
      <c r="AE588" s="187"/>
      <c r="AF588" s="185"/>
      <c r="AG588" s="185" t="str">
        <f t="shared" si="75"/>
        <v/>
      </c>
      <c r="AH588" s="186" t="str">
        <f t="shared" si="76"/>
        <v/>
      </c>
      <c r="AI588" s="185"/>
      <c r="AJ588" s="188"/>
      <c r="CC588" s="562"/>
      <c r="CD588" s="425"/>
    </row>
    <row r="589" spans="2:82" ht="30" customHeight="1" x14ac:dyDescent="0.3">
      <c r="B589" s="562"/>
      <c r="C589" s="563"/>
      <c r="D589" s="425"/>
      <c r="E589" s="250" t="str">
        <f t="shared" si="77"/>
        <v/>
      </c>
      <c r="F589" s="556"/>
      <c r="G589" s="252" t="str">
        <f>IFERROR(VLOOKUP(F589,'Data (hidden)'!N:O,2,FALSE),"")</f>
        <v/>
      </c>
      <c r="H589" s="557"/>
      <c r="I589" s="558"/>
      <c r="J589" s="123">
        <f t="shared" si="73"/>
        <v>0</v>
      </c>
      <c r="K589" s="123" t="e">
        <f t="shared" si="74"/>
        <v>#VALUE!</v>
      </c>
      <c r="L589" s="123">
        <f t="shared" si="71"/>
        <v>0</v>
      </c>
      <c r="M589" s="124" t="str">
        <f t="shared" si="72"/>
        <v/>
      </c>
      <c r="N589" s="112"/>
      <c r="O589" s="101"/>
      <c r="P589" s="101"/>
      <c r="Q589" s="101"/>
      <c r="R589" s="102"/>
      <c r="S589" s="102"/>
      <c r="T589" s="102"/>
      <c r="U589" s="103"/>
      <c r="V589" s="100"/>
      <c r="W589" s="101"/>
      <c r="X589" s="113"/>
      <c r="Y589" s="114"/>
      <c r="Z589" s="102"/>
      <c r="AA589" s="101"/>
      <c r="AB589" s="111"/>
      <c r="AE589" s="187"/>
      <c r="AF589" s="185"/>
      <c r="AG589" s="185" t="str">
        <f t="shared" si="75"/>
        <v/>
      </c>
      <c r="AH589" s="186" t="str">
        <f t="shared" si="76"/>
        <v/>
      </c>
      <c r="AI589" s="185"/>
      <c r="AJ589" s="188"/>
      <c r="CC589" s="562"/>
      <c r="CD589" s="425"/>
    </row>
    <row r="590" spans="2:82" ht="30" customHeight="1" x14ac:dyDescent="0.3">
      <c r="B590" s="562"/>
      <c r="C590" s="563"/>
      <c r="D590" s="425"/>
      <c r="E590" s="250" t="str">
        <f t="shared" si="77"/>
        <v/>
      </c>
      <c r="F590" s="556"/>
      <c r="G590" s="252" t="str">
        <f>IFERROR(VLOOKUP(F590,'Data (hidden)'!N:O,2,FALSE),"")</f>
        <v/>
      </c>
      <c r="H590" s="557"/>
      <c r="I590" s="558"/>
      <c r="J590" s="123">
        <f t="shared" si="73"/>
        <v>0</v>
      </c>
      <c r="K590" s="123" t="e">
        <f t="shared" si="74"/>
        <v>#VALUE!</v>
      </c>
      <c r="L590" s="123">
        <f t="shared" si="71"/>
        <v>0</v>
      </c>
      <c r="M590" s="124" t="str">
        <f t="shared" si="72"/>
        <v/>
      </c>
      <c r="N590" s="112"/>
      <c r="O590" s="101"/>
      <c r="P590" s="101"/>
      <c r="Q590" s="101"/>
      <c r="R590" s="102"/>
      <c r="S590" s="102"/>
      <c r="T590" s="102"/>
      <c r="U590" s="103"/>
      <c r="V590" s="100"/>
      <c r="W590" s="101"/>
      <c r="X590" s="113"/>
      <c r="Y590" s="114"/>
      <c r="Z590" s="102"/>
      <c r="AA590" s="101"/>
      <c r="AB590" s="111"/>
      <c r="AE590" s="187"/>
      <c r="AF590" s="185"/>
      <c r="AG590" s="185" t="str">
        <f t="shared" si="75"/>
        <v/>
      </c>
      <c r="AH590" s="186" t="str">
        <f t="shared" si="76"/>
        <v/>
      </c>
      <c r="AI590" s="185"/>
      <c r="AJ590" s="188"/>
      <c r="CC590" s="562"/>
      <c r="CD590" s="425"/>
    </row>
    <row r="591" spans="2:82" ht="30" customHeight="1" x14ac:dyDescent="0.3">
      <c r="B591" s="562"/>
      <c r="C591" s="563"/>
      <c r="D591" s="425"/>
      <c r="E591" s="250" t="str">
        <f t="shared" si="77"/>
        <v/>
      </c>
      <c r="F591" s="556"/>
      <c r="G591" s="252" t="str">
        <f>IFERROR(VLOOKUP(F591,'Data (hidden)'!N:O,2,FALSE),"")</f>
        <v/>
      </c>
      <c r="H591" s="557"/>
      <c r="I591" s="558"/>
      <c r="J591" s="123">
        <f t="shared" si="73"/>
        <v>0</v>
      </c>
      <c r="K591" s="123" t="e">
        <f t="shared" si="74"/>
        <v>#VALUE!</v>
      </c>
      <c r="L591" s="123">
        <f t="shared" si="71"/>
        <v>0</v>
      </c>
      <c r="M591" s="124" t="str">
        <f t="shared" si="72"/>
        <v/>
      </c>
      <c r="N591" s="112"/>
      <c r="O591" s="101"/>
      <c r="P591" s="101"/>
      <c r="Q591" s="101"/>
      <c r="R591" s="102"/>
      <c r="S591" s="102"/>
      <c r="T591" s="102"/>
      <c r="U591" s="103"/>
      <c r="V591" s="100"/>
      <c r="W591" s="101"/>
      <c r="X591" s="113"/>
      <c r="Y591" s="114"/>
      <c r="Z591" s="102"/>
      <c r="AA591" s="101"/>
      <c r="AB591" s="111"/>
      <c r="AE591" s="187"/>
      <c r="AF591" s="185"/>
      <c r="AG591" s="185" t="str">
        <f t="shared" si="75"/>
        <v/>
      </c>
      <c r="AH591" s="186" t="str">
        <f t="shared" si="76"/>
        <v/>
      </c>
      <c r="AI591" s="185"/>
      <c r="AJ591" s="188"/>
      <c r="CC591" s="562"/>
      <c r="CD591" s="425"/>
    </row>
    <row r="592" spans="2:82" ht="30" customHeight="1" x14ac:dyDescent="0.3">
      <c r="B592" s="562"/>
      <c r="C592" s="563"/>
      <c r="D592" s="425"/>
      <c r="E592" s="250" t="str">
        <f t="shared" si="77"/>
        <v/>
      </c>
      <c r="F592" s="556"/>
      <c r="G592" s="252" t="str">
        <f>IFERROR(VLOOKUP(F592,'Data (hidden)'!N:O,2,FALSE),"")</f>
        <v/>
      </c>
      <c r="H592" s="557"/>
      <c r="I592" s="558"/>
      <c r="J592" s="123">
        <f t="shared" si="73"/>
        <v>0</v>
      </c>
      <c r="K592" s="123" t="e">
        <f t="shared" si="74"/>
        <v>#VALUE!</v>
      </c>
      <c r="L592" s="123">
        <f t="shared" si="71"/>
        <v>0</v>
      </c>
      <c r="M592" s="124" t="str">
        <f t="shared" si="72"/>
        <v/>
      </c>
      <c r="N592" s="112"/>
      <c r="O592" s="101"/>
      <c r="P592" s="101"/>
      <c r="Q592" s="101"/>
      <c r="R592" s="102"/>
      <c r="S592" s="102"/>
      <c r="T592" s="102"/>
      <c r="U592" s="103"/>
      <c r="V592" s="100"/>
      <c r="W592" s="101"/>
      <c r="X592" s="113"/>
      <c r="Y592" s="114"/>
      <c r="Z592" s="102"/>
      <c r="AA592" s="101"/>
      <c r="AB592" s="111"/>
      <c r="AE592" s="187"/>
      <c r="AF592" s="185"/>
      <c r="AG592" s="185" t="str">
        <f t="shared" si="75"/>
        <v/>
      </c>
      <c r="AH592" s="186" t="str">
        <f t="shared" si="76"/>
        <v/>
      </c>
      <c r="AI592" s="185"/>
      <c r="AJ592" s="188"/>
      <c r="CC592" s="562"/>
      <c r="CD592" s="425"/>
    </row>
    <row r="593" spans="2:82" ht="30" customHeight="1" x14ac:dyDescent="0.3">
      <c r="B593" s="562"/>
      <c r="C593" s="563"/>
      <c r="D593" s="425"/>
      <c r="E593" s="250" t="str">
        <f t="shared" si="77"/>
        <v/>
      </c>
      <c r="F593" s="556"/>
      <c r="G593" s="252" t="str">
        <f>IFERROR(VLOOKUP(F593,'Data (hidden)'!N:O,2,FALSE),"")</f>
        <v/>
      </c>
      <c r="H593" s="557"/>
      <c r="I593" s="558"/>
      <c r="J593" s="123">
        <f t="shared" si="73"/>
        <v>0</v>
      </c>
      <c r="K593" s="123" t="e">
        <f t="shared" si="74"/>
        <v>#VALUE!</v>
      </c>
      <c r="L593" s="123">
        <f t="shared" si="71"/>
        <v>0</v>
      </c>
      <c r="M593" s="124" t="str">
        <f t="shared" si="72"/>
        <v/>
      </c>
      <c r="N593" s="112"/>
      <c r="O593" s="101"/>
      <c r="P593" s="101"/>
      <c r="Q593" s="101"/>
      <c r="R593" s="102"/>
      <c r="S593" s="102"/>
      <c r="T593" s="102"/>
      <c r="U593" s="103"/>
      <c r="V593" s="100"/>
      <c r="W593" s="101"/>
      <c r="X593" s="113"/>
      <c r="Y593" s="114"/>
      <c r="Z593" s="102"/>
      <c r="AA593" s="101"/>
      <c r="AB593" s="111"/>
      <c r="AE593" s="187"/>
      <c r="AF593" s="185"/>
      <c r="AG593" s="185" t="str">
        <f t="shared" si="75"/>
        <v/>
      </c>
      <c r="AH593" s="186" t="str">
        <f t="shared" si="76"/>
        <v/>
      </c>
      <c r="AI593" s="185"/>
      <c r="AJ593" s="188"/>
      <c r="CC593" s="562"/>
      <c r="CD593" s="425"/>
    </row>
    <row r="594" spans="2:82" ht="30" customHeight="1" x14ac:dyDescent="0.3">
      <c r="B594" s="562"/>
      <c r="C594" s="563"/>
      <c r="D594" s="425"/>
      <c r="E594" s="250" t="str">
        <f t="shared" si="77"/>
        <v/>
      </c>
      <c r="F594" s="556"/>
      <c r="G594" s="252" t="str">
        <f>IFERROR(VLOOKUP(F594,'Data (hidden)'!N:O,2,FALSE),"")</f>
        <v/>
      </c>
      <c r="H594" s="557"/>
      <c r="I594" s="558"/>
      <c r="J594" s="123">
        <f t="shared" si="73"/>
        <v>0</v>
      </c>
      <c r="K594" s="123" t="e">
        <f t="shared" si="74"/>
        <v>#VALUE!</v>
      </c>
      <c r="L594" s="123">
        <f t="shared" si="71"/>
        <v>0</v>
      </c>
      <c r="M594" s="124" t="str">
        <f t="shared" si="72"/>
        <v/>
      </c>
      <c r="N594" s="112"/>
      <c r="O594" s="101"/>
      <c r="P594" s="101"/>
      <c r="Q594" s="101"/>
      <c r="R594" s="102"/>
      <c r="S594" s="102"/>
      <c r="T594" s="102"/>
      <c r="U594" s="103"/>
      <c r="V594" s="100"/>
      <c r="W594" s="101"/>
      <c r="X594" s="113"/>
      <c r="Y594" s="114"/>
      <c r="Z594" s="102"/>
      <c r="AA594" s="101"/>
      <c r="AB594" s="111"/>
      <c r="AE594" s="187"/>
      <c r="AF594" s="185"/>
      <c r="AG594" s="185" t="str">
        <f t="shared" si="75"/>
        <v/>
      </c>
      <c r="AH594" s="186" t="str">
        <f t="shared" si="76"/>
        <v/>
      </c>
      <c r="AI594" s="185"/>
      <c r="AJ594" s="188"/>
      <c r="CC594" s="562"/>
      <c r="CD594" s="425"/>
    </row>
    <row r="595" spans="2:82" ht="30" customHeight="1" x14ac:dyDescent="0.3">
      <c r="B595" s="562"/>
      <c r="C595" s="563"/>
      <c r="D595" s="425"/>
      <c r="E595" s="250" t="str">
        <f t="shared" si="77"/>
        <v/>
      </c>
      <c r="F595" s="556"/>
      <c r="G595" s="252" t="str">
        <f>IFERROR(VLOOKUP(F595,'Data (hidden)'!N:O,2,FALSE),"")</f>
        <v/>
      </c>
      <c r="H595" s="557"/>
      <c r="I595" s="558"/>
      <c r="J595" s="123">
        <f t="shared" si="73"/>
        <v>0</v>
      </c>
      <c r="K595" s="123" t="e">
        <f t="shared" si="74"/>
        <v>#VALUE!</v>
      </c>
      <c r="L595" s="123">
        <f t="shared" ref="L595:L658" si="78">D595*0.01</f>
        <v>0</v>
      </c>
      <c r="M595" s="124" t="str">
        <f t="shared" ref="M595:M658" si="79">IFERROR(K595*I595,"")</f>
        <v/>
      </c>
      <c r="N595" s="112"/>
      <c r="O595" s="101"/>
      <c r="P595" s="101"/>
      <c r="Q595" s="101"/>
      <c r="R595" s="102"/>
      <c r="S595" s="102"/>
      <c r="T595" s="102"/>
      <c r="U595" s="103"/>
      <c r="V595" s="100"/>
      <c r="W595" s="101"/>
      <c r="X595" s="113"/>
      <c r="Y595" s="114"/>
      <c r="Z595" s="102"/>
      <c r="AA595" s="101"/>
      <c r="AB595" s="111"/>
      <c r="AE595" s="187"/>
      <c r="AF595" s="185"/>
      <c r="AG595" s="185" t="str">
        <f t="shared" si="75"/>
        <v/>
      </c>
      <c r="AH595" s="186" t="str">
        <f t="shared" si="76"/>
        <v/>
      </c>
      <c r="AI595" s="185"/>
      <c r="AJ595" s="188"/>
      <c r="CC595" s="562"/>
      <c r="CD595" s="425"/>
    </row>
    <row r="596" spans="2:82" ht="30" customHeight="1" x14ac:dyDescent="0.3">
      <c r="B596" s="562"/>
      <c r="C596" s="563"/>
      <c r="D596" s="425"/>
      <c r="E596" s="250" t="str">
        <f t="shared" si="77"/>
        <v/>
      </c>
      <c r="F596" s="556"/>
      <c r="G596" s="252" t="str">
        <f>IFERROR(VLOOKUP(F596,'Data (hidden)'!N:O,2,FALSE),"")</f>
        <v/>
      </c>
      <c r="H596" s="557"/>
      <c r="I596" s="558"/>
      <c r="J596" s="123">
        <f t="shared" ref="J596:J659" si="80">H596*0.01</f>
        <v>0</v>
      </c>
      <c r="K596" s="123" t="e">
        <f t="shared" ref="K596:K659" si="81">E596*J596</f>
        <v>#VALUE!</v>
      </c>
      <c r="L596" s="123">
        <f t="shared" si="78"/>
        <v>0</v>
      </c>
      <c r="M596" s="124" t="str">
        <f t="shared" si="79"/>
        <v/>
      </c>
      <c r="N596" s="112"/>
      <c r="O596" s="101"/>
      <c r="P596" s="101"/>
      <c r="Q596" s="101"/>
      <c r="R596" s="102"/>
      <c r="S596" s="102"/>
      <c r="T596" s="102"/>
      <c r="U596" s="103"/>
      <c r="V596" s="100"/>
      <c r="W596" s="101"/>
      <c r="X596" s="113"/>
      <c r="Y596" s="114"/>
      <c r="Z596" s="102"/>
      <c r="AA596" s="101"/>
      <c r="AB596" s="111"/>
      <c r="AE596" s="187"/>
      <c r="AF596" s="185"/>
      <c r="AG596" s="185" t="str">
        <f t="shared" ref="AG596:AG659" si="82">IF(ISNUMBER(B596), B596, "")</f>
        <v/>
      </c>
      <c r="AH596" s="186" t="str">
        <f t="shared" ref="AH596:AH659" si="83">E596</f>
        <v/>
      </c>
      <c r="AI596" s="185"/>
      <c r="AJ596" s="188"/>
      <c r="CC596" s="562"/>
      <c r="CD596" s="425"/>
    </row>
    <row r="597" spans="2:82" ht="30" customHeight="1" x14ac:dyDescent="0.3">
      <c r="B597" s="562"/>
      <c r="C597" s="563"/>
      <c r="D597" s="425"/>
      <c r="E597" s="250" t="str">
        <f t="shared" si="77"/>
        <v/>
      </c>
      <c r="F597" s="556"/>
      <c r="G597" s="252" t="str">
        <f>IFERROR(VLOOKUP(F597,'Data (hidden)'!N:O,2,FALSE),"")</f>
        <v/>
      </c>
      <c r="H597" s="557"/>
      <c r="I597" s="558"/>
      <c r="J597" s="123">
        <f t="shared" si="80"/>
        <v>0</v>
      </c>
      <c r="K597" s="123" t="e">
        <f t="shared" si="81"/>
        <v>#VALUE!</v>
      </c>
      <c r="L597" s="123">
        <f t="shared" si="78"/>
        <v>0</v>
      </c>
      <c r="M597" s="124" t="str">
        <f t="shared" si="79"/>
        <v/>
      </c>
      <c r="N597" s="112"/>
      <c r="O597" s="101"/>
      <c r="P597" s="101"/>
      <c r="Q597" s="101"/>
      <c r="R597" s="102"/>
      <c r="S597" s="102"/>
      <c r="T597" s="102"/>
      <c r="U597" s="103"/>
      <c r="V597" s="100"/>
      <c r="W597" s="101"/>
      <c r="X597" s="113"/>
      <c r="Y597" s="114"/>
      <c r="Z597" s="102"/>
      <c r="AA597" s="101"/>
      <c r="AB597" s="111"/>
      <c r="AE597" s="187"/>
      <c r="AF597" s="185"/>
      <c r="AG597" s="185" t="str">
        <f t="shared" si="82"/>
        <v/>
      </c>
      <c r="AH597" s="186" t="str">
        <f t="shared" si="83"/>
        <v/>
      </c>
      <c r="AI597" s="185"/>
      <c r="AJ597" s="188"/>
      <c r="CC597" s="562"/>
      <c r="CD597" s="425"/>
    </row>
    <row r="598" spans="2:82" ht="30" customHeight="1" x14ac:dyDescent="0.3">
      <c r="B598" s="562"/>
      <c r="C598" s="563"/>
      <c r="D598" s="425"/>
      <c r="E598" s="250" t="str">
        <f t="shared" si="77"/>
        <v/>
      </c>
      <c r="F598" s="556"/>
      <c r="G598" s="252" t="str">
        <f>IFERROR(VLOOKUP(F598,'Data (hidden)'!N:O,2,FALSE),"")</f>
        <v/>
      </c>
      <c r="H598" s="557"/>
      <c r="I598" s="558"/>
      <c r="J598" s="123">
        <f t="shared" si="80"/>
        <v>0</v>
      </c>
      <c r="K598" s="123" t="e">
        <f t="shared" si="81"/>
        <v>#VALUE!</v>
      </c>
      <c r="L598" s="123">
        <f t="shared" si="78"/>
        <v>0</v>
      </c>
      <c r="M598" s="124" t="str">
        <f t="shared" si="79"/>
        <v/>
      </c>
      <c r="N598" s="112"/>
      <c r="O598" s="101"/>
      <c r="P598" s="101"/>
      <c r="Q598" s="101"/>
      <c r="R598" s="102"/>
      <c r="S598" s="102"/>
      <c r="T598" s="102"/>
      <c r="U598" s="103"/>
      <c r="V598" s="100"/>
      <c r="W598" s="101"/>
      <c r="X598" s="113"/>
      <c r="Y598" s="114"/>
      <c r="Z598" s="102"/>
      <c r="AA598" s="101"/>
      <c r="AB598" s="111"/>
      <c r="AE598" s="187"/>
      <c r="AF598" s="185"/>
      <c r="AG598" s="185" t="str">
        <f t="shared" si="82"/>
        <v/>
      </c>
      <c r="AH598" s="186" t="str">
        <f t="shared" si="83"/>
        <v/>
      </c>
      <c r="AI598" s="185"/>
      <c r="AJ598" s="188"/>
      <c r="CC598" s="562"/>
      <c r="CD598" s="425"/>
    </row>
    <row r="599" spans="2:82" ht="30" customHeight="1" x14ac:dyDescent="0.3">
      <c r="B599" s="562"/>
      <c r="C599" s="563"/>
      <c r="D599" s="425"/>
      <c r="E599" s="250" t="str">
        <f t="shared" si="77"/>
        <v/>
      </c>
      <c r="F599" s="556"/>
      <c r="G599" s="252" t="str">
        <f>IFERROR(VLOOKUP(F599,'Data (hidden)'!N:O,2,FALSE),"")</f>
        <v/>
      </c>
      <c r="H599" s="557"/>
      <c r="I599" s="558"/>
      <c r="J599" s="123">
        <f t="shared" si="80"/>
        <v>0</v>
      </c>
      <c r="K599" s="123" t="e">
        <f t="shared" si="81"/>
        <v>#VALUE!</v>
      </c>
      <c r="L599" s="123">
        <f t="shared" si="78"/>
        <v>0</v>
      </c>
      <c r="M599" s="124" t="str">
        <f t="shared" si="79"/>
        <v/>
      </c>
      <c r="N599" s="112"/>
      <c r="O599" s="101"/>
      <c r="P599" s="101"/>
      <c r="Q599" s="101"/>
      <c r="R599" s="102"/>
      <c r="S599" s="102"/>
      <c r="T599" s="102"/>
      <c r="U599" s="103"/>
      <c r="V599" s="100"/>
      <c r="W599" s="101"/>
      <c r="X599" s="113"/>
      <c r="Y599" s="114"/>
      <c r="Z599" s="102"/>
      <c r="AA599" s="101"/>
      <c r="AB599" s="111"/>
      <c r="AE599" s="187"/>
      <c r="AF599" s="185"/>
      <c r="AG599" s="185" t="str">
        <f t="shared" si="82"/>
        <v/>
      </c>
      <c r="AH599" s="186" t="str">
        <f t="shared" si="83"/>
        <v/>
      </c>
      <c r="AI599" s="185"/>
      <c r="AJ599" s="188"/>
      <c r="CC599" s="562"/>
      <c r="CD599" s="425"/>
    </row>
    <row r="600" spans="2:82" ht="30" customHeight="1" x14ac:dyDescent="0.3">
      <c r="B600" s="562"/>
      <c r="C600" s="563"/>
      <c r="D600" s="425"/>
      <c r="E600" s="250" t="str">
        <f t="shared" si="77"/>
        <v/>
      </c>
      <c r="F600" s="556"/>
      <c r="G600" s="252" t="str">
        <f>IFERROR(VLOOKUP(F600,'Data (hidden)'!N:O,2,FALSE),"")</f>
        <v/>
      </c>
      <c r="H600" s="557"/>
      <c r="I600" s="558"/>
      <c r="J600" s="123">
        <f t="shared" si="80"/>
        <v>0</v>
      </c>
      <c r="K600" s="123" t="e">
        <f t="shared" si="81"/>
        <v>#VALUE!</v>
      </c>
      <c r="L600" s="123">
        <f t="shared" si="78"/>
        <v>0</v>
      </c>
      <c r="M600" s="124" t="str">
        <f t="shared" si="79"/>
        <v/>
      </c>
      <c r="N600" s="112"/>
      <c r="O600" s="101"/>
      <c r="P600" s="101"/>
      <c r="Q600" s="101"/>
      <c r="R600" s="102"/>
      <c r="S600" s="102"/>
      <c r="T600" s="102"/>
      <c r="U600" s="103"/>
      <c r="V600" s="100"/>
      <c r="W600" s="101"/>
      <c r="X600" s="113"/>
      <c r="Y600" s="114"/>
      <c r="Z600" s="102"/>
      <c r="AA600" s="101"/>
      <c r="AB600" s="111"/>
      <c r="AE600" s="187"/>
      <c r="AF600" s="185"/>
      <c r="AG600" s="185" t="str">
        <f t="shared" si="82"/>
        <v/>
      </c>
      <c r="AH600" s="186" t="str">
        <f t="shared" si="83"/>
        <v/>
      </c>
      <c r="AI600" s="185"/>
      <c r="AJ600" s="188"/>
      <c r="CC600" s="562"/>
      <c r="CD600" s="425"/>
    </row>
    <row r="601" spans="2:82" ht="30" customHeight="1" x14ac:dyDescent="0.3">
      <c r="B601" s="562"/>
      <c r="C601" s="563"/>
      <c r="D601" s="425"/>
      <c r="E601" s="250" t="str">
        <f t="shared" si="77"/>
        <v/>
      </c>
      <c r="F601" s="556"/>
      <c r="G601" s="252" t="str">
        <f>IFERROR(VLOOKUP(F601,'Data (hidden)'!N:O,2,FALSE),"")</f>
        <v/>
      </c>
      <c r="H601" s="557"/>
      <c r="I601" s="558"/>
      <c r="J601" s="123">
        <f t="shared" si="80"/>
        <v>0</v>
      </c>
      <c r="K601" s="123" t="e">
        <f t="shared" si="81"/>
        <v>#VALUE!</v>
      </c>
      <c r="L601" s="123">
        <f t="shared" si="78"/>
        <v>0</v>
      </c>
      <c r="M601" s="124" t="str">
        <f t="shared" si="79"/>
        <v/>
      </c>
      <c r="N601" s="112"/>
      <c r="O601" s="101"/>
      <c r="P601" s="101"/>
      <c r="Q601" s="101"/>
      <c r="R601" s="102"/>
      <c r="S601" s="102"/>
      <c r="T601" s="102"/>
      <c r="U601" s="103"/>
      <c r="V601" s="100"/>
      <c r="W601" s="101"/>
      <c r="X601" s="113"/>
      <c r="Y601" s="114"/>
      <c r="Z601" s="102"/>
      <c r="AA601" s="101"/>
      <c r="AB601" s="111"/>
      <c r="AE601" s="187"/>
      <c r="AF601" s="185"/>
      <c r="AG601" s="185" t="str">
        <f t="shared" si="82"/>
        <v/>
      </c>
      <c r="AH601" s="186" t="str">
        <f t="shared" si="83"/>
        <v/>
      </c>
      <c r="AI601" s="185"/>
      <c r="AJ601" s="188"/>
      <c r="CC601" s="562"/>
      <c r="CD601" s="425"/>
    </row>
    <row r="602" spans="2:82" ht="30" customHeight="1" x14ac:dyDescent="0.3">
      <c r="B602" s="562"/>
      <c r="C602" s="563"/>
      <c r="D602" s="425"/>
      <c r="E602" s="250" t="str">
        <f t="shared" si="77"/>
        <v/>
      </c>
      <c r="F602" s="556"/>
      <c r="G602" s="252" t="str">
        <f>IFERROR(VLOOKUP(F602,'Data (hidden)'!N:O,2,FALSE),"")</f>
        <v/>
      </c>
      <c r="H602" s="557"/>
      <c r="I602" s="558"/>
      <c r="J602" s="123">
        <f t="shared" si="80"/>
        <v>0</v>
      </c>
      <c r="K602" s="123" t="e">
        <f t="shared" si="81"/>
        <v>#VALUE!</v>
      </c>
      <c r="L602" s="123">
        <f t="shared" si="78"/>
        <v>0</v>
      </c>
      <c r="M602" s="124" t="str">
        <f t="shared" si="79"/>
        <v/>
      </c>
      <c r="N602" s="112"/>
      <c r="O602" s="101"/>
      <c r="P602" s="101"/>
      <c r="Q602" s="101"/>
      <c r="R602" s="102"/>
      <c r="S602" s="102"/>
      <c r="T602" s="102"/>
      <c r="U602" s="103"/>
      <c r="V602" s="100"/>
      <c r="W602" s="101"/>
      <c r="X602" s="113"/>
      <c r="Y602" s="114"/>
      <c r="Z602" s="102"/>
      <c r="AA602" s="101"/>
      <c r="AB602" s="111"/>
      <c r="AE602" s="187"/>
      <c r="AF602" s="185"/>
      <c r="AG602" s="185" t="str">
        <f t="shared" si="82"/>
        <v/>
      </c>
      <c r="AH602" s="186" t="str">
        <f t="shared" si="83"/>
        <v/>
      </c>
      <c r="AI602" s="185"/>
      <c r="AJ602" s="188"/>
      <c r="CC602" s="562"/>
      <c r="CD602" s="425"/>
    </row>
    <row r="603" spans="2:82" ht="30" customHeight="1" x14ac:dyDescent="0.3">
      <c r="B603" s="562"/>
      <c r="C603" s="563"/>
      <c r="D603" s="425"/>
      <c r="E603" s="250" t="str">
        <f t="shared" si="77"/>
        <v/>
      </c>
      <c r="F603" s="556"/>
      <c r="G603" s="252" t="str">
        <f>IFERROR(VLOOKUP(F603,'Data (hidden)'!N:O,2,FALSE),"")</f>
        <v/>
      </c>
      <c r="H603" s="557"/>
      <c r="I603" s="558"/>
      <c r="J603" s="123">
        <f t="shared" si="80"/>
        <v>0</v>
      </c>
      <c r="K603" s="123" t="e">
        <f t="shared" si="81"/>
        <v>#VALUE!</v>
      </c>
      <c r="L603" s="123">
        <f t="shared" si="78"/>
        <v>0</v>
      </c>
      <c r="M603" s="124" t="str">
        <f t="shared" si="79"/>
        <v/>
      </c>
      <c r="N603" s="112"/>
      <c r="O603" s="101"/>
      <c r="P603" s="101"/>
      <c r="Q603" s="101"/>
      <c r="R603" s="102"/>
      <c r="S603" s="102"/>
      <c r="T603" s="102"/>
      <c r="U603" s="103"/>
      <c r="V603" s="100"/>
      <c r="W603" s="101"/>
      <c r="X603" s="113"/>
      <c r="Y603" s="114"/>
      <c r="Z603" s="102"/>
      <c r="AA603" s="101"/>
      <c r="AB603" s="111"/>
      <c r="AE603" s="187"/>
      <c r="AF603" s="185"/>
      <c r="AG603" s="185" t="str">
        <f t="shared" si="82"/>
        <v/>
      </c>
      <c r="AH603" s="186" t="str">
        <f t="shared" si="83"/>
        <v/>
      </c>
      <c r="AI603" s="185"/>
      <c r="AJ603" s="188"/>
      <c r="CC603" s="562"/>
      <c r="CD603" s="425"/>
    </row>
    <row r="604" spans="2:82" ht="30" customHeight="1" x14ac:dyDescent="0.3">
      <c r="B604" s="562"/>
      <c r="C604" s="563"/>
      <c r="D604" s="425"/>
      <c r="E604" s="250" t="str">
        <f t="shared" si="77"/>
        <v/>
      </c>
      <c r="F604" s="556"/>
      <c r="G604" s="252" t="str">
        <f>IFERROR(VLOOKUP(F604,'Data (hidden)'!N:O,2,FALSE),"")</f>
        <v/>
      </c>
      <c r="H604" s="557"/>
      <c r="I604" s="558"/>
      <c r="J604" s="123">
        <f t="shared" si="80"/>
        <v>0</v>
      </c>
      <c r="K604" s="123" t="e">
        <f t="shared" si="81"/>
        <v>#VALUE!</v>
      </c>
      <c r="L604" s="123">
        <f t="shared" si="78"/>
        <v>0</v>
      </c>
      <c r="M604" s="124" t="str">
        <f t="shared" si="79"/>
        <v/>
      </c>
      <c r="N604" s="112"/>
      <c r="O604" s="101"/>
      <c r="P604" s="101"/>
      <c r="Q604" s="101"/>
      <c r="R604" s="102"/>
      <c r="S604" s="102"/>
      <c r="T604" s="102"/>
      <c r="U604" s="103"/>
      <c r="V604" s="100"/>
      <c r="W604" s="101"/>
      <c r="X604" s="113"/>
      <c r="Y604" s="114"/>
      <c r="Z604" s="102"/>
      <c r="AA604" s="101"/>
      <c r="AB604" s="111"/>
      <c r="AE604" s="187"/>
      <c r="AF604" s="185"/>
      <c r="AG604" s="185" t="str">
        <f t="shared" si="82"/>
        <v/>
      </c>
      <c r="AH604" s="186" t="str">
        <f t="shared" si="83"/>
        <v/>
      </c>
      <c r="AI604" s="185"/>
      <c r="AJ604" s="188"/>
      <c r="CC604" s="562"/>
      <c r="CD604" s="425"/>
    </row>
    <row r="605" spans="2:82" ht="30" customHeight="1" x14ac:dyDescent="0.3">
      <c r="B605" s="562"/>
      <c r="C605" s="563"/>
      <c r="D605" s="425"/>
      <c r="E605" s="250" t="str">
        <f t="shared" si="77"/>
        <v/>
      </c>
      <c r="F605" s="556"/>
      <c r="G605" s="252" t="str">
        <f>IFERROR(VLOOKUP(F605,'Data (hidden)'!N:O,2,FALSE),"")</f>
        <v/>
      </c>
      <c r="H605" s="557"/>
      <c r="I605" s="558"/>
      <c r="J605" s="123">
        <f t="shared" si="80"/>
        <v>0</v>
      </c>
      <c r="K605" s="123" t="e">
        <f t="shared" si="81"/>
        <v>#VALUE!</v>
      </c>
      <c r="L605" s="123">
        <f t="shared" si="78"/>
        <v>0</v>
      </c>
      <c r="M605" s="124" t="str">
        <f t="shared" si="79"/>
        <v/>
      </c>
      <c r="N605" s="112"/>
      <c r="O605" s="101"/>
      <c r="P605" s="101"/>
      <c r="Q605" s="101"/>
      <c r="R605" s="102"/>
      <c r="S605" s="102"/>
      <c r="T605" s="102"/>
      <c r="U605" s="103"/>
      <c r="V605" s="100"/>
      <c r="W605" s="101"/>
      <c r="X605" s="113"/>
      <c r="Y605" s="114"/>
      <c r="Z605" s="102"/>
      <c r="AA605" s="101"/>
      <c r="AB605" s="111"/>
      <c r="AE605" s="187"/>
      <c r="AF605" s="185"/>
      <c r="AG605" s="185" t="str">
        <f t="shared" si="82"/>
        <v/>
      </c>
      <c r="AH605" s="186" t="str">
        <f t="shared" si="83"/>
        <v/>
      </c>
      <c r="AI605" s="185"/>
      <c r="AJ605" s="188"/>
      <c r="CC605" s="562"/>
      <c r="CD605" s="425"/>
    </row>
    <row r="606" spans="2:82" ht="30" customHeight="1" x14ac:dyDescent="0.3">
      <c r="B606" s="562"/>
      <c r="C606" s="563"/>
      <c r="D606" s="425"/>
      <c r="E606" s="250" t="str">
        <f t="shared" si="77"/>
        <v/>
      </c>
      <c r="F606" s="556"/>
      <c r="G606" s="252" t="str">
        <f>IFERROR(VLOOKUP(F606,'Data (hidden)'!N:O,2,FALSE),"")</f>
        <v/>
      </c>
      <c r="H606" s="557"/>
      <c r="I606" s="558"/>
      <c r="J606" s="123">
        <f t="shared" si="80"/>
        <v>0</v>
      </c>
      <c r="K606" s="123" t="e">
        <f t="shared" si="81"/>
        <v>#VALUE!</v>
      </c>
      <c r="L606" s="123">
        <f t="shared" si="78"/>
        <v>0</v>
      </c>
      <c r="M606" s="124" t="str">
        <f t="shared" si="79"/>
        <v/>
      </c>
      <c r="N606" s="112"/>
      <c r="O606" s="101"/>
      <c r="P606" s="101"/>
      <c r="Q606" s="101"/>
      <c r="R606" s="102"/>
      <c r="S606" s="102"/>
      <c r="T606" s="102"/>
      <c r="U606" s="103"/>
      <c r="V606" s="100"/>
      <c r="W606" s="101"/>
      <c r="X606" s="113"/>
      <c r="Y606" s="114"/>
      <c r="Z606" s="102"/>
      <c r="AA606" s="101"/>
      <c r="AB606" s="111"/>
      <c r="AE606" s="187"/>
      <c r="AF606" s="185"/>
      <c r="AG606" s="185" t="str">
        <f t="shared" si="82"/>
        <v/>
      </c>
      <c r="AH606" s="186" t="str">
        <f t="shared" si="83"/>
        <v/>
      </c>
      <c r="AI606" s="185"/>
      <c r="AJ606" s="188"/>
      <c r="CC606" s="562"/>
      <c r="CD606" s="425"/>
    </row>
    <row r="607" spans="2:82" ht="30" customHeight="1" x14ac:dyDescent="0.3">
      <c r="B607" s="562"/>
      <c r="C607" s="563"/>
      <c r="D607" s="425"/>
      <c r="E607" s="250" t="str">
        <f t="shared" si="77"/>
        <v/>
      </c>
      <c r="F607" s="556"/>
      <c r="G607" s="252" t="str">
        <f>IFERROR(VLOOKUP(F607,'Data (hidden)'!N:O,2,FALSE),"")</f>
        <v/>
      </c>
      <c r="H607" s="557"/>
      <c r="I607" s="558"/>
      <c r="J607" s="123">
        <f t="shared" si="80"/>
        <v>0</v>
      </c>
      <c r="K607" s="123" t="e">
        <f t="shared" si="81"/>
        <v>#VALUE!</v>
      </c>
      <c r="L607" s="123">
        <f t="shared" si="78"/>
        <v>0</v>
      </c>
      <c r="M607" s="124" t="str">
        <f t="shared" si="79"/>
        <v/>
      </c>
      <c r="N607" s="112"/>
      <c r="O607" s="101"/>
      <c r="P607" s="101"/>
      <c r="Q607" s="101"/>
      <c r="R607" s="102"/>
      <c r="S607" s="102"/>
      <c r="T607" s="102"/>
      <c r="U607" s="103"/>
      <c r="V607" s="100"/>
      <c r="W607" s="101"/>
      <c r="X607" s="113"/>
      <c r="Y607" s="114"/>
      <c r="Z607" s="102"/>
      <c r="AA607" s="101"/>
      <c r="AB607" s="111"/>
      <c r="AE607" s="187"/>
      <c r="AF607" s="185"/>
      <c r="AG607" s="185" t="str">
        <f t="shared" si="82"/>
        <v/>
      </c>
      <c r="AH607" s="186" t="str">
        <f t="shared" si="83"/>
        <v/>
      </c>
      <c r="AI607" s="185"/>
      <c r="AJ607" s="188"/>
      <c r="CC607" s="562"/>
      <c r="CD607" s="425"/>
    </row>
    <row r="608" spans="2:82" ht="30" customHeight="1" x14ac:dyDescent="0.3">
      <c r="B608" s="562"/>
      <c r="C608" s="563"/>
      <c r="D608" s="425"/>
      <c r="E608" s="250" t="str">
        <f t="shared" si="77"/>
        <v/>
      </c>
      <c r="F608" s="556"/>
      <c r="G608" s="252" t="str">
        <f>IFERROR(VLOOKUP(F608,'Data (hidden)'!N:O,2,FALSE),"")</f>
        <v/>
      </c>
      <c r="H608" s="557"/>
      <c r="I608" s="558"/>
      <c r="J608" s="123">
        <f t="shared" si="80"/>
        <v>0</v>
      </c>
      <c r="K608" s="123" t="e">
        <f t="shared" si="81"/>
        <v>#VALUE!</v>
      </c>
      <c r="L608" s="123">
        <f t="shared" si="78"/>
        <v>0</v>
      </c>
      <c r="M608" s="124" t="str">
        <f t="shared" si="79"/>
        <v/>
      </c>
      <c r="N608" s="112"/>
      <c r="O608" s="101"/>
      <c r="P608" s="101"/>
      <c r="Q608" s="101"/>
      <c r="R608" s="102"/>
      <c r="S608" s="102"/>
      <c r="T608" s="102"/>
      <c r="U608" s="103"/>
      <c r="V608" s="100"/>
      <c r="W608" s="101"/>
      <c r="X608" s="113"/>
      <c r="Y608" s="114"/>
      <c r="Z608" s="102"/>
      <c r="AA608" s="101"/>
      <c r="AB608" s="111"/>
      <c r="AE608" s="187"/>
      <c r="AF608" s="185"/>
      <c r="AG608" s="185" t="str">
        <f t="shared" si="82"/>
        <v/>
      </c>
      <c r="AH608" s="186" t="str">
        <f t="shared" si="83"/>
        <v/>
      </c>
      <c r="AI608" s="185"/>
      <c r="AJ608" s="188"/>
      <c r="CC608" s="562"/>
      <c r="CD608" s="425"/>
    </row>
    <row r="609" spans="2:82" ht="30" customHeight="1" x14ac:dyDescent="0.3">
      <c r="B609" s="562"/>
      <c r="C609" s="563"/>
      <c r="D609" s="425"/>
      <c r="E609" s="250" t="str">
        <f t="shared" si="77"/>
        <v/>
      </c>
      <c r="F609" s="556"/>
      <c r="G609" s="252" t="str">
        <f>IFERROR(VLOOKUP(F609,'Data (hidden)'!N:O,2,FALSE),"")</f>
        <v/>
      </c>
      <c r="H609" s="557"/>
      <c r="I609" s="558"/>
      <c r="J609" s="123">
        <f t="shared" si="80"/>
        <v>0</v>
      </c>
      <c r="K609" s="123" t="e">
        <f t="shared" si="81"/>
        <v>#VALUE!</v>
      </c>
      <c r="L609" s="123">
        <f t="shared" si="78"/>
        <v>0</v>
      </c>
      <c r="M609" s="124" t="str">
        <f t="shared" si="79"/>
        <v/>
      </c>
      <c r="N609" s="112"/>
      <c r="O609" s="101"/>
      <c r="P609" s="101"/>
      <c r="Q609" s="101"/>
      <c r="R609" s="102"/>
      <c r="S609" s="102"/>
      <c r="T609" s="102"/>
      <c r="U609" s="103"/>
      <c r="V609" s="100"/>
      <c r="W609" s="101"/>
      <c r="X609" s="113"/>
      <c r="Y609" s="114"/>
      <c r="Z609" s="102"/>
      <c r="AA609" s="101"/>
      <c r="AB609" s="111"/>
      <c r="AE609" s="187"/>
      <c r="AF609" s="185"/>
      <c r="AG609" s="185" t="str">
        <f t="shared" si="82"/>
        <v/>
      </c>
      <c r="AH609" s="186" t="str">
        <f t="shared" si="83"/>
        <v/>
      </c>
      <c r="AI609" s="185"/>
      <c r="AJ609" s="188"/>
      <c r="CC609" s="562"/>
      <c r="CD609" s="425"/>
    </row>
    <row r="610" spans="2:82" ht="30" customHeight="1" x14ac:dyDescent="0.3">
      <c r="B610" s="562"/>
      <c r="C610" s="563"/>
      <c r="D610" s="425"/>
      <c r="E610" s="250" t="str">
        <f t="shared" si="77"/>
        <v/>
      </c>
      <c r="F610" s="556"/>
      <c r="G610" s="252" t="str">
        <f>IFERROR(VLOOKUP(F610,'Data (hidden)'!N:O,2,FALSE),"")</f>
        <v/>
      </c>
      <c r="H610" s="557"/>
      <c r="I610" s="558"/>
      <c r="J610" s="123">
        <f t="shared" si="80"/>
        <v>0</v>
      </c>
      <c r="K610" s="123" t="e">
        <f t="shared" si="81"/>
        <v>#VALUE!</v>
      </c>
      <c r="L610" s="123">
        <f t="shared" si="78"/>
        <v>0</v>
      </c>
      <c r="M610" s="124" t="str">
        <f t="shared" si="79"/>
        <v/>
      </c>
      <c r="N610" s="112"/>
      <c r="O610" s="101"/>
      <c r="P610" s="101"/>
      <c r="Q610" s="101"/>
      <c r="R610" s="102"/>
      <c r="S610" s="102"/>
      <c r="T610" s="102"/>
      <c r="U610" s="103"/>
      <c r="V610" s="100"/>
      <c r="W610" s="101"/>
      <c r="X610" s="113"/>
      <c r="Y610" s="114"/>
      <c r="Z610" s="102"/>
      <c r="AA610" s="101"/>
      <c r="AB610" s="111"/>
      <c r="AE610" s="187"/>
      <c r="AF610" s="185"/>
      <c r="AG610" s="185" t="str">
        <f t="shared" si="82"/>
        <v/>
      </c>
      <c r="AH610" s="186" t="str">
        <f t="shared" si="83"/>
        <v/>
      </c>
      <c r="AI610" s="185"/>
      <c r="AJ610" s="188"/>
      <c r="CC610" s="562"/>
      <c r="CD610" s="425"/>
    </row>
    <row r="611" spans="2:82" ht="30" customHeight="1" x14ac:dyDescent="0.3">
      <c r="B611" s="562"/>
      <c r="C611" s="563"/>
      <c r="D611" s="425"/>
      <c r="E611" s="250" t="str">
        <f t="shared" si="77"/>
        <v/>
      </c>
      <c r="F611" s="556"/>
      <c r="G611" s="252" t="str">
        <f>IFERROR(VLOOKUP(F611,'Data (hidden)'!N:O,2,FALSE),"")</f>
        <v/>
      </c>
      <c r="H611" s="557"/>
      <c r="I611" s="558"/>
      <c r="J611" s="123">
        <f t="shared" si="80"/>
        <v>0</v>
      </c>
      <c r="K611" s="123" t="e">
        <f t="shared" si="81"/>
        <v>#VALUE!</v>
      </c>
      <c r="L611" s="123">
        <f t="shared" si="78"/>
        <v>0</v>
      </c>
      <c r="M611" s="124" t="str">
        <f t="shared" si="79"/>
        <v/>
      </c>
      <c r="N611" s="112"/>
      <c r="O611" s="101"/>
      <c r="P611" s="101"/>
      <c r="Q611" s="101"/>
      <c r="R611" s="102"/>
      <c r="S611" s="102"/>
      <c r="T611" s="102"/>
      <c r="U611" s="103"/>
      <c r="V611" s="100"/>
      <c r="W611" s="101"/>
      <c r="X611" s="113"/>
      <c r="Y611" s="114"/>
      <c r="Z611" s="102"/>
      <c r="AA611" s="101"/>
      <c r="AB611" s="111"/>
      <c r="AE611" s="187"/>
      <c r="AF611" s="185"/>
      <c r="AG611" s="185" t="str">
        <f t="shared" si="82"/>
        <v/>
      </c>
      <c r="AH611" s="186" t="str">
        <f t="shared" si="83"/>
        <v/>
      </c>
      <c r="AI611" s="185"/>
      <c r="AJ611" s="188"/>
      <c r="CC611" s="562"/>
      <c r="CD611" s="425"/>
    </row>
    <row r="612" spans="2:82" ht="30" customHeight="1" x14ac:dyDescent="0.3">
      <c r="B612" s="562"/>
      <c r="C612" s="563"/>
      <c r="D612" s="425"/>
      <c r="E612" s="250" t="str">
        <f t="shared" si="77"/>
        <v/>
      </c>
      <c r="F612" s="556"/>
      <c r="G612" s="252" t="str">
        <f>IFERROR(VLOOKUP(F612,'Data (hidden)'!N:O,2,FALSE),"")</f>
        <v/>
      </c>
      <c r="H612" s="557"/>
      <c r="I612" s="558"/>
      <c r="J612" s="123">
        <f t="shared" si="80"/>
        <v>0</v>
      </c>
      <c r="K612" s="123" t="e">
        <f t="shared" si="81"/>
        <v>#VALUE!</v>
      </c>
      <c r="L612" s="123">
        <f t="shared" si="78"/>
        <v>0</v>
      </c>
      <c r="M612" s="124" t="str">
        <f t="shared" si="79"/>
        <v/>
      </c>
      <c r="N612" s="112"/>
      <c r="O612" s="101"/>
      <c r="P612" s="101"/>
      <c r="Q612" s="101"/>
      <c r="R612" s="102"/>
      <c r="S612" s="102"/>
      <c r="T612" s="102"/>
      <c r="U612" s="103"/>
      <c r="V612" s="100"/>
      <c r="W612" s="101"/>
      <c r="X612" s="113"/>
      <c r="Y612" s="114"/>
      <c r="Z612" s="102"/>
      <c r="AA612" s="101"/>
      <c r="AB612" s="111"/>
      <c r="AE612" s="187"/>
      <c r="AF612" s="185"/>
      <c r="AG612" s="185" t="str">
        <f t="shared" si="82"/>
        <v/>
      </c>
      <c r="AH612" s="186" t="str">
        <f t="shared" si="83"/>
        <v/>
      </c>
      <c r="AI612" s="185"/>
      <c r="AJ612" s="188"/>
      <c r="CC612" s="562"/>
      <c r="CD612" s="425"/>
    </row>
    <row r="613" spans="2:82" ht="30" customHeight="1" x14ac:dyDescent="0.3">
      <c r="B613" s="562"/>
      <c r="C613" s="563"/>
      <c r="D613" s="425"/>
      <c r="E613" s="250" t="str">
        <f t="shared" si="77"/>
        <v/>
      </c>
      <c r="F613" s="556"/>
      <c r="G613" s="252" t="str">
        <f>IFERROR(VLOOKUP(F613,'Data (hidden)'!N:O,2,FALSE),"")</f>
        <v/>
      </c>
      <c r="H613" s="557"/>
      <c r="I613" s="558"/>
      <c r="J613" s="123">
        <f t="shared" si="80"/>
        <v>0</v>
      </c>
      <c r="K613" s="123" t="e">
        <f t="shared" si="81"/>
        <v>#VALUE!</v>
      </c>
      <c r="L613" s="123">
        <f t="shared" si="78"/>
        <v>0</v>
      </c>
      <c r="M613" s="124" t="str">
        <f t="shared" si="79"/>
        <v/>
      </c>
      <c r="N613" s="112"/>
      <c r="O613" s="101"/>
      <c r="P613" s="101"/>
      <c r="Q613" s="101"/>
      <c r="R613" s="102"/>
      <c r="S613" s="102"/>
      <c r="T613" s="102"/>
      <c r="U613" s="103"/>
      <c r="V613" s="100"/>
      <c r="W613" s="101"/>
      <c r="X613" s="113"/>
      <c r="Y613" s="114"/>
      <c r="Z613" s="102"/>
      <c r="AA613" s="101"/>
      <c r="AB613" s="111"/>
      <c r="AE613" s="187"/>
      <c r="AF613" s="185"/>
      <c r="AG613" s="185" t="str">
        <f t="shared" si="82"/>
        <v/>
      </c>
      <c r="AH613" s="186" t="str">
        <f t="shared" si="83"/>
        <v/>
      </c>
      <c r="AI613" s="185"/>
      <c r="AJ613" s="188"/>
      <c r="CC613" s="562"/>
      <c r="CD613" s="425"/>
    </row>
    <row r="614" spans="2:82" ht="30" customHeight="1" x14ac:dyDescent="0.3">
      <c r="B614" s="562"/>
      <c r="C614" s="563"/>
      <c r="D614" s="425"/>
      <c r="E614" s="250" t="str">
        <f t="shared" si="77"/>
        <v/>
      </c>
      <c r="F614" s="556"/>
      <c r="G614" s="252" t="str">
        <f>IFERROR(VLOOKUP(F614,'Data (hidden)'!N:O,2,FALSE),"")</f>
        <v/>
      </c>
      <c r="H614" s="557"/>
      <c r="I614" s="558"/>
      <c r="J614" s="123">
        <f t="shared" si="80"/>
        <v>0</v>
      </c>
      <c r="K614" s="123" t="e">
        <f t="shared" si="81"/>
        <v>#VALUE!</v>
      </c>
      <c r="L614" s="123">
        <f t="shared" si="78"/>
        <v>0</v>
      </c>
      <c r="M614" s="124" t="str">
        <f t="shared" si="79"/>
        <v/>
      </c>
      <c r="N614" s="112"/>
      <c r="O614" s="101"/>
      <c r="P614" s="101"/>
      <c r="Q614" s="101"/>
      <c r="R614" s="102"/>
      <c r="S614" s="102"/>
      <c r="T614" s="102"/>
      <c r="U614" s="103"/>
      <c r="V614" s="100"/>
      <c r="W614" s="101"/>
      <c r="X614" s="113"/>
      <c r="Y614" s="114"/>
      <c r="Z614" s="102"/>
      <c r="AA614" s="101"/>
      <c r="AB614" s="111"/>
      <c r="AE614" s="187"/>
      <c r="AF614" s="185"/>
      <c r="AG614" s="185" t="str">
        <f t="shared" si="82"/>
        <v/>
      </c>
      <c r="AH614" s="186" t="str">
        <f t="shared" si="83"/>
        <v/>
      </c>
      <c r="AI614" s="185"/>
      <c r="AJ614" s="188"/>
      <c r="CC614" s="562"/>
      <c r="CD614" s="425"/>
    </row>
    <row r="615" spans="2:82" ht="30" customHeight="1" x14ac:dyDescent="0.3">
      <c r="B615" s="562"/>
      <c r="C615" s="563"/>
      <c r="D615" s="425"/>
      <c r="E615" s="250" t="str">
        <f t="shared" si="77"/>
        <v/>
      </c>
      <c r="F615" s="556"/>
      <c r="G615" s="252" t="str">
        <f>IFERROR(VLOOKUP(F615,'Data (hidden)'!N:O,2,FALSE),"")</f>
        <v/>
      </c>
      <c r="H615" s="557"/>
      <c r="I615" s="558"/>
      <c r="J615" s="123">
        <f t="shared" si="80"/>
        <v>0</v>
      </c>
      <c r="K615" s="123" t="e">
        <f t="shared" si="81"/>
        <v>#VALUE!</v>
      </c>
      <c r="L615" s="123">
        <f t="shared" si="78"/>
        <v>0</v>
      </c>
      <c r="M615" s="124" t="str">
        <f t="shared" si="79"/>
        <v/>
      </c>
      <c r="N615" s="112"/>
      <c r="O615" s="101"/>
      <c r="P615" s="101"/>
      <c r="Q615" s="101"/>
      <c r="R615" s="102"/>
      <c r="S615" s="102"/>
      <c r="T615" s="102"/>
      <c r="U615" s="103"/>
      <c r="V615" s="100"/>
      <c r="W615" s="101"/>
      <c r="X615" s="113"/>
      <c r="Y615" s="114"/>
      <c r="Z615" s="102"/>
      <c r="AA615" s="101"/>
      <c r="AB615" s="111"/>
      <c r="AE615" s="187"/>
      <c r="AF615" s="185"/>
      <c r="AG615" s="185" t="str">
        <f t="shared" si="82"/>
        <v/>
      </c>
      <c r="AH615" s="186" t="str">
        <f t="shared" si="83"/>
        <v/>
      </c>
      <c r="AI615" s="185"/>
      <c r="AJ615" s="188"/>
      <c r="CC615" s="562"/>
      <c r="CD615" s="425"/>
    </row>
    <row r="616" spans="2:82" ht="30" customHeight="1" x14ac:dyDescent="0.3">
      <c r="B616" s="562"/>
      <c r="C616" s="563"/>
      <c r="D616" s="425"/>
      <c r="E616" s="250" t="str">
        <f t="shared" si="77"/>
        <v/>
      </c>
      <c r="F616" s="556"/>
      <c r="G616" s="252" t="str">
        <f>IFERROR(VLOOKUP(F616,'Data (hidden)'!N:O,2,FALSE),"")</f>
        <v/>
      </c>
      <c r="H616" s="557"/>
      <c r="I616" s="558"/>
      <c r="J616" s="123">
        <f t="shared" si="80"/>
        <v>0</v>
      </c>
      <c r="K616" s="123" t="e">
        <f t="shared" si="81"/>
        <v>#VALUE!</v>
      </c>
      <c r="L616" s="123">
        <f t="shared" si="78"/>
        <v>0</v>
      </c>
      <c r="M616" s="124" t="str">
        <f t="shared" si="79"/>
        <v/>
      </c>
      <c r="N616" s="112"/>
      <c r="O616" s="101"/>
      <c r="P616" s="101"/>
      <c r="Q616" s="101"/>
      <c r="R616" s="102"/>
      <c r="S616" s="102"/>
      <c r="T616" s="102"/>
      <c r="U616" s="103"/>
      <c r="V616" s="100"/>
      <c r="W616" s="101"/>
      <c r="X616" s="113"/>
      <c r="Y616" s="114"/>
      <c r="Z616" s="102"/>
      <c r="AA616" s="101"/>
      <c r="AB616" s="111"/>
      <c r="AE616" s="187"/>
      <c r="AF616" s="185"/>
      <c r="AG616" s="185" t="str">
        <f t="shared" si="82"/>
        <v/>
      </c>
      <c r="AH616" s="186" t="str">
        <f t="shared" si="83"/>
        <v/>
      </c>
      <c r="AI616" s="185"/>
      <c r="AJ616" s="188"/>
      <c r="CC616" s="562"/>
      <c r="CD616" s="425"/>
    </row>
    <row r="617" spans="2:82" ht="30" customHeight="1" x14ac:dyDescent="0.3">
      <c r="B617" s="562"/>
      <c r="C617" s="563"/>
      <c r="D617" s="425"/>
      <c r="E617" s="250" t="str">
        <f t="shared" si="77"/>
        <v/>
      </c>
      <c r="F617" s="556"/>
      <c r="G617" s="252" t="str">
        <f>IFERROR(VLOOKUP(F617,'Data (hidden)'!N:O,2,FALSE),"")</f>
        <v/>
      </c>
      <c r="H617" s="557"/>
      <c r="I617" s="558"/>
      <c r="J617" s="123">
        <f t="shared" si="80"/>
        <v>0</v>
      </c>
      <c r="K617" s="123" t="e">
        <f t="shared" si="81"/>
        <v>#VALUE!</v>
      </c>
      <c r="L617" s="123">
        <f t="shared" si="78"/>
        <v>0</v>
      </c>
      <c r="M617" s="124" t="str">
        <f t="shared" si="79"/>
        <v/>
      </c>
      <c r="N617" s="112"/>
      <c r="O617" s="101"/>
      <c r="P617" s="101"/>
      <c r="Q617" s="101"/>
      <c r="R617" s="102"/>
      <c r="S617" s="102"/>
      <c r="T617" s="102"/>
      <c r="U617" s="103"/>
      <c r="V617" s="100"/>
      <c r="W617" s="101"/>
      <c r="X617" s="113"/>
      <c r="Y617" s="114"/>
      <c r="Z617" s="102"/>
      <c r="AA617" s="101"/>
      <c r="AB617" s="111"/>
      <c r="AE617" s="187"/>
      <c r="AF617" s="185"/>
      <c r="AG617" s="185" t="str">
        <f t="shared" si="82"/>
        <v/>
      </c>
      <c r="AH617" s="186" t="str">
        <f t="shared" si="83"/>
        <v/>
      </c>
      <c r="AI617" s="185"/>
      <c r="AJ617" s="188"/>
      <c r="CC617" s="562"/>
      <c r="CD617" s="425"/>
    </row>
    <row r="618" spans="2:82" ht="30" customHeight="1" x14ac:dyDescent="0.3">
      <c r="B618" s="562"/>
      <c r="C618" s="563"/>
      <c r="D618" s="425"/>
      <c r="E618" s="250" t="str">
        <f t="shared" si="77"/>
        <v/>
      </c>
      <c r="F618" s="556"/>
      <c r="G618" s="252" t="str">
        <f>IFERROR(VLOOKUP(F618,'Data (hidden)'!N:O,2,FALSE),"")</f>
        <v/>
      </c>
      <c r="H618" s="557"/>
      <c r="I618" s="558"/>
      <c r="J618" s="123">
        <f t="shared" si="80"/>
        <v>0</v>
      </c>
      <c r="K618" s="123" t="e">
        <f t="shared" si="81"/>
        <v>#VALUE!</v>
      </c>
      <c r="L618" s="123">
        <f t="shared" si="78"/>
        <v>0</v>
      </c>
      <c r="M618" s="124" t="str">
        <f t="shared" si="79"/>
        <v/>
      </c>
      <c r="N618" s="112"/>
      <c r="O618" s="101"/>
      <c r="P618" s="101"/>
      <c r="Q618" s="101"/>
      <c r="R618" s="102"/>
      <c r="S618" s="102"/>
      <c r="T618" s="102"/>
      <c r="U618" s="103"/>
      <c r="V618" s="100"/>
      <c r="W618" s="101"/>
      <c r="X618" s="113"/>
      <c r="Y618" s="114"/>
      <c r="Z618" s="102"/>
      <c r="AA618" s="101"/>
      <c r="AB618" s="111"/>
      <c r="AE618" s="187"/>
      <c r="AF618" s="185"/>
      <c r="AG618" s="185" t="str">
        <f t="shared" si="82"/>
        <v/>
      </c>
      <c r="AH618" s="186" t="str">
        <f t="shared" si="83"/>
        <v/>
      </c>
      <c r="AI618" s="185"/>
      <c r="AJ618" s="188"/>
      <c r="CC618" s="562"/>
      <c r="CD618" s="425"/>
    </row>
    <row r="619" spans="2:82" ht="30" customHeight="1" x14ac:dyDescent="0.3">
      <c r="B619" s="562"/>
      <c r="C619" s="563"/>
      <c r="D619" s="425"/>
      <c r="E619" s="250" t="str">
        <f t="shared" si="77"/>
        <v/>
      </c>
      <c r="F619" s="556"/>
      <c r="G619" s="252" t="str">
        <f>IFERROR(VLOOKUP(F619,'Data (hidden)'!N:O,2,FALSE),"")</f>
        <v/>
      </c>
      <c r="H619" s="557"/>
      <c r="I619" s="558"/>
      <c r="J619" s="123">
        <f t="shared" si="80"/>
        <v>0</v>
      </c>
      <c r="K619" s="123" t="e">
        <f t="shared" si="81"/>
        <v>#VALUE!</v>
      </c>
      <c r="L619" s="123">
        <f t="shared" si="78"/>
        <v>0</v>
      </c>
      <c r="M619" s="124" t="str">
        <f t="shared" si="79"/>
        <v/>
      </c>
      <c r="N619" s="112"/>
      <c r="O619" s="101"/>
      <c r="P619" s="101"/>
      <c r="Q619" s="101"/>
      <c r="R619" s="102"/>
      <c r="S619" s="102"/>
      <c r="T619" s="102"/>
      <c r="U619" s="103"/>
      <c r="V619" s="100"/>
      <c r="W619" s="101"/>
      <c r="X619" s="113"/>
      <c r="Y619" s="114"/>
      <c r="Z619" s="102"/>
      <c r="AA619" s="101"/>
      <c r="AB619" s="111"/>
      <c r="AE619" s="187"/>
      <c r="AF619" s="185"/>
      <c r="AG619" s="185" t="str">
        <f t="shared" si="82"/>
        <v/>
      </c>
      <c r="AH619" s="186" t="str">
        <f t="shared" si="83"/>
        <v/>
      </c>
      <c r="AI619" s="185"/>
      <c r="AJ619" s="188"/>
      <c r="CC619" s="562"/>
      <c r="CD619" s="425"/>
    </row>
    <row r="620" spans="2:82" ht="30" customHeight="1" x14ac:dyDescent="0.3">
      <c r="B620" s="562"/>
      <c r="C620" s="563"/>
      <c r="D620" s="425"/>
      <c r="E620" s="250" t="str">
        <f t="shared" si="77"/>
        <v/>
      </c>
      <c r="F620" s="556"/>
      <c r="G620" s="252" t="str">
        <f>IFERROR(VLOOKUP(F620,'Data (hidden)'!N:O,2,FALSE),"")</f>
        <v/>
      </c>
      <c r="H620" s="557"/>
      <c r="I620" s="558"/>
      <c r="J620" s="123">
        <f t="shared" si="80"/>
        <v>0</v>
      </c>
      <c r="K620" s="123" t="e">
        <f t="shared" si="81"/>
        <v>#VALUE!</v>
      </c>
      <c r="L620" s="123">
        <f t="shared" si="78"/>
        <v>0</v>
      </c>
      <c r="M620" s="124" t="str">
        <f t="shared" si="79"/>
        <v/>
      </c>
      <c r="N620" s="112"/>
      <c r="O620" s="101"/>
      <c r="P620" s="101"/>
      <c r="Q620" s="101"/>
      <c r="R620" s="102"/>
      <c r="S620" s="102"/>
      <c r="T620" s="102"/>
      <c r="U620" s="103"/>
      <c r="V620" s="100"/>
      <c r="W620" s="101"/>
      <c r="X620" s="113"/>
      <c r="Y620" s="114"/>
      <c r="Z620" s="102"/>
      <c r="AA620" s="101"/>
      <c r="AB620" s="111"/>
      <c r="AE620" s="187"/>
      <c r="AF620" s="185"/>
      <c r="AG620" s="185" t="str">
        <f t="shared" si="82"/>
        <v/>
      </c>
      <c r="AH620" s="186" t="str">
        <f t="shared" si="83"/>
        <v/>
      </c>
      <c r="AI620" s="185"/>
      <c r="AJ620" s="188"/>
      <c r="CC620" s="562"/>
      <c r="CD620" s="425"/>
    </row>
    <row r="621" spans="2:82" ht="30" customHeight="1" x14ac:dyDescent="0.3">
      <c r="B621" s="562"/>
      <c r="C621" s="563"/>
      <c r="D621" s="425"/>
      <c r="E621" s="250" t="str">
        <f t="shared" si="77"/>
        <v/>
      </c>
      <c r="F621" s="556"/>
      <c r="G621" s="252" t="str">
        <f>IFERROR(VLOOKUP(F621,'Data (hidden)'!N:O,2,FALSE),"")</f>
        <v/>
      </c>
      <c r="H621" s="557"/>
      <c r="I621" s="558"/>
      <c r="J621" s="123">
        <f t="shared" si="80"/>
        <v>0</v>
      </c>
      <c r="K621" s="123" t="e">
        <f t="shared" si="81"/>
        <v>#VALUE!</v>
      </c>
      <c r="L621" s="123">
        <f t="shared" si="78"/>
        <v>0</v>
      </c>
      <c r="M621" s="124" t="str">
        <f t="shared" si="79"/>
        <v/>
      </c>
      <c r="N621" s="112"/>
      <c r="O621" s="101"/>
      <c r="P621" s="101"/>
      <c r="Q621" s="101"/>
      <c r="R621" s="102"/>
      <c r="S621" s="102"/>
      <c r="T621" s="102"/>
      <c r="U621" s="103"/>
      <c r="V621" s="100"/>
      <c r="W621" s="101"/>
      <c r="X621" s="113"/>
      <c r="Y621" s="114"/>
      <c r="Z621" s="102"/>
      <c r="AA621" s="101"/>
      <c r="AB621" s="111"/>
      <c r="AE621" s="187"/>
      <c r="AF621" s="185"/>
      <c r="AG621" s="185" t="str">
        <f t="shared" si="82"/>
        <v/>
      </c>
      <c r="AH621" s="186" t="str">
        <f t="shared" si="83"/>
        <v/>
      </c>
      <c r="AI621" s="185"/>
      <c r="AJ621" s="188"/>
      <c r="CC621" s="562"/>
      <c r="CD621" s="425"/>
    </row>
    <row r="622" spans="2:82" ht="30" customHeight="1" x14ac:dyDescent="0.3">
      <c r="B622" s="562"/>
      <c r="C622" s="563"/>
      <c r="D622" s="425"/>
      <c r="E622" s="250" t="str">
        <f t="shared" si="77"/>
        <v/>
      </c>
      <c r="F622" s="556"/>
      <c r="G622" s="252" t="str">
        <f>IFERROR(VLOOKUP(F622,'Data (hidden)'!N:O,2,FALSE),"")</f>
        <v/>
      </c>
      <c r="H622" s="557"/>
      <c r="I622" s="558"/>
      <c r="J622" s="123">
        <f t="shared" si="80"/>
        <v>0</v>
      </c>
      <c r="K622" s="123" t="e">
        <f t="shared" si="81"/>
        <v>#VALUE!</v>
      </c>
      <c r="L622" s="123">
        <f t="shared" si="78"/>
        <v>0</v>
      </c>
      <c r="M622" s="124" t="str">
        <f t="shared" si="79"/>
        <v/>
      </c>
      <c r="N622" s="112"/>
      <c r="O622" s="101"/>
      <c r="P622" s="101"/>
      <c r="Q622" s="101"/>
      <c r="R622" s="102"/>
      <c r="S622" s="102"/>
      <c r="T622" s="102"/>
      <c r="U622" s="103"/>
      <c r="V622" s="100"/>
      <c r="W622" s="101"/>
      <c r="X622" s="113"/>
      <c r="Y622" s="114"/>
      <c r="Z622" s="102"/>
      <c r="AA622" s="101"/>
      <c r="AB622" s="111"/>
      <c r="AE622" s="187"/>
      <c r="AF622" s="185"/>
      <c r="AG622" s="185" t="str">
        <f t="shared" si="82"/>
        <v/>
      </c>
      <c r="AH622" s="186" t="str">
        <f t="shared" si="83"/>
        <v/>
      </c>
      <c r="AI622" s="185"/>
      <c r="AJ622" s="188"/>
      <c r="CC622" s="562"/>
      <c r="CD622" s="425"/>
    </row>
    <row r="623" spans="2:82" ht="30" customHeight="1" x14ac:dyDescent="0.3">
      <c r="B623" s="562"/>
      <c r="C623" s="563"/>
      <c r="D623" s="425"/>
      <c r="E623" s="250" t="str">
        <f t="shared" si="77"/>
        <v/>
      </c>
      <c r="F623" s="556"/>
      <c r="G623" s="252" t="str">
        <f>IFERROR(VLOOKUP(F623,'Data (hidden)'!N:O,2,FALSE),"")</f>
        <v/>
      </c>
      <c r="H623" s="557"/>
      <c r="I623" s="558"/>
      <c r="J623" s="123">
        <f t="shared" si="80"/>
        <v>0</v>
      </c>
      <c r="K623" s="123" t="e">
        <f t="shared" si="81"/>
        <v>#VALUE!</v>
      </c>
      <c r="L623" s="123">
        <f t="shared" si="78"/>
        <v>0</v>
      </c>
      <c r="M623" s="124" t="str">
        <f t="shared" si="79"/>
        <v/>
      </c>
      <c r="N623" s="112"/>
      <c r="O623" s="101"/>
      <c r="P623" s="101"/>
      <c r="Q623" s="101"/>
      <c r="R623" s="102"/>
      <c r="S623" s="102"/>
      <c r="T623" s="102"/>
      <c r="U623" s="103"/>
      <c r="V623" s="100"/>
      <c r="W623" s="101"/>
      <c r="X623" s="113"/>
      <c r="Y623" s="114"/>
      <c r="Z623" s="102"/>
      <c r="AA623" s="101"/>
      <c r="AB623" s="111"/>
      <c r="AE623" s="187"/>
      <c r="AF623" s="185"/>
      <c r="AG623" s="185" t="str">
        <f t="shared" si="82"/>
        <v/>
      </c>
      <c r="AH623" s="186" t="str">
        <f t="shared" si="83"/>
        <v/>
      </c>
      <c r="AI623" s="185"/>
      <c r="AJ623" s="188"/>
      <c r="CC623" s="562"/>
      <c r="CD623" s="425"/>
    </row>
    <row r="624" spans="2:82" ht="30" customHeight="1" x14ac:dyDescent="0.3">
      <c r="B624" s="562"/>
      <c r="C624" s="563"/>
      <c r="D624" s="425"/>
      <c r="E624" s="250" t="str">
        <f t="shared" si="77"/>
        <v/>
      </c>
      <c r="F624" s="556"/>
      <c r="G624" s="252" t="str">
        <f>IFERROR(VLOOKUP(F624,'Data (hidden)'!N:O,2,FALSE),"")</f>
        <v/>
      </c>
      <c r="H624" s="557"/>
      <c r="I624" s="558"/>
      <c r="J624" s="123">
        <f t="shared" si="80"/>
        <v>0</v>
      </c>
      <c r="K624" s="123" t="e">
        <f t="shared" si="81"/>
        <v>#VALUE!</v>
      </c>
      <c r="L624" s="123">
        <f t="shared" si="78"/>
        <v>0</v>
      </c>
      <c r="M624" s="124" t="str">
        <f t="shared" si="79"/>
        <v/>
      </c>
      <c r="N624" s="112"/>
      <c r="O624" s="101"/>
      <c r="P624" s="101"/>
      <c r="Q624" s="101"/>
      <c r="R624" s="102"/>
      <c r="S624" s="102"/>
      <c r="T624" s="102"/>
      <c r="U624" s="103"/>
      <c r="V624" s="100"/>
      <c r="W624" s="101"/>
      <c r="X624" s="113"/>
      <c r="Y624" s="114"/>
      <c r="Z624" s="102"/>
      <c r="AA624" s="101"/>
      <c r="AB624" s="111"/>
      <c r="AE624" s="187"/>
      <c r="AF624" s="185"/>
      <c r="AG624" s="185" t="str">
        <f t="shared" si="82"/>
        <v/>
      </c>
      <c r="AH624" s="186" t="str">
        <f t="shared" si="83"/>
        <v/>
      </c>
      <c r="AI624" s="185"/>
      <c r="AJ624" s="188"/>
      <c r="CC624" s="562"/>
      <c r="CD624" s="425"/>
    </row>
    <row r="625" spans="2:82" ht="30" customHeight="1" x14ac:dyDescent="0.3">
      <c r="B625" s="562"/>
      <c r="C625" s="563"/>
      <c r="D625" s="425"/>
      <c r="E625" s="250" t="str">
        <f t="shared" si="77"/>
        <v/>
      </c>
      <c r="F625" s="556"/>
      <c r="G625" s="252" t="str">
        <f>IFERROR(VLOOKUP(F625,'Data (hidden)'!N:O,2,FALSE),"")</f>
        <v/>
      </c>
      <c r="H625" s="557"/>
      <c r="I625" s="558"/>
      <c r="J625" s="123">
        <f t="shared" si="80"/>
        <v>0</v>
      </c>
      <c r="K625" s="123" t="e">
        <f t="shared" si="81"/>
        <v>#VALUE!</v>
      </c>
      <c r="L625" s="123">
        <f t="shared" si="78"/>
        <v>0</v>
      </c>
      <c r="M625" s="124" t="str">
        <f t="shared" si="79"/>
        <v/>
      </c>
      <c r="N625" s="112"/>
      <c r="O625" s="101"/>
      <c r="P625" s="101"/>
      <c r="Q625" s="101"/>
      <c r="R625" s="102"/>
      <c r="S625" s="102"/>
      <c r="T625" s="102"/>
      <c r="U625" s="103"/>
      <c r="V625" s="100"/>
      <c r="W625" s="101"/>
      <c r="X625" s="113"/>
      <c r="Y625" s="114"/>
      <c r="Z625" s="102"/>
      <c r="AA625" s="101"/>
      <c r="AB625" s="111"/>
      <c r="AE625" s="187"/>
      <c r="AF625" s="185"/>
      <c r="AG625" s="185" t="str">
        <f t="shared" si="82"/>
        <v/>
      </c>
      <c r="AH625" s="186" t="str">
        <f t="shared" si="83"/>
        <v/>
      </c>
      <c r="AI625" s="185"/>
      <c r="AJ625" s="188"/>
      <c r="CC625" s="562"/>
      <c r="CD625" s="425"/>
    </row>
    <row r="626" spans="2:82" ht="30" customHeight="1" x14ac:dyDescent="0.3">
      <c r="B626" s="562"/>
      <c r="C626" s="563"/>
      <c r="D626" s="425"/>
      <c r="E626" s="250" t="str">
        <f t="shared" si="77"/>
        <v/>
      </c>
      <c r="F626" s="556"/>
      <c r="G626" s="252" t="str">
        <f>IFERROR(VLOOKUP(F626,'Data (hidden)'!N:O,2,FALSE),"")</f>
        <v/>
      </c>
      <c r="H626" s="557"/>
      <c r="I626" s="558"/>
      <c r="J626" s="123">
        <f t="shared" si="80"/>
        <v>0</v>
      </c>
      <c r="K626" s="123" t="e">
        <f t="shared" si="81"/>
        <v>#VALUE!</v>
      </c>
      <c r="L626" s="123">
        <f t="shared" si="78"/>
        <v>0</v>
      </c>
      <c r="M626" s="124" t="str">
        <f t="shared" si="79"/>
        <v/>
      </c>
      <c r="N626" s="112"/>
      <c r="O626" s="101"/>
      <c r="P626" s="101"/>
      <c r="Q626" s="101"/>
      <c r="R626" s="102"/>
      <c r="S626" s="102"/>
      <c r="T626" s="102"/>
      <c r="U626" s="103"/>
      <c r="V626" s="100"/>
      <c r="W626" s="101"/>
      <c r="X626" s="113"/>
      <c r="Y626" s="114"/>
      <c r="Z626" s="102"/>
      <c r="AA626" s="101"/>
      <c r="AB626" s="111"/>
      <c r="AE626" s="187"/>
      <c r="AF626" s="185"/>
      <c r="AG626" s="185" t="str">
        <f t="shared" si="82"/>
        <v/>
      </c>
      <c r="AH626" s="186" t="str">
        <f t="shared" si="83"/>
        <v/>
      </c>
      <c r="AI626" s="185"/>
      <c r="AJ626" s="188"/>
      <c r="CC626" s="562"/>
      <c r="CD626" s="425"/>
    </row>
    <row r="627" spans="2:82" ht="30" customHeight="1" x14ac:dyDescent="0.3">
      <c r="B627" s="562"/>
      <c r="C627" s="563"/>
      <c r="D627" s="425"/>
      <c r="E627" s="250" t="str">
        <f t="shared" si="77"/>
        <v/>
      </c>
      <c r="F627" s="556"/>
      <c r="G627" s="252" t="str">
        <f>IFERROR(VLOOKUP(F627,'Data (hidden)'!N:O,2,FALSE),"")</f>
        <v/>
      </c>
      <c r="H627" s="557"/>
      <c r="I627" s="558"/>
      <c r="J627" s="123">
        <f t="shared" si="80"/>
        <v>0</v>
      </c>
      <c r="K627" s="123" t="e">
        <f t="shared" si="81"/>
        <v>#VALUE!</v>
      </c>
      <c r="L627" s="123">
        <f t="shared" si="78"/>
        <v>0</v>
      </c>
      <c r="M627" s="124" t="str">
        <f t="shared" si="79"/>
        <v/>
      </c>
      <c r="N627" s="112"/>
      <c r="O627" s="101"/>
      <c r="P627" s="101"/>
      <c r="Q627" s="101"/>
      <c r="R627" s="102"/>
      <c r="S627" s="102"/>
      <c r="T627" s="102"/>
      <c r="U627" s="103"/>
      <c r="V627" s="100"/>
      <c r="W627" s="101"/>
      <c r="X627" s="113"/>
      <c r="Y627" s="114"/>
      <c r="Z627" s="102"/>
      <c r="AA627" s="101"/>
      <c r="AB627" s="111"/>
      <c r="AE627" s="187"/>
      <c r="AF627" s="185"/>
      <c r="AG627" s="185" t="str">
        <f t="shared" si="82"/>
        <v/>
      </c>
      <c r="AH627" s="186" t="str">
        <f t="shared" si="83"/>
        <v/>
      </c>
      <c r="AI627" s="185"/>
      <c r="AJ627" s="188"/>
      <c r="CC627" s="562"/>
      <c r="CD627" s="425"/>
    </row>
    <row r="628" spans="2:82" ht="30" customHeight="1" x14ac:dyDescent="0.3">
      <c r="B628" s="562"/>
      <c r="C628" s="563"/>
      <c r="D628" s="425"/>
      <c r="E628" s="250" t="str">
        <f t="shared" ref="E628:E691" si="84">IF(SUM(C628-(C628*L628))=0,"",SUM(C628-(C628*L628)))</f>
        <v/>
      </c>
      <c r="F628" s="556"/>
      <c r="G628" s="252" t="str">
        <f>IFERROR(VLOOKUP(F628,'Data (hidden)'!N:O,2,FALSE),"")</f>
        <v/>
      </c>
      <c r="H628" s="557"/>
      <c r="I628" s="558"/>
      <c r="J628" s="123">
        <f t="shared" si="80"/>
        <v>0</v>
      </c>
      <c r="K628" s="123" t="e">
        <f t="shared" si="81"/>
        <v>#VALUE!</v>
      </c>
      <c r="L628" s="123">
        <f t="shared" si="78"/>
        <v>0</v>
      </c>
      <c r="M628" s="124" t="str">
        <f t="shared" si="79"/>
        <v/>
      </c>
      <c r="N628" s="112"/>
      <c r="O628" s="101"/>
      <c r="P628" s="101"/>
      <c r="Q628" s="101"/>
      <c r="R628" s="102"/>
      <c r="S628" s="102"/>
      <c r="T628" s="102"/>
      <c r="U628" s="103"/>
      <c r="V628" s="100"/>
      <c r="W628" s="101"/>
      <c r="X628" s="113"/>
      <c r="Y628" s="114"/>
      <c r="Z628" s="102"/>
      <c r="AA628" s="101"/>
      <c r="AB628" s="111"/>
      <c r="AE628" s="187"/>
      <c r="AF628" s="185"/>
      <c r="AG628" s="185" t="str">
        <f t="shared" si="82"/>
        <v/>
      </c>
      <c r="AH628" s="186" t="str">
        <f t="shared" si="83"/>
        <v/>
      </c>
      <c r="AI628" s="185"/>
      <c r="AJ628" s="188"/>
      <c r="CC628" s="562"/>
      <c r="CD628" s="425"/>
    </row>
    <row r="629" spans="2:82" ht="30" customHeight="1" x14ac:dyDescent="0.3">
      <c r="B629" s="562"/>
      <c r="C629" s="563"/>
      <c r="D629" s="425"/>
      <c r="E629" s="250" t="str">
        <f t="shared" si="84"/>
        <v/>
      </c>
      <c r="F629" s="556"/>
      <c r="G629" s="252" t="str">
        <f>IFERROR(VLOOKUP(F629,'Data (hidden)'!N:O,2,FALSE),"")</f>
        <v/>
      </c>
      <c r="H629" s="557"/>
      <c r="I629" s="558"/>
      <c r="J629" s="123">
        <f t="shared" si="80"/>
        <v>0</v>
      </c>
      <c r="K629" s="123" t="e">
        <f t="shared" si="81"/>
        <v>#VALUE!</v>
      </c>
      <c r="L629" s="123">
        <f t="shared" si="78"/>
        <v>0</v>
      </c>
      <c r="M629" s="124" t="str">
        <f t="shared" si="79"/>
        <v/>
      </c>
      <c r="N629" s="112"/>
      <c r="O629" s="101"/>
      <c r="P629" s="101"/>
      <c r="Q629" s="101"/>
      <c r="R629" s="102"/>
      <c r="S629" s="102"/>
      <c r="T629" s="102"/>
      <c r="U629" s="103"/>
      <c r="V629" s="100"/>
      <c r="W629" s="101"/>
      <c r="X629" s="113"/>
      <c r="Y629" s="114"/>
      <c r="Z629" s="102"/>
      <c r="AA629" s="101"/>
      <c r="AB629" s="111"/>
      <c r="AE629" s="187"/>
      <c r="AF629" s="185"/>
      <c r="AG629" s="185" t="str">
        <f t="shared" si="82"/>
        <v/>
      </c>
      <c r="AH629" s="186" t="str">
        <f t="shared" si="83"/>
        <v/>
      </c>
      <c r="AI629" s="185"/>
      <c r="AJ629" s="188"/>
      <c r="CC629" s="562"/>
      <c r="CD629" s="425"/>
    </row>
    <row r="630" spans="2:82" ht="30" customHeight="1" x14ac:dyDescent="0.3">
      <c r="B630" s="562"/>
      <c r="C630" s="563"/>
      <c r="D630" s="425"/>
      <c r="E630" s="250" t="str">
        <f t="shared" si="84"/>
        <v/>
      </c>
      <c r="F630" s="556"/>
      <c r="G630" s="252" t="str">
        <f>IFERROR(VLOOKUP(F630,'Data (hidden)'!N:O,2,FALSE),"")</f>
        <v/>
      </c>
      <c r="H630" s="557"/>
      <c r="I630" s="558"/>
      <c r="J630" s="123">
        <f t="shared" si="80"/>
        <v>0</v>
      </c>
      <c r="K630" s="123" t="e">
        <f t="shared" si="81"/>
        <v>#VALUE!</v>
      </c>
      <c r="L630" s="123">
        <f t="shared" si="78"/>
        <v>0</v>
      </c>
      <c r="M630" s="124" t="str">
        <f t="shared" si="79"/>
        <v/>
      </c>
      <c r="N630" s="112"/>
      <c r="O630" s="101"/>
      <c r="P630" s="101"/>
      <c r="Q630" s="101"/>
      <c r="R630" s="102"/>
      <c r="S630" s="102"/>
      <c r="T630" s="102"/>
      <c r="U630" s="103"/>
      <c r="V630" s="100"/>
      <c r="W630" s="101"/>
      <c r="X630" s="113"/>
      <c r="Y630" s="114"/>
      <c r="Z630" s="102"/>
      <c r="AA630" s="101"/>
      <c r="AB630" s="111"/>
      <c r="AE630" s="187"/>
      <c r="AF630" s="185"/>
      <c r="AG630" s="185" t="str">
        <f t="shared" si="82"/>
        <v/>
      </c>
      <c r="AH630" s="186" t="str">
        <f t="shared" si="83"/>
        <v/>
      </c>
      <c r="AI630" s="185"/>
      <c r="AJ630" s="188"/>
      <c r="CC630" s="562"/>
      <c r="CD630" s="425"/>
    </row>
    <row r="631" spans="2:82" ht="30" customHeight="1" x14ac:dyDescent="0.3">
      <c r="B631" s="562"/>
      <c r="C631" s="563"/>
      <c r="D631" s="425"/>
      <c r="E631" s="250" t="str">
        <f t="shared" si="84"/>
        <v/>
      </c>
      <c r="F631" s="556"/>
      <c r="G631" s="252" t="str">
        <f>IFERROR(VLOOKUP(F631,'Data (hidden)'!N:O,2,FALSE),"")</f>
        <v/>
      </c>
      <c r="H631" s="557"/>
      <c r="I631" s="558"/>
      <c r="J631" s="123">
        <f t="shared" si="80"/>
        <v>0</v>
      </c>
      <c r="K631" s="123" t="e">
        <f t="shared" si="81"/>
        <v>#VALUE!</v>
      </c>
      <c r="L631" s="123">
        <f t="shared" si="78"/>
        <v>0</v>
      </c>
      <c r="M631" s="124" t="str">
        <f t="shared" si="79"/>
        <v/>
      </c>
      <c r="N631" s="112"/>
      <c r="O631" s="101"/>
      <c r="P631" s="101"/>
      <c r="Q631" s="101"/>
      <c r="R631" s="102"/>
      <c r="S631" s="102"/>
      <c r="T631" s="102"/>
      <c r="U631" s="103"/>
      <c r="V631" s="100"/>
      <c r="W631" s="101"/>
      <c r="X631" s="113"/>
      <c r="Y631" s="114"/>
      <c r="Z631" s="102"/>
      <c r="AA631" s="101"/>
      <c r="AB631" s="111"/>
      <c r="AE631" s="187"/>
      <c r="AF631" s="185"/>
      <c r="AG631" s="185" t="str">
        <f t="shared" si="82"/>
        <v/>
      </c>
      <c r="AH631" s="186" t="str">
        <f t="shared" si="83"/>
        <v/>
      </c>
      <c r="AI631" s="185"/>
      <c r="AJ631" s="188"/>
      <c r="CC631" s="562"/>
      <c r="CD631" s="425"/>
    </row>
    <row r="632" spans="2:82" ht="30" customHeight="1" x14ac:dyDescent="0.3">
      <c r="B632" s="562"/>
      <c r="C632" s="563"/>
      <c r="D632" s="425"/>
      <c r="E632" s="250" t="str">
        <f t="shared" si="84"/>
        <v/>
      </c>
      <c r="F632" s="556"/>
      <c r="G632" s="252" t="str">
        <f>IFERROR(VLOOKUP(F632,'Data (hidden)'!N:O,2,FALSE),"")</f>
        <v/>
      </c>
      <c r="H632" s="557"/>
      <c r="I632" s="558"/>
      <c r="J632" s="123">
        <f t="shared" si="80"/>
        <v>0</v>
      </c>
      <c r="K632" s="123" t="e">
        <f t="shared" si="81"/>
        <v>#VALUE!</v>
      </c>
      <c r="L632" s="123">
        <f t="shared" si="78"/>
        <v>0</v>
      </c>
      <c r="M632" s="124" t="str">
        <f t="shared" si="79"/>
        <v/>
      </c>
      <c r="N632" s="112"/>
      <c r="O632" s="101"/>
      <c r="P632" s="101"/>
      <c r="Q632" s="101"/>
      <c r="R632" s="102"/>
      <c r="S632" s="102"/>
      <c r="T632" s="102"/>
      <c r="U632" s="103"/>
      <c r="V632" s="100"/>
      <c r="W632" s="101"/>
      <c r="X632" s="113"/>
      <c r="Y632" s="114"/>
      <c r="Z632" s="102"/>
      <c r="AA632" s="101"/>
      <c r="AB632" s="111"/>
      <c r="AE632" s="187"/>
      <c r="AF632" s="185"/>
      <c r="AG632" s="185" t="str">
        <f t="shared" si="82"/>
        <v/>
      </c>
      <c r="AH632" s="186" t="str">
        <f t="shared" si="83"/>
        <v/>
      </c>
      <c r="AI632" s="185"/>
      <c r="AJ632" s="188"/>
      <c r="CC632" s="562"/>
      <c r="CD632" s="425"/>
    </row>
    <row r="633" spans="2:82" ht="30" customHeight="1" x14ac:dyDescent="0.3">
      <c r="B633" s="562"/>
      <c r="C633" s="563"/>
      <c r="D633" s="425"/>
      <c r="E633" s="250" t="str">
        <f t="shared" si="84"/>
        <v/>
      </c>
      <c r="F633" s="556"/>
      <c r="G633" s="252" t="str">
        <f>IFERROR(VLOOKUP(F633,'Data (hidden)'!N:O,2,FALSE),"")</f>
        <v/>
      </c>
      <c r="H633" s="557"/>
      <c r="I633" s="558"/>
      <c r="J633" s="123">
        <f t="shared" si="80"/>
        <v>0</v>
      </c>
      <c r="K633" s="123" t="e">
        <f t="shared" si="81"/>
        <v>#VALUE!</v>
      </c>
      <c r="L633" s="123">
        <f t="shared" si="78"/>
        <v>0</v>
      </c>
      <c r="M633" s="124" t="str">
        <f t="shared" si="79"/>
        <v/>
      </c>
      <c r="N633" s="112"/>
      <c r="O633" s="101"/>
      <c r="P633" s="101"/>
      <c r="Q633" s="101"/>
      <c r="R633" s="102"/>
      <c r="S633" s="102"/>
      <c r="T633" s="102"/>
      <c r="U633" s="103"/>
      <c r="V633" s="100"/>
      <c r="W633" s="101"/>
      <c r="X633" s="113"/>
      <c r="Y633" s="114"/>
      <c r="Z633" s="102"/>
      <c r="AA633" s="101"/>
      <c r="AB633" s="111"/>
      <c r="AE633" s="187"/>
      <c r="AF633" s="185"/>
      <c r="AG633" s="185" t="str">
        <f t="shared" si="82"/>
        <v/>
      </c>
      <c r="AH633" s="186" t="str">
        <f t="shared" si="83"/>
        <v/>
      </c>
      <c r="AI633" s="185"/>
      <c r="AJ633" s="188"/>
      <c r="CC633" s="562"/>
      <c r="CD633" s="425"/>
    </row>
    <row r="634" spans="2:82" ht="30" customHeight="1" x14ac:dyDescent="0.3">
      <c r="B634" s="562"/>
      <c r="C634" s="563"/>
      <c r="D634" s="425"/>
      <c r="E634" s="250" t="str">
        <f t="shared" si="84"/>
        <v/>
      </c>
      <c r="F634" s="556"/>
      <c r="G634" s="252" t="str">
        <f>IFERROR(VLOOKUP(F634,'Data (hidden)'!N:O,2,FALSE),"")</f>
        <v/>
      </c>
      <c r="H634" s="557"/>
      <c r="I634" s="558"/>
      <c r="J634" s="123">
        <f t="shared" si="80"/>
        <v>0</v>
      </c>
      <c r="K634" s="123" t="e">
        <f t="shared" si="81"/>
        <v>#VALUE!</v>
      </c>
      <c r="L634" s="123">
        <f t="shared" si="78"/>
        <v>0</v>
      </c>
      <c r="M634" s="124" t="str">
        <f t="shared" si="79"/>
        <v/>
      </c>
      <c r="N634" s="112"/>
      <c r="O634" s="101"/>
      <c r="P634" s="101"/>
      <c r="Q634" s="101"/>
      <c r="R634" s="102"/>
      <c r="S634" s="102"/>
      <c r="T634" s="102"/>
      <c r="U634" s="103"/>
      <c r="V634" s="100"/>
      <c r="W634" s="101"/>
      <c r="X634" s="113"/>
      <c r="Y634" s="114"/>
      <c r="Z634" s="102"/>
      <c r="AA634" s="101"/>
      <c r="AB634" s="111"/>
      <c r="AE634" s="187"/>
      <c r="AF634" s="185"/>
      <c r="AG634" s="185" t="str">
        <f t="shared" si="82"/>
        <v/>
      </c>
      <c r="AH634" s="186" t="str">
        <f t="shared" si="83"/>
        <v/>
      </c>
      <c r="AI634" s="185"/>
      <c r="AJ634" s="188"/>
      <c r="CC634" s="562"/>
      <c r="CD634" s="425"/>
    </row>
    <row r="635" spans="2:82" ht="30" customHeight="1" x14ac:dyDescent="0.3">
      <c r="B635" s="562"/>
      <c r="C635" s="563"/>
      <c r="D635" s="425"/>
      <c r="E635" s="250" t="str">
        <f t="shared" si="84"/>
        <v/>
      </c>
      <c r="F635" s="556"/>
      <c r="G635" s="252" t="str">
        <f>IFERROR(VLOOKUP(F635,'Data (hidden)'!N:O,2,FALSE),"")</f>
        <v/>
      </c>
      <c r="H635" s="557"/>
      <c r="I635" s="558"/>
      <c r="J635" s="123">
        <f t="shared" si="80"/>
        <v>0</v>
      </c>
      <c r="K635" s="123" t="e">
        <f t="shared" si="81"/>
        <v>#VALUE!</v>
      </c>
      <c r="L635" s="123">
        <f t="shared" si="78"/>
        <v>0</v>
      </c>
      <c r="M635" s="124" t="str">
        <f t="shared" si="79"/>
        <v/>
      </c>
      <c r="N635" s="112"/>
      <c r="O635" s="101"/>
      <c r="P635" s="101"/>
      <c r="Q635" s="101"/>
      <c r="R635" s="102"/>
      <c r="S635" s="102"/>
      <c r="T635" s="102"/>
      <c r="U635" s="103"/>
      <c r="V635" s="100"/>
      <c r="W635" s="101"/>
      <c r="X635" s="113"/>
      <c r="Y635" s="114"/>
      <c r="Z635" s="102"/>
      <c r="AA635" s="101"/>
      <c r="AB635" s="111"/>
      <c r="AE635" s="187"/>
      <c r="AF635" s="185"/>
      <c r="AG635" s="185" t="str">
        <f t="shared" si="82"/>
        <v/>
      </c>
      <c r="AH635" s="186" t="str">
        <f t="shared" si="83"/>
        <v/>
      </c>
      <c r="AI635" s="185"/>
      <c r="AJ635" s="188"/>
      <c r="CC635" s="562"/>
      <c r="CD635" s="425"/>
    </row>
    <row r="636" spans="2:82" ht="30" customHeight="1" x14ac:dyDescent="0.3">
      <c r="B636" s="562"/>
      <c r="C636" s="563"/>
      <c r="D636" s="425"/>
      <c r="E636" s="250" t="str">
        <f t="shared" si="84"/>
        <v/>
      </c>
      <c r="F636" s="556"/>
      <c r="G636" s="252" t="str">
        <f>IFERROR(VLOOKUP(F636,'Data (hidden)'!N:O,2,FALSE),"")</f>
        <v/>
      </c>
      <c r="H636" s="557"/>
      <c r="I636" s="558"/>
      <c r="J636" s="123">
        <f t="shared" si="80"/>
        <v>0</v>
      </c>
      <c r="K636" s="123" t="e">
        <f t="shared" si="81"/>
        <v>#VALUE!</v>
      </c>
      <c r="L636" s="123">
        <f t="shared" si="78"/>
        <v>0</v>
      </c>
      <c r="M636" s="124" t="str">
        <f t="shared" si="79"/>
        <v/>
      </c>
      <c r="N636" s="112"/>
      <c r="O636" s="101"/>
      <c r="P636" s="101"/>
      <c r="Q636" s="101"/>
      <c r="R636" s="102"/>
      <c r="S636" s="102"/>
      <c r="T636" s="102"/>
      <c r="U636" s="103"/>
      <c r="V636" s="100"/>
      <c r="W636" s="101"/>
      <c r="X636" s="113"/>
      <c r="Y636" s="114"/>
      <c r="Z636" s="102"/>
      <c r="AA636" s="101"/>
      <c r="AB636" s="111"/>
      <c r="AE636" s="187"/>
      <c r="AF636" s="185"/>
      <c r="AG636" s="185" t="str">
        <f t="shared" si="82"/>
        <v/>
      </c>
      <c r="AH636" s="186" t="str">
        <f t="shared" si="83"/>
        <v/>
      </c>
      <c r="AI636" s="185"/>
      <c r="AJ636" s="188"/>
      <c r="CC636" s="562"/>
      <c r="CD636" s="425"/>
    </row>
    <row r="637" spans="2:82" ht="30" customHeight="1" x14ac:dyDescent="0.3">
      <c r="B637" s="562"/>
      <c r="C637" s="563"/>
      <c r="D637" s="425"/>
      <c r="E637" s="250" t="str">
        <f t="shared" si="84"/>
        <v/>
      </c>
      <c r="F637" s="556"/>
      <c r="G637" s="252" t="str">
        <f>IFERROR(VLOOKUP(F637,'Data (hidden)'!N:O,2,FALSE),"")</f>
        <v/>
      </c>
      <c r="H637" s="557"/>
      <c r="I637" s="558"/>
      <c r="J637" s="123">
        <f t="shared" si="80"/>
        <v>0</v>
      </c>
      <c r="K637" s="123" t="e">
        <f t="shared" si="81"/>
        <v>#VALUE!</v>
      </c>
      <c r="L637" s="123">
        <f t="shared" si="78"/>
        <v>0</v>
      </c>
      <c r="M637" s="124" t="str">
        <f t="shared" si="79"/>
        <v/>
      </c>
      <c r="N637" s="112"/>
      <c r="O637" s="101"/>
      <c r="P637" s="101"/>
      <c r="Q637" s="101"/>
      <c r="R637" s="102"/>
      <c r="S637" s="102"/>
      <c r="T637" s="102"/>
      <c r="U637" s="103"/>
      <c r="V637" s="100"/>
      <c r="W637" s="101"/>
      <c r="X637" s="113"/>
      <c r="Y637" s="114"/>
      <c r="Z637" s="102"/>
      <c r="AA637" s="101"/>
      <c r="AB637" s="111"/>
      <c r="AE637" s="187"/>
      <c r="AF637" s="185"/>
      <c r="AG637" s="185" t="str">
        <f t="shared" si="82"/>
        <v/>
      </c>
      <c r="AH637" s="186" t="str">
        <f t="shared" si="83"/>
        <v/>
      </c>
      <c r="AI637" s="185"/>
      <c r="AJ637" s="188"/>
      <c r="CC637" s="562"/>
      <c r="CD637" s="425"/>
    </row>
    <row r="638" spans="2:82" ht="30" customHeight="1" x14ac:dyDescent="0.3">
      <c r="B638" s="562"/>
      <c r="C638" s="563"/>
      <c r="D638" s="425"/>
      <c r="E638" s="250" t="str">
        <f t="shared" si="84"/>
        <v/>
      </c>
      <c r="F638" s="556"/>
      <c r="G638" s="252" t="str">
        <f>IFERROR(VLOOKUP(F638,'Data (hidden)'!N:O,2,FALSE),"")</f>
        <v/>
      </c>
      <c r="H638" s="557"/>
      <c r="I638" s="558"/>
      <c r="J638" s="123">
        <f t="shared" si="80"/>
        <v>0</v>
      </c>
      <c r="K638" s="123" t="e">
        <f t="shared" si="81"/>
        <v>#VALUE!</v>
      </c>
      <c r="L638" s="123">
        <f t="shared" si="78"/>
        <v>0</v>
      </c>
      <c r="M638" s="124" t="str">
        <f t="shared" si="79"/>
        <v/>
      </c>
      <c r="N638" s="112"/>
      <c r="O638" s="101"/>
      <c r="P638" s="101"/>
      <c r="Q638" s="101"/>
      <c r="R638" s="102"/>
      <c r="S638" s="102"/>
      <c r="T638" s="102"/>
      <c r="U638" s="103"/>
      <c r="V638" s="100"/>
      <c r="W638" s="101"/>
      <c r="X638" s="113"/>
      <c r="Y638" s="114"/>
      <c r="Z638" s="102"/>
      <c r="AA638" s="101"/>
      <c r="AB638" s="111"/>
      <c r="AE638" s="187"/>
      <c r="AF638" s="185"/>
      <c r="AG638" s="185" t="str">
        <f t="shared" si="82"/>
        <v/>
      </c>
      <c r="AH638" s="186" t="str">
        <f t="shared" si="83"/>
        <v/>
      </c>
      <c r="AI638" s="185"/>
      <c r="AJ638" s="188"/>
      <c r="CC638" s="562"/>
      <c r="CD638" s="425"/>
    </row>
    <row r="639" spans="2:82" ht="30" customHeight="1" x14ac:dyDescent="0.3">
      <c r="B639" s="562"/>
      <c r="C639" s="563"/>
      <c r="D639" s="425"/>
      <c r="E639" s="250" t="str">
        <f t="shared" si="84"/>
        <v/>
      </c>
      <c r="F639" s="556"/>
      <c r="G639" s="252" t="str">
        <f>IFERROR(VLOOKUP(F639,'Data (hidden)'!N:O,2,FALSE),"")</f>
        <v/>
      </c>
      <c r="H639" s="557"/>
      <c r="I639" s="558"/>
      <c r="J639" s="123">
        <f t="shared" si="80"/>
        <v>0</v>
      </c>
      <c r="K639" s="123" t="e">
        <f t="shared" si="81"/>
        <v>#VALUE!</v>
      </c>
      <c r="L639" s="123">
        <f t="shared" si="78"/>
        <v>0</v>
      </c>
      <c r="M639" s="124" t="str">
        <f t="shared" si="79"/>
        <v/>
      </c>
      <c r="N639" s="112"/>
      <c r="O639" s="101"/>
      <c r="P639" s="101"/>
      <c r="Q639" s="101"/>
      <c r="R639" s="102"/>
      <c r="S639" s="102"/>
      <c r="T639" s="102"/>
      <c r="U639" s="103"/>
      <c r="V639" s="100"/>
      <c r="W639" s="101"/>
      <c r="X639" s="113"/>
      <c r="Y639" s="114"/>
      <c r="Z639" s="102"/>
      <c r="AA639" s="101"/>
      <c r="AB639" s="111"/>
      <c r="AE639" s="187"/>
      <c r="AF639" s="185"/>
      <c r="AG639" s="185" t="str">
        <f t="shared" si="82"/>
        <v/>
      </c>
      <c r="AH639" s="186" t="str">
        <f t="shared" si="83"/>
        <v/>
      </c>
      <c r="AI639" s="185"/>
      <c r="AJ639" s="188"/>
      <c r="CC639" s="562"/>
      <c r="CD639" s="425"/>
    </row>
    <row r="640" spans="2:82" ht="30" customHeight="1" x14ac:dyDescent="0.3">
      <c r="B640" s="562"/>
      <c r="C640" s="563"/>
      <c r="D640" s="425"/>
      <c r="E640" s="250" t="str">
        <f t="shared" si="84"/>
        <v/>
      </c>
      <c r="F640" s="556"/>
      <c r="G640" s="252" t="str">
        <f>IFERROR(VLOOKUP(F640,'Data (hidden)'!N:O,2,FALSE),"")</f>
        <v/>
      </c>
      <c r="H640" s="557"/>
      <c r="I640" s="558"/>
      <c r="J640" s="123">
        <f t="shared" si="80"/>
        <v>0</v>
      </c>
      <c r="K640" s="123" t="e">
        <f t="shared" si="81"/>
        <v>#VALUE!</v>
      </c>
      <c r="L640" s="123">
        <f t="shared" si="78"/>
        <v>0</v>
      </c>
      <c r="M640" s="124" t="str">
        <f t="shared" si="79"/>
        <v/>
      </c>
      <c r="N640" s="112"/>
      <c r="O640" s="101"/>
      <c r="P640" s="101"/>
      <c r="Q640" s="101"/>
      <c r="R640" s="102"/>
      <c r="S640" s="102"/>
      <c r="T640" s="102"/>
      <c r="U640" s="103"/>
      <c r="V640" s="100"/>
      <c r="W640" s="101"/>
      <c r="X640" s="113"/>
      <c r="Y640" s="114"/>
      <c r="Z640" s="102"/>
      <c r="AA640" s="101"/>
      <c r="AB640" s="111"/>
      <c r="AE640" s="187"/>
      <c r="AF640" s="185"/>
      <c r="AG640" s="185" t="str">
        <f t="shared" si="82"/>
        <v/>
      </c>
      <c r="AH640" s="186" t="str">
        <f t="shared" si="83"/>
        <v/>
      </c>
      <c r="AI640" s="185"/>
      <c r="AJ640" s="188"/>
      <c r="CC640" s="562"/>
      <c r="CD640" s="425"/>
    </row>
    <row r="641" spans="2:82" ht="30" customHeight="1" x14ac:dyDescent="0.3">
      <c r="B641" s="562"/>
      <c r="C641" s="563"/>
      <c r="D641" s="425"/>
      <c r="E641" s="250" t="str">
        <f t="shared" si="84"/>
        <v/>
      </c>
      <c r="F641" s="556"/>
      <c r="G641" s="252" t="str">
        <f>IFERROR(VLOOKUP(F641,'Data (hidden)'!N:O,2,FALSE),"")</f>
        <v/>
      </c>
      <c r="H641" s="557"/>
      <c r="I641" s="558"/>
      <c r="J641" s="123">
        <f t="shared" si="80"/>
        <v>0</v>
      </c>
      <c r="K641" s="123" t="e">
        <f t="shared" si="81"/>
        <v>#VALUE!</v>
      </c>
      <c r="L641" s="123">
        <f t="shared" si="78"/>
        <v>0</v>
      </c>
      <c r="M641" s="124" t="str">
        <f t="shared" si="79"/>
        <v/>
      </c>
      <c r="N641" s="112"/>
      <c r="O641" s="101"/>
      <c r="P641" s="101"/>
      <c r="Q641" s="101"/>
      <c r="R641" s="102"/>
      <c r="S641" s="102"/>
      <c r="T641" s="102"/>
      <c r="U641" s="103"/>
      <c r="V641" s="100"/>
      <c r="W641" s="101"/>
      <c r="X641" s="113"/>
      <c r="Y641" s="114"/>
      <c r="Z641" s="102"/>
      <c r="AA641" s="101"/>
      <c r="AB641" s="111"/>
      <c r="AE641" s="187"/>
      <c r="AF641" s="185"/>
      <c r="AG641" s="185" t="str">
        <f t="shared" si="82"/>
        <v/>
      </c>
      <c r="AH641" s="186" t="str">
        <f t="shared" si="83"/>
        <v/>
      </c>
      <c r="AI641" s="185"/>
      <c r="AJ641" s="188"/>
      <c r="CC641" s="562"/>
      <c r="CD641" s="425"/>
    </row>
    <row r="642" spans="2:82" ht="30" customHeight="1" x14ac:dyDescent="0.3">
      <c r="B642" s="562"/>
      <c r="C642" s="563"/>
      <c r="D642" s="425"/>
      <c r="E642" s="250" t="str">
        <f t="shared" si="84"/>
        <v/>
      </c>
      <c r="F642" s="556"/>
      <c r="G642" s="252" t="str">
        <f>IFERROR(VLOOKUP(F642,'Data (hidden)'!N:O,2,FALSE),"")</f>
        <v/>
      </c>
      <c r="H642" s="557"/>
      <c r="I642" s="558"/>
      <c r="J642" s="123">
        <f t="shared" si="80"/>
        <v>0</v>
      </c>
      <c r="K642" s="123" t="e">
        <f t="shared" si="81"/>
        <v>#VALUE!</v>
      </c>
      <c r="L642" s="123">
        <f t="shared" si="78"/>
        <v>0</v>
      </c>
      <c r="M642" s="124" t="str">
        <f t="shared" si="79"/>
        <v/>
      </c>
      <c r="N642" s="112"/>
      <c r="O642" s="101"/>
      <c r="P642" s="101"/>
      <c r="Q642" s="101"/>
      <c r="R642" s="102"/>
      <c r="S642" s="102"/>
      <c r="T642" s="102"/>
      <c r="U642" s="103"/>
      <c r="V642" s="100"/>
      <c r="W642" s="101"/>
      <c r="X642" s="113"/>
      <c r="Y642" s="114"/>
      <c r="Z642" s="102"/>
      <c r="AA642" s="101"/>
      <c r="AB642" s="111"/>
      <c r="AE642" s="187"/>
      <c r="AF642" s="185"/>
      <c r="AG642" s="185" t="str">
        <f t="shared" si="82"/>
        <v/>
      </c>
      <c r="AH642" s="186" t="str">
        <f t="shared" si="83"/>
        <v/>
      </c>
      <c r="AI642" s="185"/>
      <c r="AJ642" s="188"/>
      <c r="CC642" s="562"/>
      <c r="CD642" s="425"/>
    </row>
    <row r="643" spans="2:82" ht="30" customHeight="1" x14ac:dyDescent="0.3">
      <c r="B643" s="562"/>
      <c r="C643" s="563"/>
      <c r="D643" s="425"/>
      <c r="E643" s="250" t="str">
        <f t="shared" si="84"/>
        <v/>
      </c>
      <c r="F643" s="556"/>
      <c r="G643" s="252" t="str">
        <f>IFERROR(VLOOKUP(F643,'Data (hidden)'!N:O,2,FALSE),"")</f>
        <v/>
      </c>
      <c r="H643" s="557"/>
      <c r="I643" s="558"/>
      <c r="J643" s="123">
        <f t="shared" si="80"/>
        <v>0</v>
      </c>
      <c r="K643" s="123" t="e">
        <f t="shared" si="81"/>
        <v>#VALUE!</v>
      </c>
      <c r="L643" s="123">
        <f t="shared" si="78"/>
        <v>0</v>
      </c>
      <c r="M643" s="124" t="str">
        <f t="shared" si="79"/>
        <v/>
      </c>
      <c r="N643" s="112"/>
      <c r="O643" s="101"/>
      <c r="P643" s="101"/>
      <c r="Q643" s="101"/>
      <c r="R643" s="102"/>
      <c r="S643" s="102"/>
      <c r="T643" s="102"/>
      <c r="U643" s="103"/>
      <c r="V643" s="100"/>
      <c r="W643" s="101"/>
      <c r="X643" s="113"/>
      <c r="Y643" s="114"/>
      <c r="Z643" s="102"/>
      <c r="AA643" s="101"/>
      <c r="AB643" s="111"/>
      <c r="AE643" s="187"/>
      <c r="AF643" s="185"/>
      <c r="AG643" s="185" t="str">
        <f t="shared" si="82"/>
        <v/>
      </c>
      <c r="AH643" s="186" t="str">
        <f t="shared" si="83"/>
        <v/>
      </c>
      <c r="AI643" s="185"/>
      <c r="AJ643" s="188"/>
      <c r="CC643" s="562"/>
      <c r="CD643" s="425"/>
    </row>
    <row r="644" spans="2:82" ht="30" customHeight="1" x14ac:dyDescent="0.3">
      <c r="B644" s="562"/>
      <c r="C644" s="563"/>
      <c r="D644" s="425"/>
      <c r="E644" s="250" t="str">
        <f t="shared" si="84"/>
        <v/>
      </c>
      <c r="F644" s="556"/>
      <c r="G644" s="252" t="str">
        <f>IFERROR(VLOOKUP(F644,'Data (hidden)'!N:O,2,FALSE),"")</f>
        <v/>
      </c>
      <c r="H644" s="557"/>
      <c r="I644" s="558"/>
      <c r="J644" s="123">
        <f t="shared" si="80"/>
        <v>0</v>
      </c>
      <c r="K644" s="123" t="e">
        <f t="shared" si="81"/>
        <v>#VALUE!</v>
      </c>
      <c r="L644" s="123">
        <f t="shared" si="78"/>
        <v>0</v>
      </c>
      <c r="M644" s="124" t="str">
        <f t="shared" si="79"/>
        <v/>
      </c>
      <c r="N644" s="112"/>
      <c r="O644" s="101"/>
      <c r="P644" s="101"/>
      <c r="Q644" s="101"/>
      <c r="R644" s="102"/>
      <c r="S644" s="102"/>
      <c r="T644" s="102"/>
      <c r="U644" s="103"/>
      <c r="V644" s="100"/>
      <c r="W644" s="101"/>
      <c r="X644" s="113"/>
      <c r="Y644" s="114"/>
      <c r="Z644" s="102"/>
      <c r="AA644" s="101"/>
      <c r="AB644" s="111"/>
      <c r="AE644" s="187"/>
      <c r="AF644" s="185"/>
      <c r="AG644" s="185" t="str">
        <f t="shared" si="82"/>
        <v/>
      </c>
      <c r="AH644" s="186" t="str">
        <f t="shared" si="83"/>
        <v/>
      </c>
      <c r="AI644" s="185"/>
      <c r="AJ644" s="188"/>
      <c r="CC644" s="562"/>
      <c r="CD644" s="425"/>
    </row>
    <row r="645" spans="2:82" ht="30" customHeight="1" x14ac:dyDescent="0.3">
      <c r="B645" s="562"/>
      <c r="C645" s="563"/>
      <c r="D645" s="425"/>
      <c r="E645" s="250" t="str">
        <f t="shared" si="84"/>
        <v/>
      </c>
      <c r="F645" s="556"/>
      <c r="G645" s="252" t="str">
        <f>IFERROR(VLOOKUP(F645,'Data (hidden)'!N:O,2,FALSE),"")</f>
        <v/>
      </c>
      <c r="H645" s="557"/>
      <c r="I645" s="558"/>
      <c r="J645" s="123">
        <f t="shared" si="80"/>
        <v>0</v>
      </c>
      <c r="K645" s="123" t="e">
        <f t="shared" si="81"/>
        <v>#VALUE!</v>
      </c>
      <c r="L645" s="123">
        <f t="shared" si="78"/>
        <v>0</v>
      </c>
      <c r="M645" s="124" t="str">
        <f t="shared" si="79"/>
        <v/>
      </c>
      <c r="N645" s="112"/>
      <c r="O645" s="101"/>
      <c r="P645" s="101"/>
      <c r="Q645" s="101"/>
      <c r="R645" s="102"/>
      <c r="S645" s="102"/>
      <c r="T645" s="102"/>
      <c r="U645" s="103"/>
      <c r="V645" s="100"/>
      <c r="W645" s="101"/>
      <c r="X645" s="113"/>
      <c r="Y645" s="114"/>
      <c r="Z645" s="102"/>
      <c r="AA645" s="101"/>
      <c r="AB645" s="111"/>
      <c r="AE645" s="187"/>
      <c r="AF645" s="185"/>
      <c r="AG645" s="185" t="str">
        <f t="shared" si="82"/>
        <v/>
      </c>
      <c r="AH645" s="186" t="str">
        <f t="shared" si="83"/>
        <v/>
      </c>
      <c r="AI645" s="185"/>
      <c r="AJ645" s="188"/>
      <c r="CC645" s="562"/>
      <c r="CD645" s="425"/>
    </row>
    <row r="646" spans="2:82" ht="30" customHeight="1" x14ac:dyDescent="0.3">
      <c r="B646" s="562"/>
      <c r="C646" s="563"/>
      <c r="D646" s="425"/>
      <c r="E646" s="250" t="str">
        <f t="shared" si="84"/>
        <v/>
      </c>
      <c r="F646" s="556"/>
      <c r="G646" s="252" t="str">
        <f>IFERROR(VLOOKUP(F646,'Data (hidden)'!N:O,2,FALSE),"")</f>
        <v/>
      </c>
      <c r="H646" s="557"/>
      <c r="I646" s="558"/>
      <c r="J646" s="123">
        <f t="shared" si="80"/>
        <v>0</v>
      </c>
      <c r="K646" s="123" t="e">
        <f t="shared" si="81"/>
        <v>#VALUE!</v>
      </c>
      <c r="L646" s="123">
        <f t="shared" si="78"/>
        <v>0</v>
      </c>
      <c r="M646" s="124" t="str">
        <f t="shared" si="79"/>
        <v/>
      </c>
      <c r="N646" s="112"/>
      <c r="O646" s="101"/>
      <c r="P646" s="101"/>
      <c r="Q646" s="101"/>
      <c r="R646" s="102"/>
      <c r="S646" s="102"/>
      <c r="T646" s="102"/>
      <c r="U646" s="103"/>
      <c r="V646" s="100"/>
      <c r="W646" s="101"/>
      <c r="X646" s="113"/>
      <c r="Y646" s="114"/>
      <c r="Z646" s="102"/>
      <c r="AA646" s="101"/>
      <c r="AB646" s="111"/>
      <c r="AE646" s="187"/>
      <c r="AF646" s="185"/>
      <c r="AG646" s="185" t="str">
        <f t="shared" si="82"/>
        <v/>
      </c>
      <c r="AH646" s="186" t="str">
        <f t="shared" si="83"/>
        <v/>
      </c>
      <c r="AI646" s="185"/>
      <c r="AJ646" s="188"/>
      <c r="CC646" s="562"/>
      <c r="CD646" s="425"/>
    </row>
    <row r="647" spans="2:82" ht="30" customHeight="1" x14ac:dyDescent="0.3">
      <c r="B647" s="562"/>
      <c r="C647" s="563"/>
      <c r="D647" s="425"/>
      <c r="E647" s="250" t="str">
        <f t="shared" si="84"/>
        <v/>
      </c>
      <c r="F647" s="556"/>
      <c r="G647" s="252" t="str">
        <f>IFERROR(VLOOKUP(F647,'Data (hidden)'!N:O,2,FALSE),"")</f>
        <v/>
      </c>
      <c r="H647" s="557"/>
      <c r="I647" s="558"/>
      <c r="J647" s="123">
        <f t="shared" si="80"/>
        <v>0</v>
      </c>
      <c r="K647" s="123" t="e">
        <f t="shared" si="81"/>
        <v>#VALUE!</v>
      </c>
      <c r="L647" s="123">
        <f t="shared" si="78"/>
        <v>0</v>
      </c>
      <c r="M647" s="124" t="str">
        <f t="shared" si="79"/>
        <v/>
      </c>
      <c r="N647" s="112"/>
      <c r="O647" s="101"/>
      <c r="P647" s="101"/>
      <c r="Q647" s="101"/>
      <c r="R647" s="102"/>
      <c r="S647" s="102"/>
      <c r="T647" s="102"/>
      <c r="U647" s="103"/>
      <c r="V647" s="100"/>
      <c r="W647" s="101"/>
      <c r="X647" s="113"/>
      <c r="Y647" s="114"/>
      <c r="Z647" s="102"/>
      <c r="AA647" s="101"/>
      <c r="AB647" s="111"/>
      <c r="AE647" s="187"/>
      <c r="AF647" s="185"/>
      <c r="AG647" s="185" t="str">
        <f t="shared" si="82"/>
        <v/>
      </c>
      <c r="AH647" s="186" t="str">
        <f t="shared" si="83"/>
        <v/>
      </c>
      <c r="AI647" s="185"/>
      <c r="AJ647" s="188"/>
      <c r="CC647" s="562"/>
      <c r="CD647" s="425"/>
    </row>
    <row r="648" spans="2:82" ht="30" customHeight="1" x14ac:dyDescent="0.3">
      <c r="B648" s="562"/>
      <c r="C648" s="563"/>
      <c r="D648" s="425"/>
      <c r="E648" s="250" t="str">
        <f t="shared" si="84"/>
        <v/>
      </c>
      <c r="F648" s="556"/>
      <c r="G648" s="252" t="str">
        <f>IFERROR(VLOOKUP(F648,'Data (hidden)'!N:O,2,FALSE),"")</f>
        <v/>
      </c>
      <c r="H648" s="557"/>
      <c r="I648" s="558"/>
      <c r="J648" s="123">
        <f t="shared" si="80"/>
        <v>0</v>
      </c>
      <c r="K648" s="123" t="e">
        <f t="shared" si="81"/>
        <v>#VALUE!</v>
      </c>
      <c r="L648" s="123">
        <f t="shared" si="78"/>
        <v>0</v>
      </c>
      <c r="M648" s="124" t="str">
        <f t="shared" si="79"/>
        <v/>
      </c>
      <c r="N648" s="112"/>
      <c r="O648" s="101"/>
      <c r="P648" s="101"/>
      <c r="Q648" s="101"/>
      <c r="R648" s="102"/>
      <c r="S648" s="102"/>
      <c r="T648" s="102"/>
      <c r="U648" s="103"/>
      <c r="V648" s="100"/>
      <c r="W648" s="101"/>
      <c r="X648" s="113"/>
      <c r="Y648" s="114"/>
      <c r="Z648" s="102"/>
      <c r="AA648" s="101"/>
      <c r="AB648" s="111"/>
      <c r="AE648" s="187"/>
      <c r="AF648" s="185"/>
      <c r="AG648" s="185" t="str">
        <f t="shared" si="82"/>
        <v/>
      </c>
      <c r="AH648" s="186" t="str">
        <f t="shared" si="83"/>
        <v/>
      </c>
      <c r="AI648" s="185"/>
      <c r="AJ648" s="188"/>
      <c r="CC648" s="562"/>
      <c r="CD648" s="425"/>
    </row>
    <row r="649" spans="2:82" ht="30" customHeight="1" x14ac:dyDescent="0.3">
      <c r="B649" s="562"/>
      <c r="C649" s="563"/>
      <c r="D649" s="425"/>
      <c r="E649" s="250" t="str">
        <f t="shared" si="84"/>
        <v/>
      </c>
      <c r="F649" s="556"/>
      <c r="G649" s="252" t="str">
        <f>IFERROR(VLOOKUP(F649,'Data (hidden)'!N:O,2,FALSE),"")</f>
        <v/>
      </c>
      <c r="H649" s="557"/>
      <c r="I649" s="558"/>
      <c r="J649" s="123">
        <f t="shared" si="80"/>
        <v>0</v>
      </c>
      <c r="K649" s="123" t="e">
        <f t="shared" si="81"/>
        <v>#VALUE!</v>
      </c>
      <c r="L649" s="123">
        <f t="shared" si="78"/>
        <v>0</v>
      </c>
      <c r="M649" s="124" t="str">
        <f t="shared" si="79"/>
        <v/>
      </c>
      <c r="N649" s="112"/>
      <c r="O649" s="101"/>
      <c r="P649" s="101"/>
      <c r="Q649" s="101"/>
      <c r="R649" s="102"/>
      <c r="S649" s="102"/>
      <c r="T649" s="102"/>
      <c r="U649" s="103"/>
      <c r="V649" s="100"/>
      <c r="W649" s="101"/>
      <c r="X649" s="113"/>
      <c r="Y649" s="114"/>
      <c r="Z649" s="102"/>
      <c r="AA649" s="101"/>
      <c r="AB649" s="111"/>
      <c r="AE649" s="187"/>
      <c r="AF649" s="185"/>
      <c r="AG649" s="185" t="str">
        <f t="shared" si="82"/>
        <v/>
      </c>
      <c r="AH649" s="186" t="str">
        <f t="shared" si="83"/>
        <v/>
      </c>
      <c r="AI649" s="185"/>
      <c r="AJ649" s="188"/>
      <c r="CC649" s="562"/>
      <c r="CD649" s="425"/>
    </row>
    <row r="650" spans="2:82" ht="30" customHeight="1" x14ac:dyDescent="0.3">
      <c r="B650" s="562"/>
      <c r="C650" s="563"/>
      <c r="D650" s="425"/>
      <c r="E650" s="250" t="str">
        <f t="shared" si="84"/>
        <v/>
      </c>
      <c r="F650" s="556"/>
      <c r="G650" s="252" t="str">
        <f>IFERROR(VLOOKUP(F650,'Data (hidden)'!N:O,2,FALSE),"")</f>
        <v/>
      </c>
      <c r="H650" s="557"/>
      <c r="I650" s="558"/>
      <c r="J650" s="123">
        <f t="shared" si="80"/>
        <v>0</v>
      </c>
      <c r="K650" s="123" t="e">
        <f t="shared" si="81"/>
        <v>#VALUE!</v>
      </c>
      <c r="L650" s="123">
        <f t="shared" si="78"/>
        <v>0</v>
      </c>
      <c r="M650" s="124" t="str">
        <f t="shared" si="79"/>
        <v/>
      </c>
      <c r="N650" s="112"/>
      <c r="O650" s="101"/>
      <c r="P650" s="101"/>
      <c r="Q650" s="101"/>
      <c r="R650" s="102"/>
      <c r="S650" s="102"/>
      <c r="T650" s="102"/>
      <c r="U650" s="103"/>
      <c r="V650" s="100"/>
      <c r="W650" s="101"/>
      <c r="X650" s="113"/>
      <c r="Y650" s="114"/>
      <c r="Z650" s="102"/>
      <c r="AA650" s="101"/>
      <c r="AB650" s="111"/>
      <c r="AE650" s="187"/>
      <c r="AF650" s="185"/>
      <c r="AG650" s="185" t="str">
        <f t="shared" si="82"/>
        <v/>
      </c>
      <c r="AH650" s="186" t="str">
        <f t="shared" si="83"/>
        <v/>
      </c>
      <c r="AI650" s="185"/>
      <c r="AJ650" s="188"/>
      <c r="CC650" s="562"/>
      <c r="CD650" s="425"/>
    </row>
    <row r="651" spans="2:82" ht="30" customHeight="1" x14ac:dyDescent="0.3">
      <c r="B651" s="562"/>
      <c r="C651" s="563"/>
      <c r="D651" s="425"/>
      <c r="E651" s="250" t="str">
        <f t="shared" si="84"/>
        <v/>
      </c>
      <c r="F651" s="556"/>
      <c r="G651" s="252" t="str">
        <f>IFERROR(VLOOKUP(F651,'Data (hidden)'!N:O,2,FALSE),"")</f>
        <v/>
      </c>
      <c r="H651" s="557"/>
      <c r="I651" s="558"/>
      <c r="J651" s="123">
        <f t="shared" si="80"/>
        <v>0</v>
      </c>
      <c r="K651" s="123" t="e">
        <f t="shared" si="81"/>
        <v>#VALUE!</v>
      </c>
      <c r="L651" s="123">
        <f t="shared" si="78"/>
        <v>0</v>
      </c>
      <c r="M651" s="124" t="str">
        <f t="shared" si="79"/>
        <v/>
      </c>
      <c r="N651" s="112"/>
      <c r="O651" s="101"/>
      <c r="P651" s="101"/>
      <c r="Q651" s="101"/>
      <c r="R651" s="102"/>
      <c r="S651" s="102"/>
      <c r="T651" s="102"/>
      <c r="U651" s="103"/>
      <c r="V651" s="100"/>
      <c r="W651" s="101"/>
      <c r="X651" s="113"/>
      <c r="Y651" s="114"/>
      <c r="Z651" s="102"/>
      <c r="AA651" s="101"/>
      <c r="AB651" s="111"/>
      <c r="AE651" s="187"/>
      <c r="AF651" s="185"/>
      <c r="AG651" s="185" t="str">
        <f t="shared" si="82"/>
        <v/>
      </c>
      <c r="AH651" s="186" t="str">
        <f t="shared" si="83"/>
        <v/>
      </c>
      <c r="AI651" s="185"/>
      <c r="AJ651" s="188"/>
      <c r="CC651" s="562"/>
      <c r="CD651" s="425"/>
    </row>
    <row r="652" spans="2:82" ht="30" customHeight="1" x14ac:dyDescent="0.3">
      <c r="B652" s="562"/>
      <c r="C652" s="563"/>
      <c r="D652" s="425"/>
      <c r="E652" s="250" t="str">
        <f t="shared" si="84"/>
        <v/>
      </c>
      <c r="F652" s="556"/>
      <c r="G652" s="252" t="str">
        <f>IFERROR(VLOOKUP(F652,'Data (hidden)'!N:O,2,FALSE),"")</f>
        <v/>
      </c>
      <c r="H652" s="557"/>
      <c r="I652" s="558"/>
      <c r="J652" s="123">
        <f t="shared" si="80"/>
        <v>0</v>
      </c>
      <c r="K652" s="123" t="e">
        <f t="shared" si="81"/>
        <v>#VALUE!</v>
      </c>
      <c r="L652" s="123">
        <f t="shared" si="78"/>
        <v>0</v>
      </c>
      <c r="M652" s="124" t="str">
        <f t="shared" si="79"/>
        <v/>
      </c>
      <c r="N652" s="112"/>
      <c r="O652" s="101"/>
      <c r="P652" s="101"/>
      <c r="Q652" s="101"/>
      <c r="R652" s="102"/>
      <c r="S652" s="102"/>
      <c r="T652" s="102"/>
      <c r="U652" s="103"/>
      <c r="V652" s="100"/>
      <c r="W652" s="101"/>
      <c r="X652" s="113"/>
      <c r="Y652" s="114"/>
      <c r="Z652" s="102"/>
      <c r="AA652" s="101"/>
      <c r="AB652" s="111"/>
      <c r="AE652" s="187"/>
      <c r="AF652" s="185"/>
      <c r="AG652" s="185" t="str">
        <f t="shared" si="82"/>
        <v/>
      </c>
      <c r="AH652" s="186" t="str">
        <f t="shared" si="83"/>
        <v/>
      </c>
      <c r="AI652" s="185"/>
      <c r="AJ652" s="188"/>
      <c r="CC652" s="562"/>
      <c r="CD652" s="425"/>
    </row>
    <row r="653" spans="2:82" ht="30" customHeight="1" x14ac:dyDescent="0.3">
      <c r="B653" s="562"/>
      <c r="C653" s="563"/>
      <c r="D653" s="425"/>
      <c r="E653" s="250" t="str">
        <f t="shared" si="84"/>
        <v/>
      </c>
      <c r="F653" s="556"/>
      <c r="G653" s="252" t="str">
        <f>IFERROR(VLOOKUP(F653,'Data (hidden)'!N:O,2,FALSE),"")</f>
        <v/>
      </c>
      <c r="H653" s="557"/>
      <c r="I653" s="558"/>
      <c r="J653" s="123">
        <f t="shared" si="80"/>
        <v>0</v>
      </c>
      <c r="K653" s="123" t="e">
        <f t="shared" si="81"/>
        <v>#VALUE!</v>
      </c>
      <c r="L653" s="123">
        <f t="shared" si="78"/>
        <v>0</v>
      </c>
      <c r="M653" s="124" t="str">
        <f t="shared" si="79"/>
        <v/>
      </c>
      <c r="N653" s="112"/>
      <c r="O653" s="101"/>
      <c r="P653" s="101"/>
      <c r="Q653" s="101"/>
      <c r="R653" s="102"/>
      <c r="S653" s="102"/>
      <c r="T653" s="102"/>
      <c r="U653" s="103"/>
      <c r="V653" s="100"/>
      <c r="W653" s="101"/>
      <c r="X653" s="113"/>
      <c r="Y653" s="114"/>
      <c r="Z653" s="102"/>
      <c r="AA653" s="101"/>
      <c r="AB653" s="111"/>
      <c r="AE653" s="187"/>
      <c r="AF653" s="185"/>
      <c r="AG653" s="185" t="str">
        <f t="shared" si="82"/>
        <v/>
      </c>
      <c r="AH653" s="186" t="str">
        <f t="shared" si="83"/>
        <v/>
      </c>
      <c r="AI653" s="185"/>
      <c r="AJ653" s="188"/>
      <c r="CC653" s="562"/>
      <c r="CD653" s="425"/>
    </row>
    <row r="654" spans="2:82" ht="30" customHeight="1" x14ac:dyDescent="0.3">
      <c r="B654" s="562"/>
      <c r="C654" s="563"/>
      <c r="D654" s="425"/>
      <c r="E654" s="250" t="str">
        <f t="shared" si="84"/>
        <v/>
      </c>
      <c r="F654" s="556"/>
      <c r="G654" s="252" t="str">
        <f>IFERROR(VLOOKUP(F654,'Data (hidden)'!N:O,2,FALSE),"")</f>
        <v/>
      </c>
      <c r="H654" s="557"/>
      <c r="I654" s="558"/>
      <c r="J654" s="123">
        <f t="shared" si="80"/>
        <v>0</v>
      </c>
      <c r="K654" s="123" t="e">
        <f t="shared" si="81"/>
        <v>#VALUE!</v>
      </c>
      <c r="L654" s="123">
        <f t="shared" si="78"/>
        <v>0</v>
      </c>
      <c r="M654" s="124" t="str">
        <f t="shared" si="79"/>
        <v/>
      </c>
      <c r="N654" s="112"/>
      <c r="O654" s="101"/>
      <c r="P654" s="101"/>
      <c r="Q654" s="101"/>
      <c r="R654" s="102"/>
      <c r="S654" s="102"/>
      <c r="T654" s="102"/>
      <c r="U654" s="103"/>
      <c r="V654" s="100"/>
      <c r="W654" s="101"/>
      <c r="X654" s="113"/>
      <c r="Y654" s="114"/>
      <c r="Z654" s="102"/>
      <c r="AA654" s="101"/>
      <c r="AB654" s="111"/>
      <c r="AE654" s="187"/>
      <c r="AF654" s="185"/>
      <c r="AG654" s="185" t="str">
        <f t="shared" si="82"/>
        <v/>
      </c>
      <c r="AH654" s="186" t="str">
        <f t="shared" si="83"/>
        <v/>
      </c>
      <c r="AI654" s="185"/>
      <c r="AJ654" s="188"/>
      <c r="CC654" s="562"/>
      <c r="CD654" s="425"/>
    </row>
    <row r="655" spans="2:82" ht="30" customHeight="1" x14ac:dyDescent="0.3">
      <c r="B655" s="562"/>
      <c r="C655" s="563"/>
      <c r="D655" s="425"/>
      <c r="E655" s="250" t="str">
        <f t="shared" si="84"/>
        <v/>
      </c>
      <c r="F655" s="556"/>
      <c r="G655" s="252" t="str">
        <f>IFERROR(VLOOKUP(F655,'Data (hidden)'!N:O,2,FALSE),"")</f>
        <v/>
      </c>
      <c r="H655" s="557"/>
      <c r="I655" s="558"/>
      <c r="J655" s="123">
        <f t="shared" si="80"/>
        <v>0</v>
      </c>
      <c r="K655" s="123" t="e">
        <f t="shared" si="81"/>
        <v>#VALUE!</v>
      </c>
      <c r="L655" s="123">
        <f t="shared" si="78"/>
        <v>0</v>
      </c>
      <c r="M655" s="124" t="str">
        <f t="shared" si="79"/>
        <v/>
      </c>
      <c r="N655" s="112"/>
      <c r="O655" s="101"/>
      <c r="P655" s="101"/>
      <c r="Q655" s="101"/>
      <c r="R655" s="102"/>
      <c r="S655" s="102"/>
      <c r="T655" s="102"/>
      <c r="U655" s="103"/>
      <c r="V655" s="100"/>
      <c r="W655" s="101"/>
      <c r="X655" s="113"/>
      <c r="Y655" s="114"/>
      <c r="Z655" s="102"/>
      <c r="AA655" s="101"/>
      <c r="AB655" s="111"/>
      <c r="AE655" s="187"/>
      <c r="AF655" s="185"/>
      <c r="AG655" s="185" t="str">
        <f t="shared" si="82"/>
        <v/>
      </c>
      <c r="AH655" s="186" t="str">
        <f t="shared" si="83"/>
        <v/>
      </c>
      <c r="AI655" s="185"/>
      <c r="AJ655" s="188"/>
      <c r="CC655" s="562"/>
      <c r="CD655" s="425"/>
    </row>
    <row r="656" spans="2:82" ht="30" customHeight="1" x14ac:dyDescent="0.3">
      <c r="B656" s="562"/>
      <c r="C656" s="563"/>
      <c r="D656" s="425"/>
      <c r="E656" s="250" t="str">
        <f t="shared" si="84"/>
        <v/>
      </c>
      <c r="F656" s="556"/>
      <c r="G656" s="252" t="str">
        <f>IFERROR(VLOOKUP(F656,'Data (hidden)'!N:O,2,FALSE),"")</f>
        <v/>
      </c>
      <c r="H656" s="557"/>
      <c r="I656" s="558"/>
      <c r="J656" s="123">
        <f t="shared" si="80"/>
        <v>0</v>
      </c>
      <c r="K656" s="123" t="e">
        <f t="shared" si="81"/>
        <v>#VALUE!</v>
      </c>
      <c r="L656" s="123">
        <f t="shared" si="78"/>
        <v>0</v>
      </c>
      <c r="M656" s="124" t="str">
        <f t="shared" si="79"/>
        <v/>
      </c>
      <c r="N656" s="112"/>
      <c r="O656" s="101"/>
      <c r="P656" s="101"/>
      <c r="Q656" s="101"/>
      <c r="R656" s="102"/>
      <c r="S656" s="102"/>
      <c r="T656" s="102"/>
      <c r="U656" s="103"/>
      <c r="V656" s="100"/>
      <c r="W656" s="101"/>
      <c r="X656" s="113"/>
      <c r="Y656" s="114"/>
      <c r="Z656" s="102"/>
      <c r="AA656" s="101"/>
      <c r="AB656" s="111"/>
      <c r="AE656" s="187"/>
      <c r="AF656" s="185"/>
      <c r="AG656" s="185" t="str">
        <f t="shared" si="82"/>
        <v/>
      </c>
      <c r="AH656" s="186" t="str">
        <f t="shared" si="83"/>
        <v/>
      </c>
      <c r="AI656" s="185"/>
      <c r="AJ656" s="188"/>
      <c r="CC656" s="562"/>
      <c r="CD656" s="425"/>
    </row>
    <row r="657" spans="2:82" ht="30" customHeight="1" x14ac:dyDescent="0.3">
      <c r="B657" s="562"/>
      <c r="C657" s="563"/>
      <c r="D657" s="425"/>
      <c r="E657" s="250" t="str">
        <f t="shared" si="84"/>
        <v/>
      </c>
      <c r="F657" s="556"/>
      <c r="G657" s="252" t="str">
        <f>IFERROR(VLOOKUP(F657,'Data (hidden)'!N:O,2,FALSE),"")</f>
        <v/>
      </c>
      <c r="H657" s="557"/>
      <c r="I657" s="558"/>
      <c r="J657" s="123">
        <f t="shared" si="80"/>
        <v>0</v>
      </c>
      <c r="K657" s="123" t="e">
        <f t="shared" si="81"/>
        <v>#VALUE!</v>
      </c>
      <c r="L657" s="123">
        <f t="shared" si="78"/>
        <v>0</v>
      </c>
      <c r="M657" s="124" t="str">
        <f t="shared" si="79"/>
        <v/>
      </c>
      <c r="N657" s="112"/>
      <c r="O657" s="101"/>
      <c r="P657" s="101"/>
      <c r="Q657" s="101"/>
      <c r="R657" s="102"/>
      <c r="S657" s="102"/>
      <c r="T657" s="102"/>
      <c r="U657" s="103"/>
      <c r="V657" s="100"/>
      <c r="W657" s="101"/>
      <c r="X657" s="113"/>
      <c r="Y657" s="114"/>
      <c r="Z657" s="102"/>
      <c r="AA657" s="101"/>
      <c r="AB657" s="111"/>
      <c r="AE657" s="187"/>
      <c r="AF657" s="185"/>
      <c r="AG657" s="185" t="str">
        <f t="shared" si="82"/>
        <v/>
      </c>
      <c r="AH657" s="186" t="str">
        <f t="shared" si="83"/>
        <v/>
      </c>
      <c r="AI657" s="185"/>
      <c r="AJ657" s="188"/>
      <c r="CC657" s="562"/>
      <c r="CD657" s="425"/>
    </row>
    <row r="658" spans="2:82" ht="30" customHeight="1" x14ac:dyDescent="0.3">
      <c r="B658" s="562"/>
      <c r="C658" s="563"/>
      <c r="D658" s="425"/>
      <c r="E658" s="250" t="str">
        <f t="shared" si="84"/>
        <v/>
      </c>
      <c r="F658" s="556"/>
      <c r="G658" s="252" t="str">
        <f>IFERROR(VLOOKUP(F658,'Data (hidden)'!N:O,2,FALSE),"")</f>
        <v/>
      </c>
      <c r="H658" s="557"/>
      <c r="I658" s="558"/>
      <c r="J658" s="123">
        <f t="shared" si="80"/>
        <v>0</v>
      </c>
      <c r="K658" s="123" t="e">
        <f t="shared" si="81"/>
        <v>#VALUE!</v>
      </c>
      <c r="L658" s="123">
        <f t="shared" si="78"/>
        <v>0</v>
      </c>
      <c r="M658" s="124" t="str">
        <f t="shared" si="79"/>
        <v/>
      </c>
      <c r="N658" s="112"/>
      <c r="O658" s="101"/>
      <c r="P658" s="101"/>
      <c r="Q658" s="101"/>
      <c r="R658" s="102"/>
      <c r="S658" s="102"/>
      <c r="T658" s="102"/>
      <c r="U658" s="103"/>
      <c r="V658" s="100"/>
      <c r="W658" s="101"/>
      <c r="X658" s="113"/>
      <c r="Y658" s="114"/>
      <c r="Z658" s="102"/>
      <c r="AA658" s="101"/>
      <c r="AB658" s="111"/>
      <c r="AE658" s="187"/>
      <c r="AF658" s="185"/>
      <c r="AG658" s="185" t="str">
        <f t="shared" si="82"/>
        <v/>
      </c>
      <c r="AH658" s="186" t="str">
        <f t="shared" si="83"/>
        <v/>
      </c>
      <c r="AI658" s="185"/>
      <c r="AJ658" s="188"/>
      <c r="CC658" s="562"/>
      <c r="CD658" s="425"/>
    </row>
    <row r="659" spans="2:82" ht="30" customHeight="1" x14ac:dyDescent="0.3">
      <c r="B659" s="562"/>
      <c r="C659" s="563"/>
      <c r="D659" s="425"/>
      <c r="E659" s="250" t="str">
        <f t="shared" si="84"/>
        <v/>
      </c>
      <c r="F659" s="556"/>
      <c r="G659" s="252" t="str">
        <f>IFERROR(VLOOKUP(F659,'Data (hidden)'!N:O,2,FALSE),"")</f>
        <v/>
      </c>
      <c r="H659" s="557"/>
      <c r="I659" s="558"/>
      <c r="J659" s="123">
        <f t="shared" si="80"/>
        <v>0</v>
      </c>
      <c r="K659" s="123" t="e">
        <f t="shared" si="81"/>
        <v>#VALUE!</v>
      </c>
      <c r="L659" s="123">
        <f t="shared" ref="L659:L722" si="85">D659*0.01</f>
        <v>0</v>
      </c>
      <c r="M659" s="124" t="str">
        <f t="shared" ref="M659:M722" si="86">IFERROR(K659*I659,"")</f>
        <v/>
      </c>
      <c r="N659" s="112"/>
      <c r="O659" s="101"/>
      <c r="P659" s="101"/>
      <c r="Q659" s="101"/>
      <c r="R659" s="102"/>
      <c r="S659" s="102"/>
      <c r="T659" s="102"/>
      <c r="U659" s="103"/>
      <c r="V659" s="100"/>
      <c r="W659" s="101"/>
      <c r="X659" s="113"/>
      <c r="Y659" s="114"/>
      <c r="Z659" s="102"/>
      <c r="AA659" s="101"/>
      <c r="AB659" s="111"/>
      <c r="AE659" s="187"/>
      <c r="AF659" s="185"/>
      <c r="AG659" s="185" t="str">
        <f t="shared" si="82"/>
        <v/>
      </c>
      <c r="AH659" s="186" t="str">
        <f t="shared" si="83"/>
        <v/>
      </c>
      <c r="AI659" s="185"/>
      <c r="AJ659" s="188"/>
      <c r="CC659" s="562"/>
      <c r="CD659" s="425"/>
    </row>
    <row r="660" spans="2:82" ht="30" customHeight="1" x14ac:dyDescent="0.3">
      <c r="B660" s="562"/>
      <c r="C660" s="563"/>
      <c r="D660" s="425"/>
      <c r="E660" s="250" t="str">
        <f t="shared" si="84"/>
        <v/>
      </c>
      <c r="F660" s="556"/>
      <c r="G660" s="252" t="str">
        <f>IFERROR(VLOOKUP(F660,'Data (hidden)'!N:O,2,FALSE),"")</f>
        <v/>
      </c>
      <c r="H660" s="557"/>
      <c r="I660" s="558"/>
      <c r="J660" s="123">
        <f t="shared" ref="J660:J723" si="87">H660*0.01</f>
        <v>0</v>
      </c>
      <c r="K660" s="123" t="e">
        <f t="shared" ref="K660:K723" si="88">E660*J660</f>
        <v>#VALUE!</v>
      </c>
      <c r="L660" s="123">
        <f t="shared" si="85"/>
        <v>0</v>
      </c>
      <c r="M660" s="124" t="str">
        <f t="shared" si="86"/>
        <v/>
      </c>
      <c r="N660" s="112"/>
      <c r="O660" s="101"/>
      <c r="P660" s="101"/>
      <c r="Q660" s="101"/>
      <c r="R660" s="102"/>
      <c r="S660" s="102"/>
      <c r="T660" s="102"/>
      <c r="U660" s="103"/>
      <c r="V660" s="100"/>
      <c r="W660" s="101"/>
      <c r="X660" s="113"/>
      <c r="Y660" s="114"/>
      <c r="Z660" s="102"/>
      <c r="AA660" s="101"/>
      <c r="AB660" s="111"/>
      <c r="AE660" s="187"/>
      <c r="AF660" s="185"/>
      <c r="AG660" s="185" t="str">
        <f t="shared" ref="AG660:AG723" si="89">IF(ISNUMBER(B660), B660, "")</f>
        <v/>
      </c>
      <c r="AH660" s="186" t="str">
        <f t="shared" ref="AH660:AH723" si="90">E660</f>
        <v/>
      </c>
      <c r="AI660" s="185"/>
      <c r="AJ660" s="188"/>
      <c r="CC660" s="562"/>
      <c r="CD660" s="425"/>
    </row>
    <row r="661" spans="2:82" ht="30" customHeight="1" x14ac:dyDescent="0.3">
      <c r="B661" s="562"/>
      <c r="C661" s="563"/>
      <c r="D661" s="425"/>
      <c r="E661" s="250" t="str">
        <f t="shared" si="84"/>
        <v/>
      </c>
      <c r="F661" s="556"/>
      <c r="G661" s="252" t="str">
        <f>IFERROR(VLOOKUP(F661,'Data (hidden)'!N:O,2,FALSE),"")</f>
        <v/>
      </c>
      <c r="H661" s="557"/>
      <c r="I661" s="558"/>
      <c r="J661" s="123">
        <f t="shared" si="87"/>
        <v>0</v>
      </c>
      <c r="K661" s="123" t="e">
        <f t="shared" si="88"/>
        <v>#VALUE!</v>
      </c>
      <c r="L661" s="123">
        <f t="shared" si="85"/>
        <v>0</v>
      </c>
      <c r="M661" s="124" t="str">
        <f t="shared" si="86"/>
        <v/>
      </c>
      <c r="N661" s="112"/>
      <c r="O661" s="101"/>
      <c r="P661" s="101"/>
      <c r="Q661" s="101"/>
      <c r="R661" s="102"/>
      <c r="S661" s="102"/>
      <c r="T661" s="102"/>
      <c r="U661" s="103"/>
      <c r="V661" s="100"/>
      <c r="W661" s="101"/>
      <c r="X661" s="113"/>
      <c r="Y661" s="114"/>
      <c r="Z661" s="102"/>
      <c r="AA661" s="101"/>
      <c r="AB661" s="111"/>
      <c r="AE661" s="187"/>
      <c r="AF661" s="185"/>
      <c r="AG661" s="185" t="str">
        <f t="shared" si="89"/>
        <v/>
      </c>
      <c r="AH661" s="186" t="str">
        <f t="shared" si="90"/>
        <v/>
      </c>
      <c r="AI661" s="185"/>
      <c r="AJ661" s="188"/>
      <c r="CC661" s="562"/>
      <c r="CD661" s="425"/>
    </row>
    <row r="662" spans="2:82" ht="30" customHeight="1" x14ac:dyDescent="0.3">
      <c r="B662" s="562"/>
      <c r="C662" s="563"/>
      <c r="D662" s="425"/>
      <c r="E662" s="250" t="str">
        <f t="shared" si="84"/>
        <v/>
      </c>
      <c r="F662" s="556"/>
      <c r="G662" s="252" t="str">
        <f>IFERROR(VLOOKUP(F662,'Data (hidden)'!N:O,2,FALSE),"")</f>
        <v/>
      </c>
      <c r="H662" s="557"/>
      <c r="I662" s="558"/>
      <c r="J662" s="123">
        <f t="shared" si="87"/>
        <v>0</v>
      </c>
      <c r="K662" s="123" t="e">
        <f t="shared" si="88"/>
        <v>#VALUE!</v>
      </c>
      <c r="L662" s="123">
        <f t="shared" si="85"/>
        <v>0</v>
      </c>
      <c r="M662" s="124" t="str">
        <f t="shared" si="86"/>
        <v/>
      </c>
      <c r="N662" s="112"/>
      <c r="O662" s="101"/>
      <c r="P662" s="101"/>
      <c r="Q662" s="101"/>
      <c r="R662" s="102"/>
      <c r="S662" s="102"/>
      <c r="T662" s="102"/>
      <c r="U662" s="103"/>
      <c r="V662" s="100"/>
      <c r="W662" s="101"/>
      <c r="X662" s="113"/>
      <c r="Y662" s="114"/>
      <c r="Z662" s="102"/>
      <c r="AA662" s="101"/>
      <c r="AB662" s="111"/>
      <c r="AE662" s="187"/>
      <c r="AF662" s="185"/>
      <c r="AG662" s="185" t="str">
        <f t="shared" si="89"/>
        <v/>
      </c>
      <c r="AH662" s="186" t="str">
        <f t="shared" si="90"/>
        <v/>
      </c>
      <c r="AI662" s="185"/>
      <c r="AJ662" s="188"/>
      <c r="CC662" s="562"/>
      <c r="CD662" s="425"/>
    </row>
    <row r="663" spans="2:82" ht="30" customHeight="1" x14ac:dyDescent="0.3">
      <c r="B663" s="562"/>
      <c r="C663" s="563"/>
      <c r="D663" s="425"/>
      <c r="E663" s="250" t="str">
        <f t="shared" si="84"/>
        <v/>
      </c>
      <c r="F663" s="556"/>
      <c r="G663" s="252" t="str">
        <f>IFERROR(VLOOKUP(F663,'Data (hidden)'!N:O,2,FALSE),"")</f>
        <v/>
      </c>
      <c r="H663" s="557"/>
      <c r="I663" s="558"/>
      <c r="J663" s="123">
        <f t="shared" si="87"/>
        <v>0</v>
      </c>
      <c r="K663" s="123" t="e">
        <f t="shared" si="88"/>
        <v>#VALUE!</v>
      </c>
      <c r="L663" s="123">
        <f t="shared" si="85"/>
        <v>0</v>
      </c>
      <c r="M663" s="124" t="str">
        <f t="shared" si="86"/>
        <v/>
      </c>
      <c r="N663" s="112"/>
      <c r="O663" s="101"/>
      <c r="P663" s="101"/>
      <c r="Q663" s="101"/>
      <c r="R663" s="102"/>
      <c r="S663" s="102"/>
      <c r="T663" s="102"/>
      <c r="U663" s="103"/>
      <c r="V663" s="100"/>
      <c r="W663" s="101"/>
      <c r="X663" s="113"/>
      <c r="Y663" s="114"/>
      <c r="Z663" s="102"/>
      <c r="AA663" s="101"/>
      <c r="AB663" s="111"/>
      <c r="AE663" s="187"/>
      <c r="AF663" s="185"/>
      <c r="AG663" s="185" t="str">
        <f t="shared" si="89"/>
        <v/>
      </c>
      <c r="AH663" s="186" t="str">
        <f t="shared" si="90"/>
        <v/>
      </c>
      <c r="AI663" s="185"/>
      <c r="AJ663" s="188"/>
      <c r="CC663" s="562"/>
      <c r="CD663" s="425"/>
    </row>
    <row r="664" spans="2:82" ht="30" customHeight="1" x14ac:dyDescent="0.3">
      <c r="B664" s="562"/>
      <c r="C664" s="563"/>
      <c r="D664" s="425"/>
      <c r="E664" s="250" t="str">
        <f t="shared" si="84"/>
        <v/>
      </c>
      <c r="F664" s="556"/>
      <c r="G664" s="252" t="str">
        <f>IFERROR(VLOOKUP(F664,'Data (hidden)'!N:O,2,FALSE),"")</f>
        <v/>
      </c>
      <c r="H664" s="557"/>
      <c r="I664" s="558"/>
      <c r="J664" s="123">
        <f t="shared" si="87"/>
        <v>0</v>
      </c>
      <c r="K664" s="123" t="e">
        <f t="shared" si="88"/>
        <v>#VALUE!</v>
      </c>
      <c r="L664" s="123">
        <f t="shared" si="85"/>
        <v>0</v>
      </c>
      <c r="M664" s="124" t="str">
        <f t="shared" si="86"/>
        <v/>
      </c>
      <c r="N664" s="112"/>
      <c r="O664" s="101"/>
      <c r="P664" s="101"/>
      <c r="Q664" s="101"/>
      <c r="R664" s="102"/>
      <c r="S664" s="102"/>
      <c r="T664" s="102"/>
      <c r="U664" s="103"/>
      <c r="V664" s="100"/>
      <c r="W664" s="101"/>
      <c r="X664" s="113"/>
      <c r="Y664" s="114"/>
      <c r="Z664" s="102"/>
      <c r="AA664" s="101"/>
      <c r="AB664" s="111"/>
      <c r="AE664" s="187"/>
      <c r="AF664" s="185"/>
      <c r="AG664" s="185" t="str">
        <f t="shared" si="89"/>
        <v/>
      </c>
      <c r="AH664" s="186" t="str">
        <f t="shared" si="90"/>
        <v/>
      </c>
      <c r="AI664" s="185"/>
      <c r="AJ664" s="188"/>
      <c r="CC664" s="562"/>
      <c r="CD664" s="425"/>
    </row>
    <row r="665" spans="2:82" ht="30" customHeight="1" x14ac:dyDescent="0.3">
      <c r="B665" s="562"/>
      <c r="C665" s="563"/>
      <c r="D665" s="425"/>
      <c r="E665" s="250" t="str">
        <f t="shared" si="84"/>
        <v/>
      </c>
      <c r="F665" s="556"/>
      <c r="G665" s="252" t="str">
        <f>IFERROR(VLOOKUP(F665,'Data (hidden)'!N:O,2,FALSE),"")</f>
        <v/>
      </c>
      <c r="H665" s="557"/>
      <c r="I665" s="558"/>
      <c r="J665" s="123">
        <f t="shared" si="87"/>
        <v>0</v>
      </c>
      <c r="K665" s="123" t="e">
        <f t="shared" si="88"/>
        <v>#VALUE!</v>
      </c>
      <c r="L665" s="123">
        <f t="shared" si="85"/>
        <v>0</v>
      </c>
      <c r="M665" s="124" t="str">
        <f t="shared" si="86"/>
        <v/>
      </c>
      <c r="N665" s="112"/>
      <c r="O665" s="101"/>
      <c r="P665" s="101"/>
      <c r="Q665" s="101"/>
      <c r="R665" s="102"/>
      <c r="S665" s="102"/>
      <c r="T665" s="102"/>
      <c r="U665" s="103"/>
      <c r="V665" s="100"/>
      <c r="W665" s="101"/>
      <c r="X665" s="113"/>
      <c r="Y665" s="114"/>
      <c r="Z665" s="102"/>
      <c r="AA665" s="101"/>
      <c r="AB665" s="111"/>
      <c r="AE665" s="187"/>
      <c r="AF665" s="185"/>
      <c r="AG665" s="185" t="str">
        <f t="shared" si="89"/>
        <v/>
      </c>
      <c r="AH665" s="186" t="str">
        <f t="shared" si="90"/>
        <v/>
      </c>
      <c r="AI665" s="185"/>
      <c r="AJ665" s="188"/>
      <c r="CC665" s="562"/>
      <c r="CD665" s="425"/>
    </row>
    <row r="666" spans="2:82" ht="30" customHeight="1" x14ac:dyDescent="0.3">
      <c r="B666" s="562"/>
      <c r="C666" s="563"/>
      <c r="D666" s="425"/>
      <c r="E666" s="250" t="str">
        <f t="shared" si="84"/>
        <v/>
      </c>
      <c r="F666" s="556"/>
      <c r="G666" s="252" t="str">
        <f>IFERROR(VLOOKUP(F666,'Data (hidden)'!N:O,2,FALSE),"")</f>
        <v/>
      </c>
      <c r="H666" s="557"/>
      <c r="I666" s="558"/>
      <c r="J666" s="123">
        <f t="shared" si="87"/>
        <v>0</v>
      </c>
      <c r="K666" s="123" t="e">
        <f t="shared" si="88"/>
        <v>#VALUE!</v>
      </c>
      <c r="L666" s="123">
        <f t="shared" si="85"/>
        <v>0</v>
      </c>
      <c r="M666" s="124" t="str">
        <f t="shared" si="86"/>
        <v/>
      </c>
      <c r="N666" s="112"/>
      <c r="O666" s="101"/>
      <c r="P666" s="101"/>
      <c r="Q666" s="101"/>
      <c r="R666" s="102"/>
      <c r="S666" s="102"/>
      <c r="T666" s="102"/>
      <c r="U666" s="103"/>
      <c r="V666" s="100"/>
      <c r="W666" s="101"/>
      <c r="X666" s="113"/>
      <c r="Y666" s="114"/>
      <c r="Z666" s="102"/>
      <c r="AA666" s="101"/>
      <c r="AB666" s="111"/>
      <c r="AE666" s="187"/>
      <c r="AF666" s="185"/>
      <c r="AG666" s="185" t="str">
        <f t="shared" si="89"/>
        <v/>
      </c>
      <c r="AH666" s="186" t="str">
        <f t="shared" si="90"/>
        <v/>
      </c>
      <c r="AI666" s="185"/>
      <c r="AJ666" s="188"/>
      <c r="CC666" s="562"/>
      <c r="CD666" s="425"/>
    </row>
    <row r="667" spans="2:82" ht="30" customHeight="1" x14ac:dyDescent="0.3">
      <c r="B667" s="562"/>
      <c r="C667" s="563"/>
      <c r="D667" s="425"/>
      <c r="E667" s="250" t="str">
        <f t="shared" si="84"/>
        <v/>
      </c>
      <c r="F667" s="556"/>
      <c r="G667" s="252" t="str">
        <f>IFERROR(VLOOKUP(F667,'Data (hidden)'!N:O,2,FALSE),"")</f>
        <v/>
      </c>
      <c r="H667" s="557"/>
      <c r="I667" s="558"/>
      <c r="J667" s="123">
        <f t="shared" si="87"/>
        <v>0</v>
      </c>
      <c r="K667" s="123" t="e">
        <f t="shared" si="88"/>
        <v>#VALUE!</v>
      </c>
      <c r="L667" s="123">
        <f t="shared" si="85"/>
        <v>0</v>
      </c>
      <c r="M667" s="124" t="str">
        <f t="shared" si="86"/>
        <v/>
      </c>
      <c r="N667" s="112"/>
      <c r="O667" s="101"/>
      <c r="P667" s="101"/>
      <c r="Q667" s="101"/>
      <c r="R667" s="102"/>
      <c r="S667" s="102"/>
      <c r="T667" s="102"/>
      <c r="U667" s="103"/>
      <c r="V667" s="100"/>
      <c r="W667" s="101"/>
      <c r="X667" s="113"/>
      <c r="Y667" s="114"/>
      <c r="Z667" s="102"/>
      <c r="AA667" s="101"/>
      <c r="AB667" s="111"/>
      <c r="AE667" s="187"/>
      <c r="AF667" s="185"/>
      <c r="AG667" s="185" t="str">
        <f t="shared" si="89"/>
        <v/>
      </c>
      <c r="AH667" s="186" t="str">
        <f t="shared" si="90"/>
        <v/>
      </c>
      <c r="AI667" s="185"/>
      <c r="AJ667" s="188"/>
      <c r="CC667" s="562"/>
      <c r="CD667" s="425"/>
    </row>
    <row r="668" spans="2:82" ht="30" customHeight="1" x14ac:dyDescent="0.3">
      <c r="B668" s="562"/>
      <c r="C668" s="563"/>
      <c r="D668" s="425"/>
      <c r="E668" s="250" t="str">
        <f t="shared" si="84"/>
        <v/>
      </c>
      <c r="F668" s="556"/>
      <c r="G668" s="252" t="str">
        <f>IFERROR(VLOOKUP(F668,'Data (hidden)'!N:O,2,FALSE),"")</f>
        <v/>
      </c>
      <c r="H668" s="557"/>
      <c r="I668" s="558"/>
      <c r="J668" s="123">
        <f t="shared" si="87"/>
        <v>0</v>
      </c>
      <c r="K668" s="123" t="e">
        <f t="shared" si="88"/>
        <v>#VALUE!</v>
      </c>
      <c r="L668" s="123">
        <f t="shared" si="85"/>
        <v>0</v>
      </c>
      <c r="M668" s="124" t="str">
        <f t="shared" si="86"/>
        <v/>
      </c>
      <c r="N668" s="112"/>
      <c r="O668" s="101"/>
      <c r="P668" s="101"/>
      <c r="Q668" s="101"/>
      <c r="R668" s="102"/>
      <c r="S668" s="102"/>
      <c r="T668" s="102"/>
      <c r="U668" s="103"/>
      <c r="V668" s="100"/>
      <c r="W668" s="101"/>
      <c r="X668" s="113"/>
      <c r="Y668" s="114"/>
      <c r="Z668" s="102"/>
      <c r="AA668" s="101"/>
      <c r="AB668" s="111"/>
      <c r="AE668" s="187"/>
      <c r="AF668" s="185"/>
      <c r="AG668" s="185" t="str">
        <f t="shared" si="89"/>
        <v/>
      </c>
      <c r="AH668" s="186" t="str">
        <f t="shared" si="90"/>
        <v/>
      </c>
      <c r="AI668" s="185"/>
      <c r="AJ668" s="188"/>
      <c r="CC668" s="562"/>
      <c r="CD668" s="425"/>
    </row>
    <row r="669" spans="2:82" ht="30" customHeight="1" x14ac:dyDescent="0.3">
      <c r="B669" s="562"/>
      <c r="C669" s="563"/>
      <c r="D669" s="425"/>
      <c r="E669" s="250" t="str">
        <f t="shared" si="84"/>
        <v/>
      </c>
      <c r="F669" s="556"/>
      <c r="G669" s="252" t="str">
        <f>IFERROR(VLOOKUP(F669,'Data (hidden)'!N:O,2,FALSE),"")</f>
        <v/>
      </c>
      <c r="H669" s="557"/>
      <c r="I669" s="558"/>
      <c r="J669" s="123">
        <f t="shared" si="87"/>
        <v>0</v>
      </c>
      <c r="K669" s="123" t="e">
        <f t="shared" si="88"/>
        <v>#VALUE!</v>
      </c>
      <c r="L669" s="123">
        <f t="shared" si="85"/>
        <v>0</v>
      </c>
      <c r="M669" s="124" t="str">
        <f t="shared" si="86"/>
        <v/>
      </c>
      <c r="N669" s="112"/>
      <c r="O669" s="101"/>
      <c r="P669" s="101"/>
      <c r="Q669" s="101"/>
      <c r="R669" s="102"/>
      <c r="S669" s="102"/>
      <c r="T669" s="102"/>
      <c r="U669" s="103"/>
      <c r="V669" s="100"/>
      <c r="W669" s="101"/>
      <c r="X669" s="113"/>
      <c r="Y669" s="114"/>
      <c r="Z669" s="102"/>
      <c r="AA669" s="101"/>
      <c r="AB669" s="111"/>
      <c r="AE669" s="187"/>
      <c r="AF669" s="185"/>
      <c r="AG669" s="185" t="str">
        <f t="shared" si="89"/>
        <v/>
      </c>
      <c r="AH669" s="186" t="str">
        <f t="shared" si="90"/>
        <v/>
      </c>
      <c r="AI669" s="185"/>
      <c r="AJ669" s="188"/>
      <c r="CC669" s="562"/>
      <c r="CD669" s="425"/>
    </row>
    <row r="670" spans="2:82" ht="30" customHeight="1" x14ac:dyDescent="0.3">
      <c r="B670" s="562"/>
      <c r="C670" s="563"/>
      <c r="D670" s="425"/>
      <c r="E670" s="250" t="str">
        <f t="shared" si="84"/>
        <v/>
      </c>
      <c r="F670" s="556"/>
      <c r="G670" s="252" t="str">
        <f>IFERROR(VLOOKUP(F670,'Data (hidden)'!N:O,2,FALSE),"")</f>
        <v/>
      </c>
      <c r="H670" s="557"/>
      <c r="I670" s="558"/>
      <c r="J670" s="123">
        <f t="shared" si="87"/>
        <v>0</v>
      </c>
      <c r="K670" s="123" t="e">
        <f t="shared" si="88"/>
        <v>#VALUE!</v>
      </c>
      <c r="L670" s="123">
        <f t="shared" si="85"/>
        <v>0</v>
      </c>
      <c r="M670" s="124" t="str">
        <f t="shared" si="86"/>
        <v/>
      </c>
      <c r="N670" s="112"/>
      <c r="O670" s="101"/>
      <c r="P670" s="101"/>
      <c r="Q670" s="101"/>
      <c r="R670" s="102"/>
      <c r="S670" s="102"/>
      <c r="T670" s="102"/>
      <c r="U670" s="103"/>
      <c r="V670" s="100"/>
      <c r="W670" s="101"/>
      <c r="X670" s="113"/>
      <c r="Y670" s="114"/>
      <c r="Z670" s="102"/>
      <c r="AA670" s="101"/>
      <c r="AB670" s="111"/>
      <c r="AE670" s="187"/>
      <c r="AF670" s="185"/>
      <c r="AG670" s="185" t="str">
        <f t="shared" si="89"/>
        <v/>
      </c>
      <c r="AH670" s="186" t="str">
        <f t="shared" si="90"/>
        <v/>
      </c>
      <c r="AI670" s="185"/>
      <c r="AJ670" s="188"/>
      <c r="CC670" s="562"/>
      <c r="CD670" s="425"/>
    </row>
    <row r="671" spans="2:82" ht="30" customHeight="1" x14ac:dyDescent="0.3">
      <c r="B671" s="562"/>
      <c r="C671" s="563"/>
      <c r="D671" s="425"/>
      <c r="E671" s="250" t="str">
        <f t="shared" si="84"/>
        <v/>
      </c>
      <c r="F671" s="556"/>
      <c r="G671" s="252" t="str">
        <f>IFERROR(VLOOKUP(F671,'Data (hidden)'!N:O,2,FALSE),"")</f>
        <v/>
      </c>
      <c r="H671" s="557"/>
      <c r="I671" s="558"/>
      <c r="J671" s="123">
        <f t="shared" si="87"/>
        <v>0</v>
      </c>
      <c r="K671" s="123" t="e">
        <f t="shared" si="88"/>
        <v>#VALUE!</v>
      </c>
      <c r="L671" s="123">
        <f t="shared" si="85"/>
        <v>0</v>
      </c>
      <c r="M671" s="124" t="str">
        <f t="shared" si="86"/>
        <v/>
      </c>
      <c r="N671" s="112"/>
      <c r="O671" s="101"/>
      <c r="P671" s="101"/>
      <c r="Q671" s="101"/>
      <c r="R671" s="102"/>
      <c r="S671" s="102"/>
      <c r="T671" s="102"/>
      <c r="U671" s="103"/>
      <c r="V671" s="100"/>
      <c r="W671" s="101"/>
      <c r="X671" s="113"/>
      <c r="Y671" s="114"/>
      <c r="Z671" s="102"/>
      <c r="AA671" s="101"/>
      <c r="AB671" s="111"/>
      <c r="AE671" s="187"/>
      <c r="AF671" s="185"/>
      <c r="AG671" s="185" t="str">
        <f t="shared" si="89"/>
        <v/>
      </c>
      <c r="AH671" s="186" t="str">
        <f t="shared" si="90"/>
        <v/>
      </c>
      <c r="AI671" s="185"/>
      <c r="AJ671" s="188"/>
      <c r="CC671" s="562"/>
      <c r="CD671" s="425"/>
    </row>
    <row r="672" spans="2:82" ht="30" customHeight="1" x14ac:dyDescent="0.3">
      <c r="B672" s="562"/>
      <c r="C672" s="563"/>
      <c r="D672" s="425"/>
      <c r="E672" s="250" t="str">
        <f t="shared" si="84"/>
        <v/>
      </c>
      <c r="F672" s="556"/>
      <c r="G672" s="252" t="str">
        <f>IFERROR(VLOOKUP(F672,'Data (hidden)'!N:O,2,FALSE),"")</f>
        <v/>
      </c>
      <c r="H672" s="557"/>
      <c r="I672" s="558"/>
      <c r="J672" s="123">
        <f t="shared" si="87"/>
        <v>0</v>
      </c>
      <c r="K672" s="123" t="e">
        <f t="shared" si="88"/>
        <v>#VALUE!</v>
      </c>
      <c r="L672" s="123">
        <f t="shared" si="85"/>
        <v>0</v>
      </c>
      <c r="M672" s="124" t="str">
        <f t="shared" si="86"/>
        <v/>
      </c>
      <c r="N672" s="112"/>
      <c r="O672" s="101"/>
      <c r="P672" s="101"/>
      <c r="Q672" s="101"/>
      <c r="R672" s="102"/>
      <c r="S672" s="102"/>
      <c r="T672" s="102"/>
      <c r="U672" s="103"/>
      <c r="V672" s="100"/>
      <c r="W672" s="101"/>
      <c r="X672" s="113"/>
      <c r="Y672" s="114"/>
      <c r="Z672" s="102"/>
      <c r="AA672" s="101"/>
      <c r="AB672" s="111"/>
      <c r="AE672" s="187"/>
      <c r="AF672" s="185"/>
      <c r="AG672" s="185" t="str">
        <f t="shared" si="89"/>
        <v/>
      </c>
      <c r="AH672" s="186" t="str">
        <f t="shared" si="90"/>
        <v/>
      </c>
      <c r="AI672" s="185"/>
      <c r="AJ672" s="188"/>
      <c r="CC672" s="562"/>
      <c r="CD672" s="425"/>
    </row>
    <row r="673" spans="2:82" ht="30" customHeight="1" x14ac:dyDescent="0.3">
      <c r="B673" s="562"/>
      <c r="C673" s="563"/>
      <c r="D673" s="425"/>
      <c r="E673" s="250" t="str">
        <f t="shared" si="84"/>
        <v/>
      </c>
      <c r="F673" s="556"/>
      <c r="G673" s="252" t="str">
        <f>IFERROR(VLOOKUP(F673,'Data (hidden)'!N:O,2,FALSE),"")</f>
        <v/>
      </c>
      <c r="H673" s="557"/>
      <c r="I673" s="558"/>
      <c r="J673" s="123">
        <f t="shared" si="87"/>
        <v>0</v>
      </c>
      <c r="K673" s="123" t="e">
        <f t="shared" si="88"/>
        <v>#VALUE!</v>
      </c>
      <c r="L673" s="123">
        <f t="shared" si="85"/>
        <v>0</v>
      </c>
      <c r="M673" s="124" t="str">
        <f t="shared" si="86"/>
        <v/>
      </c>
      <c r="N673" s="112"/>
      <c r="O673" s="101"/>
      <c r="P673" s="101"/>
      <c r="Q673" s="101"/>
      <c r="R673" s="102"/>
      <c r="S673" s="102"/>
      <c r="T673" s="102"/>
      <c r="U673" s="103"/>
      <c r="V673" s="100"/>
      <c r="W673" s="101"/>
      <c r="X673" s="113"/>
      <c r="Y673" s="114"/>
      <c r="Z673" s="102"/>
      <c r="AA673" s="101"/>
      <c r="AB673" s="111"/>
      <c r="AE673" s="187"/>
      <c r="AF673" s="185"/>
      <c r="AG673" s="185" t="str">
        <f t="shared" si="89"/>
        <v/>
      </c>
      <c r="AH673" s="186" t="str">
        <f t="shared" si="90"/>
        <v/>
      </c>
      <c r="AI673" s="185"/>
      <c r="AJ673" s="188"/>
      <c r="CC673" s="562"/>
      <c r="CD673" s="425"/>
    </row>
    <row r="674" spans="2:82" ht="30" customHeight="1" x14ac:dyDescent="0.3">
      <c r="B674" s="562"/>
      <c r="C674" s="563"/>
      <c r="D674" s="425"/>
      <c r="E674" s="250" t="str">
        <f t="shared" si="84"/>
        <v/>
      </c>
      <c r="F674" s="556"/>
      <c r="G674" s="252" t="str">
        <f>IFERROR(VLOOKUP(F674,'Data (hidden)'!N:O,2,FALSE),"")</f>
        <v/>
      </c>
      <c r="H674" s="557"/>
      <c r="I674" s="558"/>
      <c r="J674" s="123">
        <f t="shared" si="87"/>
        <v>0</v>
      </c>
      <c r="K674" s="123" t="e">
        <f t="shared" si="88"/>
        <v>#VALUE!</v>
      </c>
      <c r="L674" s="123">
        <f t="shared" si="85"/>
        <v>0</v>
      </c>
      <c r="M674" s="124" t="str">
        <f t="shared" si="86"/>
        <v/>
      </c>
      <c r="N674" s="112"/>
      <c r="O674" s="101"/>
      <c r="P674" s="101"/>
      <c r="Q674" s="101"/>
      <c r="R674" s="102"/>
      <c r="S674" s="102"/>
      <c r="T674" s="102"/>
      <c r="U674" s="103"/>
      <c r="V674" s="100"/>
      <c r="W674" s="101"/>
      <c r="X674" s="113"/>
      <c r="Y674" s="114"/>
      <c r="Z674" s="102"/>
      <c r="AA674" s="101"/>
      <c r="AB674" s="111"/>
      <c r="AE674" s="187"/>
      <c r="AF674" s="185"/>
      <c r="AG674" s="185" t="str">
        <f t="shared" si="89"/>
        <v/>
      </c>
      <c r="AH674" s="186" t="str">
        <f t="shared" si="90"/>
        <v/>
      </c>
      <c r="AI674" s="185"/>
      <c r="AJ674" s="188"/>
      <c r="CC674" s="562"/>
      <c r="CD674" s="425"/>
    </row>
    <row r="675" spans="2:82" ht="30" customHeight="1" x14ac:dyDescent="0.3">
      <c r="B675" s="562"/>
      <c r="C675" s="563"/>
      <c r="D675" s="425"/>
      <c r="E675" s="250" t="str">
        <f t="shared" si="84"/>
        <v/>
      </c>
      <c r="F675" s="556"/>
      <c r="G675" s="252" t="str">
        <f>IFERROR(VLOOKUP(F675,'Data (hidden)'!N:O,2,FALSE),"")</f>
        <v/>
      </c>
      <c r="H675" s="557"/>
      <c r="I675" s="558"/>
      <c r="J675" s="123">
        <f t="shared" si="87"/>
        <v>0</v>
      </c>
      <c r="K675" s="123" t="e">
        <f t="shared" si="88"/>
        <v>#VALUE!</v>
      </c>
      <c r="L675" s="123">
        <f t="shared" si="85"/>
        <v>0</v>
      </c>
      <c r="M675" s="124" t="str">
        <f t="shared" si="86"/>
        <v/>
      </c>
      <c r="N675" s="112"/>
      <c r="O675" s="101"/>
      <c r="P675" s="101"/>
      <c r="Q675" s="101"/>
      <c r="R675" s="102"/>
      <c r="S675" s="102"/>
      <c r="T675" s="102"/>
      <c r="U675" s="103"/>
      <c r="V675" s="100"/>
      <c r="W675" s="101"/>
      <c r="X675" s="113"/>
      <c r="Y675" s="114"/>
      <c r="Z675" s="102"/>
      <c r="AA675" s="101"/>
      <c r="AB675" s="111"/>
      <c r="AE675" s="187"/>
      <c r="AF675" s="185"/>
      <c r="AG675" s="185" t="str">
        <f t="shared" si="89"/>
        <v/>
      </c>
      <c r="AH675" s="186" t="str">
        <f t="shared" si="90"/>
        <v/>
      </c>
      <c r="AI675" s="185"/>
      <c r="AJ675" s="188"/>
      <c r="CC675" s="562"/>
      <c r="CD675" s="425"/>
    </row>
    <row r="676" spans="2:82" ht="30" customHeight="1" x14ac:dyDescent="0.3">
      <c r="B676" s="562"/>
      <c r="C676" s="563"/>
      <c r="D676" s="425"/>
      <c r="E676" s="250" t="str">
        <f t="shared" si="84"/>
        <v/>
      </c>
      <c r="F676" s="556"/>
      <c r="G676" s="252" t="str">
        <f>IFERROR(VLOOKUP(F676,'Data (hidden)'!N:O,2,FALSE),"")</f>
        <v/>
      </c>
      <c r="H676" s="557"/>
      <c r="I676" s="558"/>
      <c r="J676" s="123">
        <f t="shared" si="87"/>
        <v>0</v>
      </c>
      <c r="K676" s="123" t="e">
        <f t="shared" si="88"/>
        <v>#VALUE!</v>
      </c>
      <c r="L676" s="123">
        <f t="shared" si="85"/>
        <v>0</v>
      </c>
      <c r="M676" s="124" t="str">
        <f t="shared" si="86"/>
        <v/>
      </c>
      <c r="N676" s="112"/>
      <c r="O676" s="101"/>
      <c r="P676" s="101"/>
      <c r="Q676" s="101"/>
      <c r="R676" s="102"/>
      <c r="S676" s="102"/>
      <c r="T676" s="102"/>
      <c r="U676" s="103"/>
      <c r="V676" s="100"/>
      <c r="W676" s="101"/>
      <c r="X676" s="113"/>
      <c r="Y676" s="114"/>
      <c r="Z676" s="102"/>
      <c r="AA676" s="101"/>
      <c r="AB676" s="111"/>
      <c r="AE676" s="187"/>
      <c r="AF676" s="185"/>
      <c r="AG676" s="185" t="str">
        <f t="shared" si="89"/>
        <v/>
      </c>
      <c r="AH676" s="186" t="str">
        <f t="shared" si="90"/>
        <v/>
      </c>
      <c r="AI676" s="185"/>
      <c r="AJ676" s="188"/>
      <c r="CC676" s="562"/>
      <c r="CD676" s="425"/>
    </row>
    <row r="677" spans="2:82" ht="30" customHeight="1" x14ac:dyDescent="0.3">
      <c r="B677" s="562"/>
      <c r="C677" s="563"/>
      <c r="D677" s="425"/>
      <c r="E677" s="250" t="str">
        <f t="shared" si="84"/>
        <v/>
      </c>
      <c r="F677" s="556"/>
      <c r="G677" s="252" t="str">
        <f>IFERROR(VLOOKUP(F677,'Data (hidden)'!N:O,2,FALSE),"")</f>
        <v/>
      </c>
      <c r="H677" s="557"/>
      <c r="I677" s="558"/>
      <c r="J677" s="123">
        <f t="shared" si="87"/>
        <v>0</v>
      </c>
      <c r="K677" s="123" t="e">
        <f t="shared" si="88"/>
        <v>#VALUE!</v>
      </c>
      <c r="L677" s="123">
        <f t="shared" si="85"/>
        <v>0</v>
      </c>
      <c r="M677" s="124" t="str">
        <f t="shared" si="86"/>
        <v/>
      </c>
      <c r="N677" s="112"/>
      <c r="O677" s="101"/>
      <c r="P677" s="101"/>
      <c r="Q677" s="101"/>
      <c r="R677" s="102"/>
      <c r="S677" s="102"/>
      <c r="T677" s="102"/>
      <c r="U677" s="103"/>
      <c r="V677" s="100"/>
      <c r="W677" s="101"/>
      <c r="X677" s="113"/>
      <c r="Y677" s="114"/>
      <c r="Z677" s="102"/>
      <c r="AA677" s="101"/>
      <c r="AB677" s="111"/>
      <c r="AE677" s="187"/>
      <c r="AF677" s="185"/>
      <c r="AG677" s="185" t="str">
        <f t="shared" si="89"/>
        <v/>
      </c>
      <c r="AH677" s="186" t="str">
        <f t="shared" si="90"/>
        <v/>
      </c>
      <c r="AI677" s="185"/>
      <c r="AJ677" s="188"/>
      <c r="CC677" s="562"/>
      <c r="CD677" s="425"/>
    </row>
    <row r="678" spans="2:82" ht="30" customHeight="1" x14ac:dyDescent="0.3">
      <c r="B678" s="562"/>
      <c r="C678" s="563"/>
      <c r="D678" s="425"/>
      <c r="E678" s="250" t="str">
        <f t="shared" si="84"/>
        <v/>
      </c>
      <c r="F678" s="556"/>
      <c r="G678" s="252" t="str">
        <f>IFERROR(VLOOKUP(F678,'Data (hidden)'!N:O,2,FALSE),"")</f>
        <v/>
      </c>
      <c r="H678" s="557"/>
      <c r="I678" s="558"/>
      <c r="J678" s="123">
        <f t="shared" si="87"/>
        <v>0</v>
      </c>
      <c r="K678" s="123" t="e">
        <f t="shared" si="88"/>
        <v>#VALUE!</v>
      </c>
      <c r="L678" s="123">
        <f t="shared" si="85"/>
        <v>0</v>
      </c>
      <c r="M678" s="124" t="str">
        <f t="shared" si="86"/>
        <v/>
      </c>
      <c r="N678" s="112"/>
      <c r="O678" s="101"/>
      <c r="P678" s="101"/>
      <c r="Q678" s="101"/>
      <c r="R678" s="102"/>
      <c r="S678" s="102"/>
      <c r="T678" s="102"/>
      <c r="U678" s="103"/>
      <c r="V678" s="100"/>
      <c r="W678" s="101"/>
      <c r="X678" s="113"/>
      <c r="Y678" s="114"/>
      <c r="Z678" s="102"/>
      <c r="AA678" s="101"/>
      <c r="AB678" s="111"/>
      <c r="AE678" s="187"/>
      <c r="AF678" s="185"/>
      <c r="AG678" s="185" t="str">
        <f t="shared" si="89"/>
        <v/>
      </c>
      <c r="AH678" s="186" t="str">
        <f t="shared" si="90"/>
        <v/>
      </c>
      <c r="AI678" s="185"/>
      <c r="AJ678" s="188"/>
      <c r="CC678" s="562"/>
      <c r="CD678" s="425"/>
    </row>
    <row r="679" spans="2:82" ht="30" customHeight="1" x14ac:dyDescent="0.3">
      <c r="B679" s="562"/>
      <c r="C679" s="563"/>
      <c r="D679" s="425"/>
      <c r="E679" s="250" t="str">
        <f t="shared" si="84"/>
        <v/>
      </c>
      <c r="F679" s="556"/>
      <c r="G679" s="252" t="str">
        <f>IFERROR(VLOOKUP(F679,'Data (hidden)'!N:O,2,FALSE),"")</f>
        <v/>
      </c>
      <c r="H679" s="557"/>
      <c r="I679" s="558"/>
      <c r="J679" s="123">
        <f t="shared" si="87"/>
        <v>0</v>
      </c>
      <c r="K679" s="123" t="e">
        <f t="shared" si="88"/>
        <v>#VALUE!</v>
      </c>
      <c r="L679" s="123">
        <f t="shared" si="85"/>
        <v>0</v>
      </c>
      <c r="M679" s="124" t="str">
        <f t="shared" si="86"/>
        <v/>
      </c>
      <c r="N679" s="112"/>
      <c r="O679" s="101"/>
      <c r="P679" s="101"/>
      <c r="Q679" s="101"/>
      <c r="R679" s="102"/>
      <c r="S679" s="102"/>
      <c r="T679" s="102"/>
      <c r="U679" s="103"/>
      <c r="V679" s="100"/>
      <c r="W679" s="101"/>
      <c r="X679" s="113"/>
      <c r="Y679" s="114"/>
      <c r="Z679" s="102"/>
      <c r="AA679" s="101"/>
      <c r="AB679" s="111"/>
      <c r="AE679" s="187"/>
      <c r="AF679" s="185"/>
      <c r="AG679" s="185" t="str">
        <f t="shared" si="89"/>
        <v/>
      </c>
      <c r="AH679" s="186" t="str">
        <f t="shared" si="90"/>
        <v/>
      </c>
      <c r="AI679" s="185"/>
      <c r="AJ679" s="188"/>
      <c r="CC679" s="562"/>
      <c r="CD679" s="425"/>
    </row>
    <row r="680" spans="2:82" ht="30" customHeight="1" x14ac:dyDescent="0.3">
      <c r="B680" s="562"/>
      <c r="C680" s="563"/>
      <c r="D680" s="425"/>
      <c r="E680" s="250" t="str">
        <f t="shared" si="84"/>
        <v/>
      </c>
      <c r="F680" s="556"/>
      <c r="G680" s="252" t="str">
        <f>IFERROR(VLOOKUP(F680,'Data (hidden)'!N:O,2,FALSE),"")</f>
        <v/>
      </c>
      <c r="H680" s="557"/>
      <c r="I680" s="558"/>
      <c r="J680" s="123">
        <f t="shared" si="87"/>
        <v>0</v>
      </c>
      <c r="K680" s="123" t="e">
        <f t="shared" si="88"/>
        <v>#VALUE!</v>
      </c>
      <c r="L680" s="123">
        <f t="shared" si="85"/>
        <v>0</v>
      </c>
      <c r="M680" s="124" t="str">
        <f t="shared" si="86"/>
        <v/>
      </c>
      <c r="N680" s="112"/>
      <c r="O680" s="101"/>
      <c r="P680" s="101"/>
      <c r="Q680" s="101"/>
      <c r="R680" s="102"/>
      <c r="S680" s="102"/>
      <c r="T680" s="102"/>
      <c r="U680" s="103"/>
      <c r="V680" s="100"/>
      <c r="W680" s="101"/>
      <c r="X680" s="113"/>
      <c r="Y680" s="114"/>
      <c r="Z680" s="102"/>
      <c r="AA680" s="101"/>
      <c r="AB680" s="111"/>
      <c r="AE680" s="187"/>
      <c r="AF680" s="185"/>
      <c r="AG680" s="185" t="str">
        <f t="shared" si="89"/>
        <v/>
      </c>
      <c r="AH680" s="186" t="str">
        <f t="shared" si="90"/>
        <v/>
      </c>
      <c r="AI680" s="185"/>
      <c r="AJ680" s="188"/>
      <c r="CC680" s="562"/>
      <c r="CD680" s="425"/>
    </row>
    <row r="681" spans="2:82" ht="30" customHeight="1" x14ac:dyDescent="0.3">
      <c r="B681" s="562"/>
      <c r="C681" s="563"/>
      <c r="D681" s="425"/>
      <c r="E681" s="250" t="str">
        <f t="shared" si="84"/>
        <v/>
      </c>
      <c r="F681" s="556"/>
      <c r="G681" s="252" t="str">
        <f>IFERROR(VLOOKUP(F681,'Data (hidden)'!N:O,2,FALSE),"")</f>
        <v/>
      </c>
      <c r="H681" s="557"/>
      <c r="I681" s="558"/>
      <c r="J681" s="123">
        <f t="shared" si="87"/>
        <v>0</v>
      </c>
      <c r="K681" s="123" t="e">
        <f t="shared" si="88"/>
        <v>#VALUE!</v>
      </c>
      <c r="L681" s="123">
        <f t="shared" si="85"/>
        <v>0</v>
      </c>
      <c r="M681" s="124" t="str">
        <f t="shared" si="86"/>
        <v/>
      </c>
      <c r="N681" s="112"/>
      <c r="O681" s="101"/>
      <c r="P681" s="101"/>
      <c r="Q681" s="101"/>
      <c r="R681" s="102"/>
      <c r="S681" s="102"/>
      <c r="T681" s="102"/>
      <c r="U681" s="103"/>
      <c r="V681" s="100"/>
      <c r="W681" s="101"/>
      <c r="X681" s="113"/>
      <c r="Y681" s="114"/>
      <c r="Z681" s="102"/>
      <c r="AA681" s="101"/>
      <c r="AB681" s="111"/>
      <c r="AE681" s="187"/>
      <c r="AF681" s="185"/>
      <c r="AG681" s="185" t="str">
        <f t="shared" si="89"/>
        <v/>
      </c>
      <c r="AH681" s="186" t="str">
        <f t="shared" si="90"/>
        <v/>
      </c>
      <c r="AI681" s="185"/>
      <c r="AJ681" s="188"/>
      <c r="CC681" s="562"/>
      <c r="CD681" s="425"/>
    </row>
    <row r="682" spans="2:82" ht="30" customHeight="1" x14ac:dyDescent="0.3">
      <c r="B682" s="562"/>
      <c r="C682" s="563"/>
      <c r="D682" s="425"/>
      <c r="E682" s="250" t="str">
        <f t="shared" si="84"/>
        <v/>
      </c>
      <c r="F682" s="556"/>
      <c r="G682" s="252" t="str">
        <f>IFERROR(VLOOKUP(F682,'Data (hidden)'!N:O,2,FALSE),"")</f>
        <v/>
      </c>
      <c r="H682" s="557"/>
      <c r="I682" s="558"/>
      <c r="J682" s="123">
        <f t="shared" si="87"/>
        <v>0</v>
      </c>
      <c r="K682" s="123" t="e">
        <f t="shared" si="88"/>
        <v>#VALUE!</v>
      </c>
      <c r="L682" s="123">
        <f t="shared" si="85"/>
        <v>0</v>
      </c>
      <c r="M682" s="124" t="str">
        <f t="shared" si="86"/>
        <v/>
      </c>
      <c r="N682" s="112"/>
      <c r="O682" s="101"/>
      <c r="P682" s="101"/>
      <c r="Q682" s="101"/>
      <c r="R682" s="102"/>
      <c r="S682" s="102"/>
      <c r="T682" s="102"/>
      <c r="U682" s="103"/>
      <c r="V682" s="100"/>
      <c r="W682" s="101"/>
      <c r="X682" s="113"/>
      <c r="Y682" s="114"/>
      <c r="Z682" s="102"/>
      <c r="AA682" s="101"/>
      <c r="AB682" s="111"/>
      <c r="AE682" s="187"/>
      <c r="AF682" s="185"/>
      <c r="AG682" s="185" t="str">
        <f t="shared" si="89"/>
        <v/>
      </c>
      <c r="AH682" s="186" t="str">
        <f t="shared" si="90"/>
        <v/>
      </c>
      <c r="AI682" s="185"/>
      <c r="AJ682" s="188"/>
      <c r="CC682" s="562"/>
      <c r="CD682" s="425"/>
    </row>
    <row r="683" spans="2:82" ht="30" customHeight="1" x14ac:dyDescent="0.3">
      <c r="B683" s="562"/>
      <c r="C683" s="563"/>
      <c r="D683" s="425"/>
      <c r="E683" s="250" t="str">
        <f t="shared" si="84"/>
        <v/>
      </c>
      <c r="F683" s="556"/>
      <c r="G683" s="252" t="str">
        <f>IFERROR(VLOOKUP(F683,'Data (hidden)'!N:O,2,FALSE),"")</f>
        <v/>
      </c>
      <c r="H683" s="557"/>
      <c r="I683" s="558"/>
      <c r="J683" s="123">
        <f t="shared" si="87"/>
        <v>0</v>
      </c>
      <c r="K683" s="123" t="e">
        <f t="shared" si="88"/>
        <v>#VALUE!</v>
      </c>
      <c r="L683" s="123">
        <f t="shared" si="85"/>
        <v>0</v>
      </c>
      <c r="M683" s="124" t="str">
        <f t="shared" si="86"/>
        <v/>
      </c>
      <c r="N683" s="112"/>
      <c r="O683" s="101"/>
      <c r="P683" s="101"/>
      <c r="Q683" s="101"/>
      <c r="R683" s="102"/>
      <c r="S683" s="102"/>
      <c r="T683" s="102"/>
      <c r="U683" s="103"/>
      <c r="V683" s="100"/>
      <c r="W683" s="101"/>
      <c r="X683" s="113"/>
      <c r="Y683" s="114"/>
      <c r="Z683" s="102"/>
      <c r="AA683" s="101"/>
      <c r="AB683" s="111"/>
      <c r="AE683" s="187"/>
      <c r="AF683" s="185"/>
      <c r="AG683" s="185" t="str">
        <f t="shared" si="89"/>
        <v/>
      </c>
      <c r="AH683" s="186" t="str">
        <f t="shared" si="90"/>
        <v/>
      </c>
      <c r="AI683" s="185"/>
      <c r="AJ683" s="188"/>
      <c r="CC683" s="562"/>
      <c r="CD683" s="425"/>
    </row>
    <row r="684" spans="2:82" ht="30" customHeight="1" x14ac:dyDescent="0.3">
      <c r="B684" s="562"/>
      <c r="C684" s="563"/>
      <c r="D684" s="425"/>
      <c r="E684" s="250" t="str">
        <f t="shared" si="84"/>
        <v/>
      </c>
      <c r="F684" s="556"/>
      <c r="G684" s="252" t="str">
        <f>IFERROR(VLOOKUP(F684,'Data (hidden)'!N:O,2,FALSE),"")</f>
        <v/>
      </c>
      <c r="H684" s="557"/>
      <c r="I684" s="558"/>
      <c r="J684" s="123">
        <f t="shared" si="87"/>
        <v>0</v>
      </c>
      <c r="K684" s="123" t="e">
        <f t="shared" si="88"/>
        <v>#VALUE!</v>
      </c>
      <c r="L684" s="123">
        <f t="shared" si="85"/>
        <v>0</v>
      </c>
      <c r="M684" s="124" t="str">
        <f t="shared" si="86"/>
        <v/>
      </c>
      <c r="N684" s="112"/>
      <c r="O684" s="101"/>
      <c r="P684" s="101"/>
      <c r="Q684" s="101"/>
      <c r="R684" s="102"/>
      <c r="S684" s="102"/>
      <c r="T684" s="102"/>
      <c r="U684" s="103"/>
      <c r="V684" s="100"/>
      <c r="W684" s="101"/>
      <c r="X684" s="113"/>
      <c r="Y684" s="114"/>
      <c r="Z684" s="102"/>
      <c r="AA684" s="101"/>
      <c r="AB684" s="111"/>
      <c r="AE684" s="187"/>
      <c r="AF684" s="185"/>
      <c r="AG684" s="185" t="str">
        <f t="shared" si="89"/>
        <v/>
      </c>
      <c r="AH684" s="186" t="str">
        <f t="shared" si="90"/>
        <v/>
      </c>
      <c r="AI684" s="185"/>
      <c r="AJ684" s="188"/>
      <c r="CC684" s="562"/>
      <c r="CD684" s="425"/>
    </row>
    <row r="685" spans="2:82" ht="30" customHeight="1" x14ac:dyDescent="0.3">
      <c r="B685" s="562"/>
      <c r="C685" s="563"/>
      <c r="D685" s="425"/>
      <c r="E685" s="250" t="str">
        <f t="shared" si="84"/>
        <v/>
      </c>
      <c r="F685" s="556"/>
      <c r="G685" s="252" t="str">
        <f>IFERROR(VLOOKUP(F685,'Data (hidden)'!N:O,2,FALSE),"")</f>
        <v/>
      </c>
      <c r="H685" s="557"/>
      <c r="I685" s="558"/>
      <c r="J685" s="123">
        <f t="shared" si="87"/>
        <v>0</v>
      </c>
      <c r="K685" s="123" t="e">
        <f t="shared" si="88"/>
        <v>#VALUE!</v>
      </c>
      <c r="L685" s="123">
        <f t="shared" si="85"/>
        <v>0</v>
      </c>
      <c r="M685" s="124" t="str">
        <f t="shared" si="86"/>
        <v/>
      </c>
      <c r="N685" s="112"/>
      <c r="O685" s="101"/>
      <c r="P685" s="101"/>
      <c r="Q685" s="101"/>
      <c r="R685" s="102"/>
      <c r="S685" s="102"/>
      <c r="T685" s="102"/>
      <c r="U685" s="103"/>
      <c r="V685" s="100"/>
      <c r="W685" s="101"/>
      <c r="X685" s="113"/>
      <c r="Y685" s="114"/>
      <c r="Z685" s="102"/>
      <c r="AA685" s="101"/>
      <c r="AB685" s="111"/>
      <c r="AE685" s="187"/>
      <c r="AF685" s="185"/>
      <c r="AG685" s="185" t="str">
        <f t="shared" si="89"/>
        <v/>
      </c>
      <c r="AH685" s="186" t="str">
        <f t="shared" si="90"/>
        <v/>
      </c>
      <c r="AI685" s="185"/>
      <c r="AJ685" s="188"/>
      <c r="CC685" s="562"/>
      <c r="CD685" s="425"/>
    </row>
    <row r="686" spans="2:82" ht="30" customHeight="1" x14ac:dyDescent="0.3">
      <c r="B686" s="562"/>
      <c r="C686" s="563"/>
      <c r="D686" s="425"/>
      <c r="E686" s="250" t="str">
        <f t="shared" si="84"/>
        <v/>
      </c>
      <c r="F686" s="556"/>
      <c r="G686" s="252" t="str">
        <f>IFERROR(VLOOKUP(F686,'Data (hidden)'!N:O,2,FALSE),"")</f>
        <v/>
      </c>
      <c r="H686" s="557"/>
      <c r="I686" s="558"/>
      <c r="J686" s="123">
        <f t="shared" si="87"/>
        <v>0</v>
      </c>
      <c r="K686" s="123" t="e">
        <f t="shared" si="88"/>
        <v>#VALUE!</v>
      </c>
      <c r="L686" s="123">
        <f t="shared" si="85"/>
        <v>0</v>
      </c>
      <c r="M686" s="124" t="str">
        <f t="shared" si="86"/>
        <v/>
      </c>
      <c r="N686" s="112"/>
      <c r="O686" s="101"/>
      <c r="P686" s="101"/>
      <c r="Q686" s="101"/>
      <c r="R686" s="102"/>
      <c r="S686" s="102"/>
      <c r="T686" s="102"/>
      <c r="U686" s="103"/>
      <c r="V686" s="100"/>
      <c r="W686" s="101"/>
      <c r="X686" s="113"/>
      <c r="Y686" s="114"/>
      <c r="Z686" s="102"/>
      <c r="AA686" s="101"/>
      <c r="AB686" s="111"/>
      <c r="AE686" s="187"/>
      <c r="AF686" s="185"/>
      <c r="AG686" s="185" t="str">
        <f t="shared" si="89"/>
        <v/>
      </c>
      <c r="AH686" s="186" t="str">
        <f t="shared" si="90"/>
        <v/>
      </c>
      <c r="AI686" s="185"/>
      <c r="AJ686" s="188"/>
      <c r="CC686" s="562"/>
      <c r="CD686" s="425"/>
    </row>
    <row r="687" spans="2:82" ht="30" customHeight="1" x14ac:dyDescent="0.3">
      <c r="B687" s="562"/>
      <c r="C687" s="563"/>
      <c r="D687" s="425"/>
      <c r="E687" s="250" t="str">
        <f t="shared" si="84"/>
        <v/>
      </c>
      <c r="F687" s="556"/>
      <c r="G687" s="252" t="str">
        <f>IFERROR(VLOOKUP(F687,'Data (hidden)'!N:O,2,FALSE),"")</f>
        <v/>
      </c>
      <c r="H687" s="557"/>
      <c r="I687" s="558"/>
      <c r="J687" s="123">
        <f t="shared" si="87"/>
        <v>0</v>
      </c>
      <c r="K687" s="123" t="e">
        <f t="shared" si="88"/>
        <v>#VALUE!</v>
      </c>
      <c r="L687" s="123">
        <f t="shared" si="85"/>
        <v>0</v>
      </c>
      <c r="M687" s="124" t="str">
        <f t="shared" si="86"/>
        <v/>
      </c>
      <c r="N687" s="112"/>
      <c r="O687" s="101"/>
      <c r="P687" s="101"/>
      <c r="Q687" s="101"/>
      <c r="R687" s="102"/>
      <c r="S687" s="102"/>
      <c r="T687" s="102"/>
      <c r="U687" s="103"/>
      <c r="V687" s="100"/>
      <c r="W687" s="101"/>
      <c r="X687" s="113"/>
      <c r="Y687" s="114"/>
      <c r="Z687" s="102"/>
      <c r="AA687" s="101"/>
      <c r="AB687" s="111"/>
      <c r="AE687" s="187"/>
      <c r="AF687" s="185"/>
      <c r="AG687" s="185" t="str">
        <f t="shared" si="89"/>
        <v/>
      </c>
      <c r="AH687" s="186" t="str">
        <f t="shared" si="90"/>
        <v/>
      </c>
      <c r="AI687" s="185"/>
      <c r="AJ687" s="188"/>
      <c r="CC687" s="562"/>
      <c r="CD687" s="425"/>
    </row>
    <row r="688" spans="2:82" ht="30" customHeight="1" x14ac:dyDescent="0.3">
      <c r="B688" s="562"/>
      <c r="C688" s="563"/>
      <c r="D688" s="425"/>
      <c r="E688" s="250" t="str">
        <f t="shared" si="84"/>
        <v/>
      </c>
      <c r="F688" s="556"/>
      <c r="G688" s="252" t="str">
        <f>IFERROR(VLOOKUP(F688,'Data (hidden)'!N:O,2,FALSE),"")</f>
        <v/>
      </c>
      <c r="H688" s="557"/>
      <c r="I688" s="558"/>
      <c r="J688" s="123">
        <f t="shared" si="87"/>
        <v>0</v>
      </c>
      <c r="K688" s="123" t="e">
        <f t="shared" si="88"/>
        <v>#VALUE!</v>
      </c>
      <c r="L688" s="123">
        <f t="shared" si="85"/>
        <v>0</v>
      </c>
      <c r="M688" s="124" t="str">
        <f t="shared" si="86"/>
        <v/>
      </c>
      <c r="N688" s="112"/>
      <c r="O688" s="101"/>
      <c r="P688" s="101"/>
      <c r="Q688" s="101"/>
      <c r="R688" s="102"/>
      <c r="S688" s="102"/>
      <c r="T688" s="102"/>
      <c r="U688" s="103"/>
      <c r="V688" s="100"/>
      <c r="W688" s="101"/>
      <c r="X688" s="113"/>
      <c r="Y688" s="114"/>
      <c r="Z688" s="102"/>
      <c r="AA688" s="101"/>
      <c r="AB688" s="111"/>
      <c r="AE688" s="187"/>
      <c r="AF688" s="185"/>
      <c r="AG688" s="185" t="str">
        <f t="shared" si="89"/>
        <v/>
      </c>
      <c r="AH688" s="186" t="str">
        <f t="shared" si="90"/>
        <v/>
      </c>
      <c r="AI688" s="185"/>
      <c r="AJ688" s="188"/>
      <c r="CC688" s="562"/>
      <c r="CD688" s="425"/>
    </row>
    <row r="689" spans="2:82" ht="30" customHeight="1" x14ac:dyDescent="0.3">
      <c r="B689" s="562"/>
      <c r="C689" s="563"/>
      <c r="D689" s="425"/>
      <c r="E689" s="250" t="str">
        <f t="shared" si="84"/>
        <v/>
      </c>
      <c r="F689" s="556"/>
      <c r="G689" s="252" t="str">
        <f>IFERROR(VLOOKUP(F689,'Data (hidden)'!N:O,2,FALSE),"")</f>
        <v/>
      </c>
      <c r="H689" s="557"/>
      <c r="I689" s="558"/>
      <c r="J689" s="123">
        <f t="shared" si="87"/>
        <v>0</v>
      </c>
      <c r="K689" s="123" t="e">
        <f t="shared" si="88"/>
        <v>#VALUE!</v>
      </c>
      <c r="L689" s="123">
        <f t="shared" si="85"/>
        <v>0</v>
      </c>
      <c r="M689" s="124" t="str">
        <f t="shared" si="86"/>
        <v/>
      </c>
      <c r="N689" s="112"/>
      <c r="O689" s="101"/>
      <c r="P689" s="101"/>
      <c r="Q689" s="101"/>
      <c r="R689" s="102"/>
      <c r="S689" s="102"/>
      <c r="T689" s="102"/>
      <c r="U689" s="103"/>
      <c r="V689" s="100"/>
      <c r="W689" s="101"/>
      <c r="X689" s="113"/>
      <c r="Y689" s="114"/>
      <c r="Z689" s="102"/>
      <c r="AA689" s="101"/>
      <c r="AB689" s="111"/>
      <c r="AE689" s="187"/>
      <c r="AF689" s="185"/>
      <c r="AG689" s="185" t="str">
        <f t="shared" si="89"/>
        <v/>
      </c>
      <c r="AH689" s="186" t="str">
        <f t="shared" si="90"/>
        <v/>
      </c>
      <c r="AI689" s="185"/>
      <c r="AJ689" s="188"/>
      <c r="CC689" s="562"/>
      <c r="CD689" s="425"/>
    </row>
    <row r="690" spans="2:82" ht="30" customHeight="1" x14ac:dyDescent="0.3">
      <c r="B690" s="562"/>
      <c r="C690" s="563"/>
      <c r="D690" s="425"/>
      <c r="E690" s="250" t="str">
        <f t="shared" si="84"/>
        <v/>
      </c>
      <c r="F690" s="556"/>
      <c r="G690" s="252" t="str">
        <f>IFERROR(VLOOKUP(F690,'Data (hidden)'!N:O,2,FALSE),"")</f>
        <v/>
      </c>
      <c r="H690" s="557"/>
      <c r="I690" s="558"/>
      <c r="J690" s="123">
        <f t="shared" si="87"/>
        <v>0</v>
      </c>
      <c r="K690" s="123" t="e">
        <f t="shared" si="88"/>
        <v>#VALUE!</v>
      </c>
      <c r="L690" s="123">
        <f t="shared" si="85"/>
        <v>0</v>
      </c>
      <c r="M690" s="124" t="str">
        <f t="shared" si="86"/>
        <v/>
      </c>
      <c r="N690" s="112"/>
      <c r="O690" s="101"/>
      <c r="P690" s="101"/>
      <c r="Q690" s="101"/>
      <c r="R690" s="102"/>
      <c r="S690" s="102"/>
      <c r="T690" s="102"/>
      <c r="U690" s="103"/>
      <c r="V690" s="100"/>
      <c r="W690" s="101"/>
      <c r="X690" s="113"/>
      <c r="Y690" s="114"/>
      <c r="Z690" s="102"/>
      <c r="AA690" s="101"/>
      <c r="AB690" s="111"/>
      <c r="AE690" s="187"/>
      <c r="AF690" s="185"/>
      <c r="AG690" s="185" t="str">
        <f t="shared" si="89"/>
        <v/>
      </c>
      <c r="AH690" s="186" t="str">
        <f t="shared" si="90"/>
        <v/>
      </c>
      <c r="AI690" s="185"/>
      <c r="AJ690" s="188"/>
      <c r="CC690" s="562"/>
      <c r="CD690" s="425"/>
    </row>
    <row r="691" spans="2:82" ht="30" customHeight="1" x14ac:dyDescent="0.3">
      <c r="B691" s="562"/>
      <c r="C691" s="563"/>
      <c r="D691" s="425"/>
      <c r="E691" s="250" t="str">
        <f t="shared" si="84"/>
        <v/>
      </c>
      <c r="F691" s="556"/>
      <c r="G691" s="252" t="str">
        <f>IFERROR(VLOOKUP(F691,'Data (hidden)'!N:O,2,FALSE),"")</f>
        <v/>
      </c>
      <c r="H691" s="557"/>
      <c r="I691" s="558"/>
      <c r="J691" s="123">
        <f t="shared" si="87"/>
        <v>0</v>
      </c>
      <c r="K691" s="123" t="e">
        <f t="shared" si="88"/>
        <v>#VALUE!</v>
      </c>
      <c r="L691" s="123">
        <f t="shared" si="85"/>
        <v>0</v>
      </c>
      <c r="M691" s="124" t="str">
        <f t="shared" si="86"/>
        <v/>
      </c>
      <c r="N691" s="112"/>
      <c r="O691" s="101"/>
      <c r="P691" s="101"/>
      <c r="Q691" s="101"/>
      <c r="R691" s="102"/>
      <c r="S691" s="102"/>
      <c r="T691" s="102"/>
      <c r="U691" s="103"/>
      <c r="V691" s="100"/>
      <c r="W691" s="101"/>
      <c r="X691" s="113"/>
      <c r="Y691" s="114"/>
      <c r="Z691" s="102"/>
      <c r="AA691" s="101"/>
      <c r="AB691" s="111"/>
      <c r="AE691" s="187"/>
      <c r="AF691" s="185"/>
      <c r="AG691" s="185" t="str">
        <f t="shared" si="89"/>
        <v/>
      </c>
      <c r="AH691" s="186" t="str">
        <f t="shared" si="90"/>
        <v/>
      </c>
      <c r="AI691" s="185"/>
      <c r="AJ691" s="188"/>
      <c r="CC691" s="562"/>
      <c r="CD691" s="425"/>
    </row>
    <row r="692" spans="2:82" ht="30" customHeight="1" x14ac:dyDescent="0.3">
      <c r="B692" s="562"/>
      <c r="C692" s="563"/>
      <c r="D692" s="425"/>
      <c r="E692" s="250" t="str">
        <f t="shared" ref="E692:E755" si="91">IF(SUM(C692-(C692*L692))=0,"",SUM(C692-(C692*L692)))</f>
        <v/>
      </c>
      <c r="F692" s="556"/>
      <c r="G692" s="252" t="str">
        <f>IFERROR(VLOOKUP(F692,'Data (hidden)'!N:O,2,FALSE),"")</f>
        <v/>
      </c>
      <c r="H692" s="557"/>
      <c r="I692" s="558"/>
      <c r="J692" s="123">
        <f t="shared" si="87"/>
        <v>0</v>
      </c>
      <c r="K692" s="123" t="e">
        <f t="shared" si="88"/>
        <v>#VALUE!</v>
      </c>
      <c r="L692" s="123">
        <f t="shared" si="85"/>
        <v>0</v>
      </c>
      <c r="M692" s="124" t="str">
        <f t="shared" si="86"/>
        <v/>
      </c>
      <c r="N692" s="112"/>
      <c r="O692" s="101"/>
      <c r="P692" s="101"/>
      <c r="Q692" s="101"/>
      <c r="R692" s="102"/>
      <c r="S692" s="102"/>
      <c r="T692" s="102"/>
      <c r="U692" s="103"/>
      <c r="V692" s="100"/>
      <c r="W692" s="101"/>
      <c r="X692" s="113"/>
      <c r="Y692" s="114"/>
      <c r="Z692" s="102"/>
      <c r="AA692" s="101"/>
      <c r="AB692" s="111"/>
      <c r="AE692" s="187"/>
      <c r="AF692" s="185"/>
      <c r="AG692" s="185" t="str">
        <f t="shared" si="89"/>
        <v/>
      </c>
      <c r="AH692" s="186" t="str">
        <f t="shared" si="90"/>
        <v/>
      </c>
      <c r="AI692" s="185"/>
      <c r="AJ692" s="188"/>
      <c r="CC692" s="562"/>
      <c r="CD692" s="425"/>
    </row>
    <row r="693" spans="2:82" ht="30" customHeight="1" x14ac:dyDescent="0.3">
      <c r="B693" s="562"/>
      <c r="C693" s="563"/>
      <c r="D693" s="425"/>
      <c r="E693" s="250" t="str">
        <f t="shared" si="91"/>
        <v/>
      </c>
      <c r="F693" s="556"/>
      <c r="G693" s="252" t="str">
        <f>IFERROR(VLOOKUP(F693,'Data (hidden)'!N:O,2,FALSE),"")</f>
        <v/>
      </c>
      <c r="H693" s="557"/>
      <c r="I693" s="558"/>
      <c r="J693" s="123">
        <f t="shared" si="87"/>
        <v>0</v>
      </c>
      <c r="K693" s="123" t="e">
        <f t="shared" si="88"/>
        <v>#VALUE!</v>
      </c>
      <c r="L693" s="123">
        <f t="shared" si="85"/>
        <v>0</v>
      </c>
      <c r="M693" s="124" t="str">
        <f t="shared" si="86"/>
        <v/>
      </c>
      <c r="N693" s="112"/>
      <c r="O693" s="101"/>
      <c r="P693" s="101"/>
      <c r="Q693" s="101"/>
      <c r="R693" s="102"/>
      <c r="S693" s="102"/>
      <c r="T693" s="102"/>
      <c r="U693" s="103"/>
      <c r="V693" s="100"/>
      <c r="W693" s="101"/>
      <c r="X693" s="113"/>
      <c r="Y693" s="114"/>
      <c r="Z693" s="102"/>
      <c r="AA693" s="101"/>
      <c r="AB693" s="111"/>
      <c r="AE693" s="187"/>
      <c r="AF693" s="185"/>
      <c r="AG693" s="185" t="str">
        <f t="shared" si="89"/>
        <v/>
      </c>
      <c r="AH693" s="186" t="str">
        <f t="shared" si="90"/>
        <v/>
      </c>
      <c r="AI693" s="185"/>
      <c r="AJ693" s="188"/>
      <c r="CC693" s="562"/>
      <c r="CD693" s="425"/>
    </row>
    <row r="694" spans="2:82" ht="30" customHeight="1" x14ac:dyDescent="0.3">
      <c r="B694" s="562"/>
      <c r="C694" s="563"/>
      <c r="D694" s="425"/>
      <c r="E694" s="250" t="str">
        <f t="shared" si="91"/>
        <v/>
      </c>
      <c r="F694" s="556"/>
      <c r="G694" s="252" t="str">
        <f>IFERROR(VLOOKUP(F694,'Data (hidden)'!N:O,2,FALSE),"")</f>
        <v/>
      </c>
      <c r="H694" s="557"/>
      <c r="I694" s="558"/>
      <c r="J694" s="123">
        <f t="shared" si="87"/>
        <v>0</v>
      </c>
      <c r="K694" s="123" t="e">
        <f t="shared" si="88"/>
        <v>#VALUE!</v>
      </c>
      <c r="L694" s="123">
        <f t="shared" si="85"/>
        <v>0</v>
      </c>
      <c r="M694" s="124" t="str">
        <f t="shared" si="86"/>
        <v/>
      </c>
      <c r="N694" s="112"/>
      <c r="O694" s="101"/>
      <c r="P694" s="101"/>
      <c r="Q694" s="101"/>
      <c r="R694" s="102"/>
      <c r="S694" s="102"/>
      <c r="T694" s="102"/>
      <c r="U694" s="103"/>
      <c r="V694" s="100"/>
      <c r="W694" s="101"/>
      <c r="X694" s="113"/>
      <c r="Y694" s="114"/>
      <c r="Z694" s="102"/>
      <c r="AA694" s="101"/>
      <c r="AB694" s="111"/>
      <c r="AE694" s="187"/>
      <c r="AF694" s="185"/>
      <c r="AG694" s="185" t="str">
        <f t="shared" si="89"/>
        <v/>
      </c>
      <c r="AH694" s="186" t="str">
        <f t="shared" si="90"/>
        <v/>
      </c>
      <c r="AI694" s="185"/>
      <c r="AJ694" s="188"/>
      <c r="CC694" s="562"/>
      <c r="CD694" s="425"/>
    </row>
    <row r="695" spans="2:82" ht="30" customHeight="1" x14ac:dyDescent="0.3">
      <c r="B695" s="562"/>
      <c r="C695" s="563"/>
      <c r="D695" s="425"/>
      <c r="E695" s="250" t="str">
        <f t="shared" si="91"/>
        <v/>
      </c>
      <c r="F695" s="556"/>
      <c r="G695" s="252" t="str">
        <f>IFERROR(VLOOKUP(F695,'Data (hidden)'!N:O,2,FALSE),"")</f>
        <v/>
      </c>
      <c r="H695" s="557"/>
      <c r="I695" s="558"/>
      <c r="J695" s="123">
        <f t="shared" si="87"/>
        <v>0</v>
      </c>
      <c r="K695" s="123" t="e">
        <f t="shared" si="88"/>
        <v>#VALUE!</v>
      </c>
      <c r="L695" s="123">
        <f t="shared" si="85"/>
        <v>0</v>
      </c>
      <c r="M695" s="124" t="str">
        <f t="shared" si="86"/>
        <v/>
      </c>
      <c r="N695" s="112"/>
      <c r="O695" s="101"/>
      <c r="P695" s="101"/>
      <c r="Q695" s="101"/>
      <c r="R695" s="102"/>
      <c r="S695" s="102"/>
      <c r="T695" s="102"/>
      <c r="U695" s="103"/>
      <c r="V695" s="100"/>
      <c r="W695" s="101"/>
      <c r="X695" s="113"/>
      <c r="Y695" s="114"/>
      <c r="Z695" s="102"/>
      <c r="AA695" s="101"/>
      <c r="AB695" s="111"/>
      <c r="AE695" s="187"/>
      <c r="AF695" s="185"/>
      <c r="AG695" s="185" t="str">
        <f t="shared" si="89"/>
        <v/>
      </c>
      <c r="AH695" s="186" t="str">
        <f t="shared" si="90"/>
        <v/>
      </c>
      <c r="AI695" s="185"/>
      <c r="AJ695" s="188"/>
      <c r="CC695" s="562"/>
      <c r="CD695" s="425"/>
    </row>
    <row r="696" spans="2:82" ht="30" customHeight="1" x14ac:dyDescent="0.3">
      <c r="B696" s="562"/>
      <c r="C696" s="563"/>
      <c r="D696" s="425"/>
      <c r="E696" s="250" t="str">
        <f t="shared" si="91"/>
        <v/>
      </c>
      <c r="F696" s="556"/>
      <c r="G696" s="252" t="str">
        <f>IFERROR(VLOOKUP(F696,'Data (hidden)'!N:O,2,FALSE),"")</f>
        <v/>
      </c>
      <c r="H696" s="557"/>
      <c r="I696" s="558"/>
      <c r="J696" s="123">
        <f t="shared" si="87"/>
        <v>0</v>
      </c>
      <c r="K696" s="123" t="e">
        <f t="shared" si="88"/>
        <v>#VALUE!</v>
      </c>
      <c r="L696" s="123">
        <f t="shared" si="85"/>
        <v>0</v>
      </c>
      <c r="M696" s="124" t="str">
        <f t="shared" si="86"/>
        <v/>
      </c>
      <c r="N696" s="112"/>
      <c r="O696" s="101"/>
      <c r="P696" s="101"/>
      <c r="Q696" s="101"/>
      <c r="R696" s="102"/>
      <c r="S696" s="102"/>
      <c r="T696" s="102"/>
      <c r="U696" s="103"/>
      <c r="V696" s="100"/>
      <c r="W696" s="101"/>
      <c r="X696" s="113"/>
      <c r="Y696" s="114"/>
      <c r="Z696" s="102"/>
      <c r="AA696" s="101"/>
      <c r="AB696" s="111"/>
      <c r="AE696" s="187"/>
      <c r="AF696" s="185"/>
      <c r="AG696" s="185" t="str">
        <f t="shared" si="89"/>
        <v/>
      </c>
      <c r="AH696" s="186" t="str">
        <f t="shared" si="90"/>
        <v/>
      </c>
      <c r="AI696" s="185"/>
      <c r="AJ696" s="188"/>
      <c r="CC696" s="562"/>
      <c r="CD696" s="425"/>
    </row>
    <row r="697" spans="2:82" ht="30" customHeight="1" x14ac:dyDescent="0.3">
      <c r="B697" s="562"/>
      <c r="C697" s="563"/>
      <c r="D697" s="425"/>
      <c r="E697" s="250" t="str">
        <f t="shared" si="91"/>
        <v/>
      </c>
      <c r="F697" s="556"/>
      <c r="G697" s="252" t="str">
        <f>IFERROR(VLOOKUP(F697,'Data (hidden)'!N:O,2,FALSE),"")</f>
        <v/>
      </c>
      <c r="H697" s="557"/>
      <c r="I697" s="558"/>
      <c r="J697" s="123">
        <f t="shared" si="87"/>
        <v>0</v>
      </c>
      <c r="K697" s="123" t="e">
        <f t="shared" si="88"/>
        <v>#VALUE!</v>
      </c>
      <c r="L697" s="123">
        <f t="shared" si="85"/>
        <v>0</v>
      </c>
      <c r="M697" s="124" t="str">
        <f t="shared" si="86"/>
        <v/>
      </c>
      <c r="N697" s="112"/>
      <c r="O697" s="101"/>
      <c r="P697" s="101"/>
      <c r="Q697" s="101"/>
      <c r="R697" s="102"/>
      <c r="S697" s="102"/>
      <c r="T697" s="102"/>
      <c r="U697" s="103"/>
      <c r="V697" s="100"/>
      <c r="W697" s="101"/>
      <c r="X697" s="113"/>
      <c r="Y697" s="114"/>
      <c r="Z697" s="102"/>
      <c r="AA697" s="101"/>
      <c r="AB697" s="111"/>
      <c r="AE697" s="187"/>
      <c r="AF697" s="185"/>
      <c r="AG697" s="185" t="str">
        <f t="shared" si="89"/>
        <v/>
      </c>
      <c r="AH697" s="186" t="str">
        <f t="shared" si="90"/>
        <v/>
      </c>
      <c r="AI697" s="185"/>
      <c r="AJ697" s="188"/>
      <c r="CC697" s="562"/>
      <c r="CD697" s="425"/>
    </row>
    <row r="698" spans="2:82" ht="30" customHeight="1" x14ac:dyDescent="0.3">
      <c r="B698" s="562"/>
      <c r="C698" s="563"/>
      <c r="D698" s="425"/>
      <c r="E698" s="250" t="str">
        <f t="shared" si="91"/>
        <v/>
      </c>
      <c r="F698" s="556"/>
      <c r="G698" s="252" t="str">
        <f>IFERROR(VLOOKUP(F698,'Data (hidden)'!N:O,2,FALSE),"")</f>
        <v/>
      </c>
      <c r="H698" s="557"/>
      <c r="I698" s="558"/>
      <c r="J698" s="123">
        <f t="shared" si="87"/>
        <v>0</v>
      </c>
      <c r="K698" s="123" t="e">
        <f t="shared" si="88"/>
        <v>#VALUE!</v>
      </c>
      <c r="L698" s="123">
        <f t="shared" si="85"/>
        <v>0</v>
      </c>
      <c r="M698" s="124" t="str">
        <f t="shared" si="86"/>
        <v/>
      </c>
      <c r="N698" s="112"/>
      <c r="O698" s="101"/>
      <c r="P698" s="101"/>
      <c r="Q698" s="101"/>
      <c r="R698" s="102"/>
      <c r="S698" s="102"/>
      <c r="T698" s="102"/>
      <c r="U698" s="103"/>
      <c r="V698" s="100"/>
      <c r="W698" s="101"/>
      <c r="X698" s="113"/>
      <c r="Y698" s="114"/>
      <c r="Z698" s="102"/>
      <c r="AA698" s="101"/>
      <c r="AB698" s="111"/>
      <c r="AE698" s="187"/>
      <c r="AF698" s="185"/>
      <c r="AG698" s="185" t="str">
        <f t="shared" si="89"/>
        <v/>
      </c>
      <c r="AH698" s="186" t="str">
        <f t="shared" si="90"/>
        <v/>
      </c>
      <c r="AI698" s="185"/>
      <c r="AJ698" s="188"/>
      <c r="CC698" s="562"/>
      <c r="CD698" s="425"/>
    </row>
    <row r="699" spans="2:82" ht="30" customHeight="1" x14ac:dyDescent="0.3">
      <c r="B699" s="562"/>
      <c r="C699" s="563"/>
      <c r="D699" s="425"/>
      <c r="E699" s="250" t="str">
        <f t="shared" si="91"/>
        <v/>
      </c>
      <c r="F699" s="556"/>
      <c r="G699" s="252" t="str">
        <f>IFERROR(VLOOKUP(F699,'Data (hidden)'!N:O,2,FALSE),"")</f>
        <v/>
      </c>
      <c r="H699" s="557"/>
      <c r="I699" s="558"/>
      <c r="J699" s="123">
        <f t="shared" si="87"/>
        <v>0</v>
      </c>
      <c r="K699" s="123" t="e">
        <f t="shared" si="88"/>
        <v>#VALUE!</v>
      </c>
      <c r="L699" s="123">
        <f t="shared" si="85"/>
        <v>0</v>
      </c>
      <c r="M699" s="124" t="str">
        <f t="shared" si="86"/>
        <v/>
      </c>
      <c r="N699" s="112"/>
      <c r="O699" s="101"/>
      <c r="P699" s="101"/>
      <c r="Q699" s="101"/>
      <c r="R699" s="102"/>
      <c r="S699" s="102"/>
      <c r="T699" s="102"/>
      <c r="U699" s="103"/>
      <c r="V699" s="100"/>
      <c r="W699" s="101"/>
      <c r="X699" s="113"/>
      <c r="Y699" s="114"/>
      <c r="Z699" s="102"/>
      <c r="AA699" s="101"/>
      <c r="AB699" s="111"/>
      <c r="AE699" s="187"/>
      <c r="AF699" s="185"/>
      <c r="AG699" s="185" t="str">
        <f t="shared" si="89"/>
        <v/>
      </c>
      <c r="AH699" s="186" t="str">
        <f t="shared" si="90"/>
        <v/>
      </c>
      <c r="AI699" s="185"/>
      <c r="AJ699" s="188"/>
      <c r="CC699" s="562"/>
      <c r="CD699" s="425"/>
    </row>
    <row r="700" spans="2:82" ht="30" customHeight="1" x14ac:dyDescent="0.3">
      <c r="B700" s="562"/>
      <c r="C700" s="563"/>
      <c r="D700" s="425"/>
      <c r="E700" s="250" t="str">
        <f t="shared" si="91"/>
        <v/>
      </c>
      <c r="F700" s="556"/>
      <c r="G700" s="252" t="str">
        <f>IFERROR(VLOOKUP(F700,'Data (hidden)'!N:O,2,FALSE),"")</f>
        <v/>
      </c>
      <c r="H700" s="557"/>
      <c r="I700" s="558"/>
      <c r="J700" s="123">
        <f t="shared" si="87"/>
        <v>0</v>
      </c>
      <c r="K700" s="123" t="e">
        <f t="shared" si="88"/>
        <v>#VALUE!</v>
      </c>
      <c r="L700" s="123">
        <f t="shared" si="85"/>
        <v>0</v>
      </c>
      <c r="M700" s="124" t="str">
        <f t="shared" si="86"/>
        <v/>
      </c>
      <c r="N700" s="112"/>
      <c r="O700" s="101"/>
      <c r="P700" s="101"/>
      <c r="Q700" s="101"/>
      <c r="R700" s="102"/>
      <c r="S700" s="102"/>
      <c r="T700" s="102"/>
      <c r="U700" s="103"/>
      <c r="V700" s="100"/>
      <c r="W700" s="101"/>
      <c r="X700" s="113"/>
      <c r="Y700" s="114"/>
      <c r="Z700" s="102"/>
      <c r="AA700" s="101"/>
      <c r="AB700" s="111"/>
      <c r="AE700" s="187"/>
      <c r="AF700" s="185"/>
      <c r="AG700" s="185" t="str">
        <f t="shared" si="89"/>
        <v/>
      </c>
      <c r="AH700" s="186" t="str">
        <f t="shared" si="90"/>
        <v/>
      </c>
      <c r="AI700" s="185"/>
      <c r="AJ700" s="188"/>
      <c r="CC700" s="562"/>
      <c r="CD700" s="425"/>
    </row>
    <row r="701" spans="2:82" ht="30" customHeight="1" x14ac:dyDescent="0.3">
      <c r="B701" s="562"/>
      <c r="C701" s="563"/>
      <c r="D701" s="425"/>
      <c r="E701" s="250" t="str">
        <f t="shared" si="91"/>
        <v/>
      </c>
      <c r="F701" s="556"/>
      <c r="G701" s="252" t="str">
        <f>IFERROR(VLOOKUP(F701,'Data (hidden)'!N:O,2,FALSE),"")</f>
        <v/>
      </c>
      <c r="H701" s="557"/>
      <c r="I701" s="558"/>
      <c r="J701" s="123">
        <f t="shared" si="87"/>
        <v>0</v>
      </c>
      <c r="K701" s="123" t="e">
        <f t="shared" si="88"/>
        <v>#VALUE!</v>
      </c>
      <c r="L701" s="123">
        <f t="shared" si="85"/>
        <v>0</v>
      </c>
      <c r="M701" s="124" t="str">
        <f t="shared" si="86"/>
        <v/>
      </c>
      <c r="N701" s="112"/>
      <c r="O701" s="101"/>
      <c r="P701" s="101"/>
      <c r="Q701" s="101"/>
      <c r="R701" s="102"/>
      <c r="S701" s="102"/>
      <c r="T701" s="102"/>
      <c r="U701" s="103"/>
      <c r="V701" s="100"/>
      <c r="W701" s="101"/>
      <c r="X701" s="113"/>
      <c r="Y701" s="114"/>
      <c r="Z701" s="102"/>
      <c r="AA701" s="101"/>
      <c r="AB701" s="111"/>
      <c r="AE701" s="187"/>
      <c r="AF701" s="185"/>
      <c r="AG701" s="185" t="str">
        <f t="shared" si="89"/>
        <v/>
      </c>
      <c r="AH701" s="186" t="str">
        <f t="shared" si="90"/>
        <v/>
      </c>
      <c r="AI701" s="185"/>
      <c r="AJ701" s="188"/>
      <c r="CC701" s="562"/>
      <c r="CD701" s="425"/>
    </row>
    <row r="702" spans="2:82" ht="30" customHeight="1" x14ac:dyDescent="0.3">
      <c r="B702" s="562"/>
      <c r="C702" s="563"/>
      <c r="D702" s="425"/>
      <c r="E702" s="250" t="str">
        <f t="shared" si="91"/>
        <v/>
      </c>
      <c r="F702" s="556"/>
      <c r="G702" s="252" t="str">
        <f>IFERROR(VLOOKUP(F702,'Data (hidden)'!N:O,2,FALSE),"")</f>
        <v/>
      </c>
      <c r="H702" s="557"/>
      <c r="I702" s="558"/>
      <c r="J702" s="123">
        <f t="shared" si="87"/>
        <v>0</v>
      </c>
      <c r="K702" s="123" t="e">
        <f t="shared" si="88"/>
        <v>#VALUE!</v>
      </c>
      <c r="L702" s="123">
        <f t="shared" si="85"/>
        <v>0</v>
      </c>
      <c r="M702" s="124" t="str">
        <f t="shared" si="86"/>
        <v/>
      </c>
      <c r="N702" s="112"/>
      <c r="O702" s="101"/>
      <c r="P702" s="101"/>
      <c r="Q702" s="101"/>
      <c r="R702" s="102"/>
      <c r="S702" s="102"/>
      <c r="T702" s="102"/>
      <c r="U702" s="103"/>
      <c r="V702" s="100"/>
      <c r="W702" s="101"/>
      <c r="X702" s="113"/>
      <c r="Y702" s="114"/>
      <c r="Z702" s="102"/>
      <c r="AA702" s="101"/>
      <c r="AB702" s="111"/>
      <c r="AE702" s="187"/>
      <c r="AF702" s="185"/>
      <c r="AG702" s="185" t="str">
        <f t="shared" si="89"/>
        <v/>
      </c>
      <c r="AH702" s="186" t="str">
        <f t="shared" si="90"/>
        <v/>
      </c>
      <c r="AI702" s="185"/>
      <c r="AJ702" s="188"/>
      <c r="CC702" s="562"/>
      <c r="CD702" s="425"/>
    </row>
    <row r="703" spans="2:82" ht="30" customHeight="1" x14ac:dyDescent="0.3">
      <c r="B703" s="562"/>
      <c r="C703" s="563"/>
      <c r="D703" s="425"/>
      <c r="E703" s="250" t="str">
        <f t="shared" si="91"/>
        <v/>
      </c>
      <c r="F703" s="556"/>
      <c r="G703" s="252" t="str">
        <f>IFERROR(VLOOKUP(F703,'Data (hidden)'!N:O,2,FALSE),"")</f>
        <v/>
      </c>
      <c r="H703" s="557"/>
      <c r="I703" s="558"/>
      <c r="J703" s="123">
        <f t="shared" si="87"/>
        <v>0</v>
      </c>
      <c r="K703" s="123" t="e">
        <f t="shared" si="88"/>
        <v>#VALUE!</v>
      </c>
      <c r="L703" s="123">
        <f t="shared" si="85"/>
        <v>0</v>
      </c>
      <c r="M703" s="124" t="str">
        <f t="shared" si="86"/>
        <v/>
      </c>
      <c r="N703" s="112"/>
      <c r="O703" s="101"/>
      <c r="P703" s="101"/>
      <c r="Q703" s="101"/>
      <c r="R703" s="102"/>
      <c r="S703" s="102"/>
      <c r="T703" s="102"/>
      <c r="U703" s="103"/>
      <c r="V703" s="100"/>
      <c r="W703" s="101"/>
      <c r="X703" s="113"/>
      <c r="Y703" s="114"/>
      <c r="Z703" s="102"/>
      <c r="AA703" s="101"/>
      <c r="AB703" s="111"/>
      <c r="AE703" s="187"/>
      <c r="AF703" s="185"/>
      <c r="AG703" s="185" t="str">
        <f t="shared" si="89"/>
        <v/>
      </c>
      <c r="AH703" s="186" t="str">
        <f t="shared" si="90"/>
        <v/>
      </c>
      <c r="AI703" s="185"/>
      <c r="AJ703" s="188"/>
      <c r="CC703" s="562"/>
      <c r="CD703" s="425"/>
    </row>
    <row r="704" spans="2:82" ht="30" customHeight="1" x14ac:dyDescent="0.3">
      <c r="B704" s="562"/>
      <c r="C704" s="563"/>
      <c r="D704" s="425"/>
      <c r="E704" s="250" t="str">
        <f t="shared" si="91"/>
        <v/>
      </c>
      <c r="F704" s="556"/>
      <c r="G704" s="252" t="str">
        <f>IFERROR(VLOOKUP(F704,'Data (hidden)'!N:O,2,FALSE),"")</f>
        <v/>
      </c>
      <c r="H704" s="557"/>
      <c r="I704" s="558"/>
      <c r="J704" s="123">
        <f t="shared" si="87"/>
        <v>0</v>
      </c>
      <c r="K704" s="123" t="e">
        <f t="shared" si="88"/>
        <v>#VALUE!</v>
      </c>
      <c r="L704" s="123">
        <f t="shared" si="85"/>
        <v>0</v>
      </c>
      <c r="M704" s="124" t="str">
        <f t="shared" si="86"/>
        <v/>
      </c>
      <c r="N704" s="112"/>
      <c r="O704" s="101"/>
      <c r="P704" s="101"/>
      <c r="Q704" s="101"/>
      <c r="R704" s="102"/>
      <c r="S704" s="102"/>
      <c r="T704" s="102"/>
      <c r="U704" s="103"/>
      <c r="V704" s="100"/>
      <c r="W704" s="101"/>
      <c r="X704" s="113"/>
      <c r="Y704" s="114"/>
      <c r="Z704" s="102"/>
      <c r="AA704" s="101"/>
      <c r="AB704" s="111"/>
      <c r="AE704" s="187"/>
      <c r="AF704" s="185"/>
      <c r="AG704" s="185" t="str">
        <f t="shared" si="89"/>
        <v/>
      </c>
      <c r="AH704" s="186" t="str">
        <f t="shared" si="90"/>
        <v/>
      </c>
      <c r="AI704" s="185"/>
      <c r="AJ704" s="188"/>
      <c r="CC704" s="562"/>
      <c r="CD704" s="425"/>
    </row>
    <row r="705" spans="2:82" ht="30" customHeight="1" x14ac:dyDescent="0.3">
      <c r="B705" s="562"/>
      <c r="C705" s="563"/>
      <c r="D705" s="425"/>
      <c r="E705" s="250" t="str">
        <f t="shared" si="91"/>
        <v/>
      </c>
      <c r="F705" s="556"/>
      <c r="G705" s="252" t="str">
        <f>IFERROR(VLOOKUP(F705,'Data (hidden)'!N:O,2,FALSE),"")</f>
        <v/>
      </c>
      <c r="H705" s="557"/>
      <c r="I705" s="558"/>
      <c r="J705" s="123">
        <f t="shared" si="87"/>
        <v>0</v>
      </c>
      <c r="K705" s="123" t="e">
        <f t="shared" si="88"/>
        <v>#VALUE!</v>
      </c>
      <c r="L705" s="123">
        <f t="shared" si="85"/>
        <v>0</v>
      </c>
      <c r="M705" s="124" t="str">
        <f t="shared" si="86"/>
        <v/>
      </c>
      <c r="N705" s="112"/>
      <c r="O705" s="101"/>
      <c r="P705" s="101"/>
      <c r="Q705" s="101"/>
      <c r="R705" s="102"/>
      <c r="S705" s="102"/>
      <c r="T705" s="102"/>
      <c r="U705" s="103"/>
      <c r="V705" s="100"/>
      <c r="W705" s="101"/>
      <c r="X705" s="113"/>
      <c r="Y705" s="114"/>
      <c r="Z705" s="102"/>
      <c r="AA705" s="101"/>
      <c r="AB705" s="111"/>
      <c r="AE705" s="187"/>
      <c r="AF705" s="185"/>
      <c r="AG705" s="185" t="str">
        <f t="shared" si="89"/>
        <v/>
      </c>
      <c r="AH705" s="186" t="str">
        <f t="shared" si="90"/>
        <v/>
      </c>
      <c r="AI705" s="185"/>
      <c r="AJ705" s="188"/>
      <c r="CC705" s="562"/>
      <c r="CD705" s="425"/>
    </row>
    <row r="706" spans="2:82" ht="30" customHeight="1" x14ac:dyDescent="0.3">
      <c r="B706" s="562"/>
      <c r="C706" s="563"/>
      <c r="D706" s="425"/>
      <c r="E706" s="250" t="str">
        <f t="shared" si="91"/>
        <v/>
      </c>
      <c r="F706" s="556"/>
      <c r="G706" s="252" t="str">
        <f>IFERROR(VLOOKUP(F706,'Data (hidden)'!N:O,2,FALSE),"")</f>
        <v/>
      </c>
      <c r="H706" s="557"/>
      <c r="I706" s="558"/>
      <c r="J706" s="123">
        <f t="shared" si="87"/>
        <v>0</v>
      </c>
      <c r="K706" s="123" t="e">
        <f t="shared" si="88"/>
        <v>#VALUE!</v>
      </c>
      <c r="L706" s="123">
        <f t="shared" si="85"/>
        <v>0</v>
      </c>
      <c r="M706" s="124" t="str">
        <f t="shared" si="86"/>
        <v/>
      </c>
      <c r="N706" s="112"/>
      <c r="O706" s="101"/>
      <c r="P706" s="101"/>
      <c r="Q706" s="101"/>
      <c r="R706" s="102"/>
      <c r="S706" s="102"/>
      <c r="T706" s="102"/>
      <c r="U706" s="103"/>
      <c r="V706" s="100"/>
      <c r="W706" s="101"/>
      <c r="X706" s="113"/>
      <c r="Y706" s="114"/>
      <c r="Z706" s="102"/>
      <c r="AA706" s="101"/>
      <c r="AB706" s="111"/>
      <c r="AE706" s="187"/>
      <c r="AF706" s="185"/>
      <c r="AG706" s="185" t="str">
        <f t="shared" si="89"/>
        <v/>
      </c>
      <c r="AH706" s="186" t="str">
        <f t="shared" si="90"/>
        <v/>
      </c>
      <c r="AI706" s="185"/>
      <c r="AJ706" s="188"/>
      <c r="CC706" s="562"/>
      <c r="CD706" s="425"/>
    </row>
    <row r="707" spans="2:82" ht="30" customHeight="1" x14ac:dyDescent="0.3">
      <c r="B707" s="562"/>
      <c r="C707" s="563"/>
      <c r="D707" s="425"/>
      <c r="E707" s="250" t="str">
        <f t="shared" si="91"/>
        <v/>
      </c>
      <c r="F707" s="556"/>
      <c r="G707" s="252" t="str">
        <f>IFERROR(VLOOKUP(F707,'Data (hidden)'!N:O,2,FALSE),"")</f>
        <v/>
      </c>
      <c r="H707" s="557"/>
      <c r="I707" s="558"/>
      <c r="J707" s="123">
        <f t="shared" si="87"/>
        <v>0</v>
      </c>
      <c r="K707" s="123" t="e">
        <f t="shared" si="88"/>
        <v>#VALUE!</v>
      </c>
      <c r="L707" s="123">
        <f t="shared" si="85"/>
        <v>0</v>
      </c>
      <c r="M707" s="124" t="str">
        <f t="shared" si="86"/>
        <v/>
      </c>
      <c r="N707" s="112"/>
      <c r="O707" s="101"/>
      <c r="P707" s="101"/>
      <c r="Q707" s="101"/>
      <c r="R707" s="102"/>
      <c r="S707" s="102"/>
      <c r="T707" s="102"/>
      <c r="U707" s="103"/>
      <c r="V707" s="100"/>
      <c r="W707" s="101"/>
      <c r="X707" s="113"/>
      <c r="Y707" s="114"/>
      <c r="Z707" s="102"/>
      <c r="AA707" s="101"/>
      <c r="AB707" s="111"/>
      <c r="AE707" s="187"/>
      <c r="AF707" s="185"/>
      <c r="AG707" s="185" t="str">
        <f t="shared" si="89"/>
        <v/>
      </c>
      <c r="AH707" s="186" t="str">
        <f t="shared" si="90"/>
        <v/>
      </c>
      <c r="AI707" s="185"/>
      <c r="AJ707" s="188"/>
      <c r="CC707" s="562"/>
      <c r="CD707" s="425"/>
    </row>
    <row r="708" spans="2:82" ht="30" customHeight="1" x14ac:dyDescent="0.3">
      <c r="B708" s="562"/>
      <c r="C708" s="563"/>
      <c r="D708" s="425"/>
      <c r="E708" s="250" t="str">
        <f t="shared" si="91"/>
        <v/>
      </c>
      <c r="F708" s="556"/>
      <c r="G708" s="252" t="str">
        <f>IFERROR(VLOOKUP(F708,'Data (hidden)'!N:O,2,FALSE),"")</f>
        <v/>
      </c>
      <c r="H708" s="557"/>
      <c r="I708" s="558"/>
      <c r="J708" s="123">
        <f t="shared" si="87"/>
        <v>0</v>
      </c>
      <c r="K708" s="123" t="e">
        <f t="shared" si="88"/>
        <v>#VALUE!</v>
      </c>
      <c r="L708" s="123">
        <f t="shared" si="85"/>
        <v>0</v>
      </c>
      <c r="M708" s="124" t="str">
        <f t="shared" si="86"/>
        <v/>
      </c>
      <c r="N708" s="112"/>
      <c r="O708" s="101"/>
      <c r="P708" s="101"/>
      <c r="Q708" s="101"/>
      <c r="R708" s="102"/>
      <c r="S708" s="102"/>
      <c r="T708" s="102"/>
      <c r="U708" s="103"/>
      <c r="V708" s="100"/>
      <c r="W708" s="101"/>
      <c r="X708" s="113"/>
      <c r="Y708" s="114"/>
      <c r="Z708" s="102"/>
      <c r="AA708" s="101"/>
      <c r="AB708" s="111"/>
      <c r="AE708" s="187"/>
      <c r="AF708" s="185"/>
      <c r="AG708" s="185" t="str">
        <f t="shared" si="89"/>
        <v/>
      </c>
      <c r="AH708" s="186" t="str">
        <f t="shared" si="90"/>
        <v/>
      </c>
      <c r="AI708" s="185"/>
      <c r="AJ708" s="188"/>
      <c r="CC708" s="562"/>
      <c r="CD708" s="425"/>
    </row>
    <row r="709" spans="2:82" ht="30" customHeight="1" x14ac:dyDescent="0.3">
      <c r="B709" s="562"/>
      <c r="C709" s="563"/>
      <c r="D709" s="425"/>
      <c r="E709" s="250" t="str">
        <f t="shared" si="91"/>
        <v/>
      </c>
      <c r="F709" s="556"/>
      <c r="G709" s="252" t="str">
        <f>IFERROR(VLOOKUP(F709,'Data (hidden)'!N:O,2,FALSE),"")</f>
        <v/>
      </c>
      <c r="H709" s="557"/>
      <c r="I709" s="558"/>
      <c r="J709" s="123">
        <f t="shared" si="87"/>
        <v>0</v>
      </c>
      <c r="K709" s="123" t="e">
        <f t="shared" si="88"/>
        <v>#VALUE!</v>
      </c>
      <c r="L709" s="123">
        <f t="shared" si="85"/>
        <v>0</v>
      </c>
      <c r="M709" s="124" t="str">
        <f t="shared" si="86"/>
        <v/>
      </c>
      <c r="N709" s="112"/>
      <c r="O709" s="101"/>
      <c r="P709" s="101"/>
      <c r="Q709" s="101"/>
      <c r="R709" s="102"/>
      <c r="S709" s="102"/>
      <c r="T709" s="102"/>
      <c r="U709" s="103"/>
      <c r="V709" s="100"/>
      <c r="W709" s="101"/>
      <c r="X709" s="113"/>
      <c r="Y709" s="114"/>
      <c r="Z709" s="102"/>
      <c r="AA709" s="101"/>
      <c r="AB709" s="111"/>
      <c r="AE709" s="187"/>
      <c r="AF709" s="185"/>
      <c r="AG709" s="185" t="str">
        <f t="shared" si="89"/>
        <v/>
      </c>
      <c r="AH709" s="186" t="str">
        <f t="shared" si="90"/>
        <v/>
      </c>
      <c r="AI709" s="185"/>
      <c r="AJ709" s="188"/>
      <c r="CC709" s="562"/>
      <c r="CD709" s="425"/>
    </row>
    <row r="710" spans="2:82" ht="30" customHeight="1" x14ac:dyDescent="0.3">
      <c r="B710" s="562"/>
      <c r="C710" s="563"/>
      <c r="D710" s="425"/>
      <c r="E710" s="250" t="str">
        <f t="shared" si="91"/>
        <v/>
      </c>
      <c r="F710" s="556"/>
      <c r="G710" s="252" t="str">
        <f>IFERROR(VLOOKUP(F710,'Data (hidden)'!N:O,2,FALSE),"")</f>
        <v/>
      </c>
      <c r="H710" s="557"/>
      <c r="I710" s="558"/>
      <c r="J710" s="123">
        <f t="shared" si="87"/>
        <v>0</v>
      </c>
      <c r="K710" s="123" t="e">
        <f t="shared" si="88"/>
        <v>#VALUE!</v>
      </c>
      <c r="L710" s="123">
        <f t="shared" si="85"/>
        <v>0</v>
      </c>
      <c r="M710" s="124" t="str">
        <f t="shared" si="86"/>
        <v/>
      </c>
      <c r="N710" s="112"/>
      <c r="O710" s="101"/>
      <c r="P710" s="101"/>
      <c r="Q710" s="101"/>
      <c r="R710" s="102"/>
      <c r="S710" s="102"/>
      <c r="T710" s="102"/>
      <c r="U710" s="103"/>
      <c r="V710" s="100"/>
      <c r="W710" s="101"/>
      <c r="X710" s="113"/>
      <c r="Y710" s="114"/>
      <c r="Z710" s="102"/>
      <c r="AA710" s="101"/>
      <c r="AB710" s="111"/>
      <c r="AE710" s="187"/>
      <c r="AF710" s="185"/>
      <c r="AG710" s="185" t="str">
        <f t="shared" si="89"/>
        <v/>
      </c>
      <c r="AH710" s="186" t="str">
        <f t="shared" si="90"/>
        <v/>
      </c>
      <c r="AI710" s="185"/>
      <c r="AJ710" s="188"/>
      <c r="CC710" s="562"/>
      <c r="CD710" s="425"/>
    </row>
    <row r="711" spans="2:82" ht="30" customHeight="1" x14ac:dyDescent="0.3">
      <c r="B711" s="562"/>
      <c r="C711" s="563"/>
      <c r="D711" s="425"/>
      <c r="E711" s="250" t="str">
        <f t="shared" si="91"/>
        <v/>
      </c>
      <c r="F711" s="556"/>
      <c r="G711" s="252" t="str">
        <f>IFERROR(VLOOKUP(F711,'Data (hidden)'!N:O,2,FALSE),"")</f>
        <v/>
      </c>
      <c r="H711" s="557"/>
      <c r="I711" s="558"/>
      <c r="J711" s="123">
        <f t="shared" si="87"/>
        <v>0</v>
      </c>
      <c r="K711" s="123" t="e">
        <f t="shared" si="88"/>
        <v>#VALUE!</v>
      </c>
      <c r="L711" s="123">
        <f t="shared" si="85"/>
        <v>0</v>
      </c>
      <c r="M711" s="124" t="str">
        <f t="shared" si="86"/>
        <v/>
      </c>
      <c r="N711" s="112"/>
      <c r="O711" s="101"/>
      <c r="P711" s="101"/>
      <c r="Q711" s="101"/>
      <c r="R711" s="102"/>
      <c r="S711" s="102"/>
      <c r="T711" s="102"/>
      <c r="U711" s="103"/>
      <c r="V711" s="100"/>
      <c r="W711" s="101"/>
      <c r="X711" s="113"/>
      <c r="Y711" s="114"/>
      <c r="Z711" s="102"/>
      <c r="AA711" s="101"/>
      <c r="AB711" s="111"/>
      <c r="AE711" s="187"/>
      <c r="AF711" s="185"/>
      <c r="AG711" s="185" t="str">
        <f t="shared" si="89"/>
        <v/>
      </c>
      <c r="AH711" s="186" t="str">
        <f t="shared" si="90"/>
        <v/>
      </c>
      <c r="AI711" s="185"/>
      <c r="AJ711" s="188"/>
      <c r="CC711" s="562"/>
      <c r="CD711" s="425"/>
    </row>
    <row r="712" spans="2:82" ht="30" customHeight="1" x14ac:dyDescent="0.3">
      <c r="B712" s="562"/>
      <c r="C712" s="563"/>
      <c r="D712" s="425"/>
      <c r="E712" s="250" t="str">
        <f t="shared" si="91"/>
        <v/>
      </c>
      <c r="F712" s="556"/>
      <c r="G712" s="252" t="str">
        <f>IFERROR(VLOOKUP(F712,'Data (hidden)'!N:O,2,FALSE),"")</f>
        <v/>
      </c>
      <c r="H712" s="557"/>
      <c r="I712" s="558"/>
      <c r="J712" s="123">
        <f t="shared" si="87"/>
        <v>0</v>
      </c>
      <c r="K712" s="123" t="e">
        <f t="shared" si="88"/>
        <v>#VALUE!</v>
      </c>
      <c r="L712" s="123">
        <f t="shared" si="85"/>
        <v>0</v>
      </c>
      <c r="M712" s="124" t="str">
        <f t="shared" si="86"/>
        <v/>
      </c>
      <c r="N712" s="112"/>
      <c r="O712" s="101"/>
      <c r="P712" s="101"/>
      <c r="Q712" s="101"/>
      <c r="R712" s="102"/>
      <c r="S712" s="102"/>
      <c r="T712" s="102"/>
      <c r="U712" s="103"/>
      <c r="V712" s="100"/>
      <c r="W712" s="101"/>
      <c r="X712" s="113"/>
      <c r="Y712" s="114"/>
      <c r="Z712" s="102"/>
      <c r="AA712" s="101"/>
      <c r="AB712" s="111"/>
      <c r="AE712" s="187"/>
      <c r="AF712" s="185"/>
      <c r="AG712" s="185" t="str">
        <f t="shared" si="89"/>
        <v/>
      </c>
      <c r="AH712" s="186" t="str">
        <f t="shared" si="90"/>
        <v/>
      </c>
      <c r="AI712" s="185"/>
      <c r="AJ712" s="188"/>
      <c r="CC712" s="562"/>
      <c r="CD712" s="425"/>
    </row>
    <row r="713" spans="2:82" ht="30" customHeight="1" x14ac:dyDescent="0.3">
      <c r="B713" s="562"/>
      <c r="C713" s="563"/>
      <c r="D713" s="425"/>
      <c r="E713" s="250" t="str">
        <f t="shared" si="91"/>
        <v/>
      </c>
      <c r="F713" s="556"/>
      <c r="G713" s="252" t="str">
        <f>IFERROR(VLOOKUP(F713,'Data (hidden)'!N:O,2,FALSE),"")</f>
        <v/>
      </c>
      <c r="H713" s="557"/>
      <c r="I713" s="558"/>
      <c r="J713" s="123">
        <f t="shared" si="87"/>
        <v>0</v>
      </c>
      <c r="K713" s="123" t="e">
        <f t="shared" si="88"/>
        <v>#VALUE!</v>
      </c>
      <c r="L713" s="123">
        <f t="shared" si="85"/>
        <v>0</v>
      </c>
      <c r="M713" s="124" t="str">
        <f t="shared" si="86"/>
        <v/>
      </c>
      <c r="N713" s="112"/>
      <c r="O713" s="101"/>
      <c r="P713" s="101"/>
      <c r="Q713" s="101"/>
      <c r="R713" s="102"/>
      <c r="S713" s="102"/>
      <c r="T713" s="102"/>
      <c r="U713" s="103"/>
      <c r="V713" s="100"/>
      <c r="W713" s="101"/>
      <c r="X713" s="113"/>
      <c r="Y713" s="114"/>
      <c r="Z713" s="102"/>
      <c r="AA713" s="101"/>
      <c r="AB713" s="111"/>
      <c r="AE713" s="187"/>
      <c r="AF713" s="185"/>
      <c r="AG713" s="185" t="str">
        <f t="shared" si="89"/>
        <v/>
      </c>
      <c r="AH713" s="186" t="str">
        <f t="shared" si="90"/>
        <v/>
      </c>
      <c r="AI713" s="185"/>
      <c r="AJ713" s="188"/>
      <c r="CC713" s="562"/>
      <c r="CD713" s="425"/>
    </row>
    <row r="714" spans="2:82" ht="30" customHeight="1" x14ac:dyDescent="0.3">
      <c r="B714" s="562"/>
      <c r="C714" s="563"/>
      <c r="D714" s="425"/>
      <c r="E714" s="250" t="str">
        <f t="shared" si="91"/>
        <v/>
      </c>
      <c r="F714" s="556"/>
      <c r="G714" s="252" t="str">
        <f>IFERROR(VLOOKUP(F714,'Data (hidden)'!N:O,2,FALSE),"")</f>
        <v/>
      </c>
      <c r="H714" s="557"/>
      <c r="I714" s="558"/>
      <c r="J714" s="123">
        <f t="shared" si="87"/>
        <v>0</v>
      </c>
      <c r="K714" s="123" t="e">
        <f t="shared" si="88"/>
        <v>#VALUE!</v>
      </c>
      <c r="L714" s="123">
        <f t="shared" si="85"/>
        <v>0</v>
      </c>
      <c r="M714" s="124" t="str">
        <f t="shared" si="86"/>
        <v/>
      </c>
      <c r="N714" s="112"/>
      <c r="O714" s="101"/>
      <c r="P714" s="101"/>
      <c r="Q714" s="101"/>
      <c r="R714" s="102"/>
      <c r="S714" s="102"/>
      <c r="T714" s="102"/>
      <c r="U714" s="103"/>
      <c r="V714" s="100"/>
      <c r="W714" s="101"/>
      <c r="X714" s="113"/>
      <c r="Y714" s="114"/>
      <c r="Z714" s="102"/>
      <c r="AA714" s="101"/>
      <c r="AB714" s="111"/>
      <c r="AE714" s="187"/>
      <c r="AF714" s="185"/>
      <c r="AG714" s="185" t="str">
        <f t="shared" si="89"/>
        <v/>
      </c>
      <c r="AH714" s="186" t="str">
        <f t="shared" si="90"/>
        <v/>
      </c>
      <c r="AI714" s="185"/>
      <c r="AJ714" s="188"/>
      <c r="CC714" s="562"/>
      <c r="CD714" s="425"/>
    </row>
    <row r="715" spans="2:82" ht="30" customHeight="1" x14ac:dyDescent="0.3">
      <c r="B715" s="562"/>
      <c r="C715" s="563"/>
      <c r="D715" s="425"/>
      <c r="E715" s="250" t="str">
        <f t="shared" si="91"/>
        <v/>
      </c>
      <c r="F715" s="556"/>
      <c r="G715" s="252" t="str">
        <f>IFERROR(VLOOKUP(F715,'Data (hidden)'!N:O,2,FALSE),"")</f>
        <v/>
      </c>
      <c r="H715" s="557"/>
      <c r="I715" s="558"/>
      <c r="J715" s="123">
        <f t="shared" si="87"/>
        <v>0</v>
      </c>
      <c r="K715" s="123" t="e">
        <f t="shared" si="88"/>
        <v>#VALUE!</v>
      </c>
      <c r="L715" s="123">
        <f t="shared" si="85"/>
        <v>0</v>
      </c>
      <c r="M715" s="124" t="str">
        <f t="shared" si="86"/>
        <v/>
      </c>
      <c r="N715" s="112"/>
      <c r="O715" s="101"/>
      <c r="P715" s="101"/>
      <c r="Q715" s="101"/>
      <c r="R715" s="102"/>
      <c r="S715" s="102"/>
      <c r="T715" s="102"/>
      <c r="U715" s="103"/>
      <c r="V715" s="100"/>
      <c r="W715" s="101"/>
      <c r="X715" s="113"/>
      <c r="Y715" s="114"/>
      <c r="Z715" s="102"/>
      <c r="AA715" s="101"/>
      <c r="AB715" s="111"/>
      <c r="AE715" s="187"/>
      <c r="AF715" s="185"/>
      <c r="AG715" s="185" t="str">
        <f t="shared" si="89"/>
        <v/>
      </c>
      <c r="AH715" s="186" t="str">
        <f t="shared" si="90"/>
        <v/>
      </c>
      <c r="AI715" s="185"/>
      <c r="AJ715" s="188"/>
      <c r="CC715" s="562"/>
      <c r="CD715" s="425"/>
    </row>
    <row r="716" spans="2:82" ht="30" customHeight="1" x14ac:dyDescent="0.3">
      <c r="B716" s="562"/>
      <c r="C716" s="563"/>
      <c r="D716" s="425"/>
      <c r="E716" s="250" t="str">
        <f t="shared" si="91"/>
        <v/>
      </c>
      <c r="F716" s="556"/>
      <c r="G716" s="252" t="str">
        <f>IFERROR(VLOOKUP(F716,'Data (hidden)'!N:O,2,FALSE),"")</f>
        <v/>
      </c>
      <c r="H716" s="557"/>
      <c r="I716" s="558"/>
      <c r="J716" s="123">
        <f t="shared" si="87"/>
        <v>0</v>
      </c>
      <c r="K716" s="123" t="e">
        <f t="shared" si="88"/>
        <v>#VALUE!</v>
      </c>
      <c r="L716" s="123">
        <f t="shared" si="85"/>
        <v>0</v>
      </c>
      <c r="M716" s="124" t="str">
        <f t="shared" si="86"/>
        <v/>
      </c>
      <c r="N716" s="112"/>
      <c r="O716" s="101"/>
      <c r="P716" s="101"/>
      <c r="Q716" s="101"/>
      <c r="R716" s="102"/>
      <c r="S716" s="102"/>
      <c r="T716" s="102"/>
      <c r="U716" s="103"/>
      <c r="V716" s="100"/>
      <c r="W716" s="101"/>
      <c r="X716" s="113"/>
      <c r="Y716" s="114"/>
      <c r="Z716" s="102"/>
      <c r="AA716" s="101"/>
      <c r="AB716" s="111"/>
      <c r="AE716" s="187"/>
      <c r="AF716" s="185"/>
      <c r="AG716" s="185" t="str">
        <f t="shared" si="89"/>
        <v/>
      </c>
      <c r="AH716" s="186" t="str">
        <f t="shared" si="90"/>
        <v/>
      </c>
      <c r="AI716" s="185"/>
      <c r="AJ716" s="188"/>
      <c r="CC716" s="562"/>
      <c r="CD716" s="425"/>
    </row>
    <row r="717" spans="2:82" ht="30" customHeight="1" x14ac:dyDescent="0.3">
      <c r="B717" s="562"/>
      <c r="C717" s="563"/>
      <c r="D717" s="425"/>
      <c r="E717" s="250" t="str">
        <f t="shared" si="91"/>
        <v/>
      </c>
      <c r="F717" s="556"/>
      <c r="G717" s="252" t="str">
        <f>IFERROR(VLOOKUP(F717,'Data (hidden)'!N:O,2,FALSE),"")</f>
        <v/>
      </c>
      <c r="H717" s="557"/>
      <c r="I717" s="558"/>
      <c r="J717" s="123">
        <f t="shared" si="87"/>
        <v>0</v>
      </c>
      <c r="K717" s="123" t="e">
        <f t="shared" si="88"/>
        <v>#VALUE!</v>
      </c>
      <c r="L717" s="123">
        <f t="shared" si="85"/>
        <v>0</v>
      </c>
      <c r="M717" s="124" t="str">
        <f t="shared" si="86"/>
        <v/>
      </c>
      <c r="N717" s="112"/>
      <c r="O717" s="101"/>
      <c r="P717" s="101"/>
      <c r="Q717" s="101"/>
      <c r="R717" s="102"/>
      <c r="S717" s="102"/>
      <c r="T717" s="102"/>
      <c r="U717" s="103"/>
      <c r="V717" s="100"/>
      <c r="W717" s="101"/>
      <c r="X717" s="113"/>
      <c r="Y717" s="114"/>
      <c r="Z717" s="102"/>
      <c r="AA717" s="101"/>
      <c r="AB717" s="111"/>
      <c r="AE717" s="187"/>
      <c r="AF717" s="185"/>
      <c r="AG717" s="185" t="str">
        <f t="shared" si="89"/>
        <v/>
      </c>
      <c r="AH717" s="186" t="str">
        <f t="shared" si="90"/>
        <v/>
      </c>
      <c r="AI717" s="185"/>
      <c r="AJ717" s="188"/>
      <c r="CC717" s="562"/>
      <c r="CD717" s="425"/>
    </row>
    <row r="718" spans="2:82" ht="30" customHeight="1" x14ac:dyDescent="0.3">
      <c r="B718" s="562"/>
      <c r="C718" s="563"/>
      <c r="D718" s="425"/>
      <c r="E718" s="250" t="str">
        <f t="shared" si="91"/>
        <v/>
      </c>
      <c r="F718" s="556"/>
      <c r="G718" s="252" t="str">
        <f>IFERROR(VLOOKUP(F718,'Data (hidden)'!N:O,2,FALSE),"")</f>
        <v/>
      </c>
      <c r="H718" s="557"/>
      <c r="I718" s="558"/>
      <c r="J718" s="123">
        <f t="shared" si="87"/>
        <v>0</v>
      </c>
      <c r="K718" s="123" t="e">
        <f t="shared" si="88"/>
        <v>#VALUE!</v>
      </c>
      <c r="L718" s="123">
        <f t="shared" si="85"/>
        <v>0</v>
      </c>
      <c r="M718" s="124" t="str">
        <f t="shared" si="86"/>
        <v/>
      </c>
      <c r="N718" s="112"/>
      <c r="O718" s="101"/>
      <c r="P718" s="101"/>
      <c r="Q718" s="101"/>
      <c r="R718" s="102"/>
      <c r="S718" s="102"/>
      <c r="T718" s="102"/>
      <c r="U718" s="103"/>
      <c r="V718" s="100"/>
      <c r="W718" s="101"/>
      <c r="X718" s="113"/>
      <c r="Y718" s="114"/>
      <c r="Z718" s="102"/>
      <c r="AA718" s="101"/>
      <c r="AB718" s="111"/>
      <c r="AE718" s="187"/>
      <c r="AF718" s="185"/>
      <c r="AG718" s="185" t="str">
        <f t="shared" si="89"/>
        <v/>
      </c>
      <c r="AH718" s="186" t="str">
        <f t="shared" si="90"/>
        <v/>
      </c>
      <c r="AI718" s="185"/>
      <c r="AJ718" s="188"/>
      <c r="CC718" s="562"/>
      <c r="CD718" s="425"/>
    </row>
    <row r="719" spans="2:82" ht="30" customHeight="1" x14ac:dyDescent="0.3">
      <c r="B719" s="562"/>
      <c r="C719" s="563"/>
      <c r="D719" s="425"/>
      <c r="E719" s="250" t="str">
        <f t="shared" si="91"/>
        <v/>
      </c>
      <c r="F719" s="556"/>
      <c r="G719" s="252" t="str">
        <f>IFERROR(VLOOKUP(F719,'Data (hidden)'!N:O,2,FALSE),"")</f>
        <v/>
      </c>
      <c r="H719" s="557"/>
      <c r="I719" s="558"/>
      <c r="J719" s="123">
        <f t="shared" si="87"/>
        <v>0</v>
      </c>
      <c r="K719" s="123" t="e">
        <f t="shared" si="88"/>
        <v>#VALUE!</v>
      </c>
      <c r="L719" s="123">
        <f t="shared" si="85"/>
        <v>0</v>
      </c>
      <c r="M719" s="124" t="str">
        <f t="shared" si="86"/>
        <v/>
      </c>
      <c r="N719" s="112"/>
      <c r="O719" s="101"/>
      <c r="P719" s="101"/>
      <c r="Q719" s="101"/>
      <c r="R719" s="102"/>
      <c r="S719" s="102"/>
      <c r="T719" s="102"/>
      <c r="U719" s="103"/>
      <c r="V719" s="100"/>
      <c r="W719" s="101"/>
      <c r="X719" s="113"/>
      <c r="Y719" s="114"/>
      <c r="Z719" s="102"/>
      <c r="AA719" s="101"/>
      <c r="AB719" s="111"/>
      <c r="AE719" s="187"/>
      <c r="AF719" s="185"/>
      <c r="AG719" s="185" t="str">
        <f t="shared" si="89"/>
        <v/>
      </c>
      <c r="AH719" s="186" t="str">
        <f t="shared" si="90"/>
        <v/>
      </c>
      <c r="AI719" s="185"/>
      <c r="AJ719" s="188"/>
      <c r="CC719" s="562"/>
      <c r="CD719" s="425"/>
    </row>
    <row r="720" spans="2:82" ht="30" customHeight="1" x14ac:dyDescent="0.3">
      <c r="B720" s="562"/>
      <c r="C720" s="563"/>
      <c r="D720" s="425"/>
      <c r="E720" s="250" t="str">
        <f t="shared" si="91"/>
        <v/>
      </c>
      <c r="F720" s="556"/>
      <c r="G720" s="252" t="str">
        <f>IFERROR(VLOOKUP(F720,'Data (hidden)'!N:O,2,FALSE),"")</f>
        <v/>
      </c>
      <c r="H720" s="557"/>
      <c r="I720" s="558"/>
      <c r="J720" s="123">
        <f t="shared" si="87"/>
        <v>0</v>
      </c>
      <c r="K720" s="123" t="e">
        <f t="shared" si="88"/>
        <v>#VALUE!</v>
      </c>
      <c r="L720" s="123">
        <f t="shared" si="85"/>
        <v>0</v>
      </c>
      <c r="M720" s="124" t="str">
        <f t="shared" si="86"/>
        <v/>
      </c>
      <c r="N720" s="112"/>
      <c r="O720" s="101"/>
      <c r="P720" s="101"/>
      <c r="Q720" s="101"/>
      <c r="R720" s="102"/>
      <c r="S720" s="102"/>
      <c r="T720" s="102"/>
      <c r="U720" s="103"/>
      <c r="V720" s="100"/>
      <c r="W720" s="101"/>
      <c r="X720" s="113"/>
      <c r="Y720" s="114"/>
      <c r="Z720" s="102"/>
      <c r="AA720" s="101"/>
      <c r="AB720" s="111"/>
      <c r="AE720" s="187"/>
      <c r="AF720" s="185"/>
      <c r="AG720" s="185" t="str">
        <f t="shared" si="89"/>
        <v/>
      </c>
      <c r="AH720" s="186" t="str">
        <f t="shared" si="90"/>
        <v/>
      </c>
      <c r="AI720" s="185"/>
      <c r="AJ720" s="188"/>
      <c r="CC720" s="562"/>
      <c r="CD720" s="425"/>
    </row>
    <row r="721" spans="2:82" ht="30" customHeight="1" x14ac:dyDescent="0.3">
      <c r="B721" s="562"/>
      <c r="C721" s="563"/>
      <c r="D721" s="425"/>
      <c r="E721" s="250" t="str">
        <f t="shared" si="91"/>
        <v/>
      </c>
      <c r="F721" s="556"/>
      <c r="G721" s="252" t="str">
        <f>IFERROR(VLOOKUP(F721,'Data (hidden)'!N:O,2,FALSE),"")</f>
        <v/>
      </c>
      <c r="H721" s="557"/>
      <c r="I721" s="558"/>
      <c r="J721" s="123">
        <f t="shared" si="87"/>
        <v>0</v>
      </c>
      <c r="K721" s="123" t="e">
        <f t="shared" si="88"/>
        <v>#VALUE!</v>
      </c>
      <c r="L721" s="123">
        <f t="shared" si="85"/>
        <v>0</v>
      </c>
      <c r="M721" s="124" t="str">
        <f t="shared" si="86"/>
        <v/>
      </c>
      <c r="N721" s="112"/>
      <c r="O721" s="101"/>
      <c r="P721" s="101"/>
      <c r="Q721" s="101"/>
      <c r="R721" s="102"/>
      <c r="S721" s="102"/>
      <c r="T721" s="102"/>
      <c r="U721" s="103"/>
      <c r="V721" s="100"/>
      <c r="W721" s="101"/>
      <c r="X721" s="113"/>
      <c r="Y721" s="114"/>
      <c r="Z721" s="102"/>
      <c r="AA721" s="101"/>
      <c r="AB721" s="111"/>
      <c r="AE721" s="187"/>
      <c r="AF721" s="185"/>
      <c r="AG721" s="185" t="str">
        <f t="shared" si="89"/>
        <v/>
      </c>
      <c r="AH721" s="186" t="str">
        <f t="shared" si="90"/>
        <v/>
      </c>
      <c r="AI721" s="185"/>
      <c r="AJ721" s="188"/>
      <c r="CC721" s="562"/>
      <c r="CD721" s="425"/>
    </row>
    <row r="722" spans="2:82" ht="30" customHeight="1" x14ac:dyDescent="0.3">
      <c r="B722" s="562"/>
      <c r="C722" s="563"/>
      <c r="D722" s="425"/>
      <c r="E722" s="250" t="str">
        <f t="shared" si="91"/>
        <v/>
      </c>
      <c r="F722" s="556"/>
      <c r="G722" s="252" t="str">
        <f>IFERROR(VLOOKUP(F722,'Data (hidden)'!N:O,2,FALSE),"")</f>
        <v/>
      </c>
      <c r="H722" s="557"/>
      <c r="I722" s="558"/>
      <c r="J722" s="123">
        <f t="shared" si="87"/>
        <v>0</v>
      </c>
      <c r="K722" s="123" t="e">
        <f t="shared" si="88"/>
        <v>#VALUE!</v>
      </c>
      <c r="L722" s="123">
        <f t="shared" si="85"/>
        <v>0</v>
      </c>
      <c r="M722" s="124" t="str">
        <f t="shared" si="86"/>
        <v/>
      </c>
      <c r="N722" s="112"/>
      <c r="O722" s="101"/>
      <c r="P722" s="101"/>
      <c r="Q722" s="101"/>
      <c r="R722" s="102"/>
      <c r="S722" s="102"/>
      <c r="T722" s="102"/>
      <c r="U722" s="103"/>
      <c r="V722" s="100"/>
      <c r="W722" s="101"/>
      <c r="X722" s="113"/>
      <c r="Y722" s="114"/>
      <c r="Z722" s="102"/>
      <c r="AA722" s="101"/>
      <c r="AB722" s="111"/>
      <c r="AE722" s="187"/>
      <c r="AF722" s="185"/>
      <c r="AG722" s="185" t="str">
        <f t="shared" si="89"/>
        <v/>
      </c>
      <c r="AH722" s="186" t="str">
        <f t="shared" si="90"/>
        <v/>
      </c>
      <c r="AI722" s="185"/>
      <c r="AJ722" s="188"/>
      <c r="CC722" s="562"/>
      <c r="CD722" s="425"/>
    </row>
    <row r="723" spans="2:82" ht="30" customHeight="1" x14ac:dyDescent="0.3">
      <c r="B723" s="562"/>
      <c r="C723" s="563"/>
      <c r="D723" s="425"/>
      <c r="E723" s="250" t="str">
        <f t="shared" si="91"/>
        <v/>
      </c>
      <c r="F723" s="556"/>
      <c r="G723" s="252" t="str">
        <f>IFERROR(VLOOKUP(F723,'Data (hidden)'!N:O,2,FALSE),"")</f>
        <v/>
      </c>
      <c r="H723" s="557"/>
      <c r="I723" s="558"/>
      <c r="J723" s="123">
        <f t="shared" si="87"/>
        <v>0</v>
      </c>
      <c r="K723" s="123" t="e">
        <f t="shared" si="88"/>
        <v>#VALUE!</v>
      </c>
      <c r="L723" s="123">
        <f t="shared" ref="L723:L786" si="92">D723*0.01</f>
        <v>0</v>
      </c>
      <c r="M723" s="124" t="str">
        <f t="shared" ref="M723:M786" si="93">IFERROR(K723*I723,"")</f>
        <v/>
      </c>
      <c r="N723" s="112"/>
      <c r="O723" s="101"/>
      <c r="P723" s="101"/>
      <c r="Q723" s="101"/>
      <c r="R723" s="102"/>
      <c r="S723" s="102"/>
      <c r="T723" s="102"/>
      <c r="U723" s="103"/>
      <c r="V723" s="100"/>
      <c r="W723" s="101"/>
      <c r="X723" s="113"/>
      <c r="Y723" s="114"/>
      <c r="Z723" s="102"/>
      <c r="AA723" s="101"/>
      <c r="AB723" s="111"/>
      <c r="AE723" s="187"/>
      <c r="AF723" s="185"/>
      <c r="AG723" s="185" t="str">
        <f t="shared" si="89"/>
        <v/>
      </c>
      <c r="AH723" s="186" t="str">
        <f t="shared" si="90"/>
        <v/>
      </c>
      <c r="AI723" s="185"/>
      <c r="AJ723" s="188"/>
      <c r="CC723" s="562"/>
      <c r="CD723" s="425"/>
    </row>
    <row r="724" spans="2:82" ht="30" customHeight="1" x14ac:dyDescent="0.3">
      <c r="B724" s="562"/>
      <c r="C724" s="563"/>
      <c r="D724" s="425"/>
      <c r="E724" s="250" t="str">
        <f t="shared" si="91"/>
        <v/>
      </c>
      <c r="F724" s="556"/>
      <c r="G724" s="252" t="str">
        <f>IFERROR(VLOOKUP(F724,'Data (hidden)'!N:O,2,FALSE),"")</f>
        <v/>
      </c>
      <c r="H724" s="557"/>
      <c r="I724" s="558"/>
      <c r="J724" s="123">
        <f t="shared" ref="J724:J787" si="94">H724*0.01</f>
        <v>0</v>
      </c>
      <c r="K724" s="123" t="e">
        <f t="shared" ref="K724:K787" si="95">E724*J724</f>
        <v>#VALUE!</v>
      </c>
      <c r="L724" s="123">
        <f t="shared" si="92"/>
        <v>0</v>
      </c>
      <c r="M724" s="124" t="str">
        <f t="shared" si="93"/>
        <v/>
      </c>
      <c r="N724" s="112"/>
      <c r="O724" s="101"/>
      <c r="P724" s="101"/>
      <c r="Q724" s="101"/>
      <c r="R724" s="102"/>
      <c r="S724" s="102"/>
      <c r="T724" s="102"/>
      <c r="U724" s="103"/>
      <c r="V724" s="100"/>
      <c r="W724" s="101"/>
      <c r="X724" s="113"/>
      <c r="Y724" s="114"/>
      <c r="Z724" s="102"/>
      <c r="AA724" s="101"/>
      <c r="AB724" s="111"/>
      <c r="AE724" s="187"/>
      <c r="AF724" s="185"/>
      <c r="AG724" s="185" t="str">
        <f t="shared" ref="AG724:AG787" si="96">IF(ISNUMBER(B724), B724, "")</f>
        <v/>
      </c>
      <c r="AH724" s="186" t="str">
        <f t="shared" ref="AH724:AH787" si="97">E724</f>
        <v/>
      </c>
      <c r="AI724" s="185"/>
      <c r="AJ724" s="188"/>
      <c r="CC724" s="562"/>
      <c r="CD724" s="425"/>
    </row>
    <row r="725" spans="2:82" ht="30" customHeight="1" x14ac:dyDescent="0.3">
      <c r="B725" s="562"/>
      <c r="C725" s="563"/>
      <c r="D725" s="425"/>
      <c r="E725" s="250" t="str">
        <f t="shared" si="91"/>
        <v/>
      </c>
      <c r="F725" s="556"/>
      <c r="G725" s="252" t="str">
        <f>IFERROR(VLOOKUP(F725,'Data (hidden)'!N:O,2,FALSE),"")</f>
        <v/>
      </c>
      <c r="H725" s="557"/>
      <c r="I725" s="558"/>
      <c r="J725" s="123">
        <f t="shared" si="94"/>
        <v>0</v>
      </c>
      <c r="K725" s="123" t="e">
        <f t="shared" si="95"/>
        <v>#VALUE!</v>
      </c>
      <c r="L725" s="123">
        <f t="shared" si="92"/>
        <v>0</v>
      </c>
      <c r="M725" s="124" t="str">
        <f t="shared" si="93"/>
        <v/>
      </c>
      <c r="N725" s="112"/>
      <c r="O725" s="101"/>
      <c r="P725" s="101"/>
      <c r="Q725" s="101"/>
      <c r="R725" s="102"/>
      <c r="S725" s="102"/>
      <c r="T725" s="102"/>
      <c r="U725" s="103"/>
      <c r="V725" s="100"/>
      <c r="W725" s="101"/>
      <c r="X725" s="113"/>
      <c r="Y725" s="114"/>
      <c r="Z725" s="102"/>
      <c r="AA725" s="101"/>
      <c r="AB725" s="111"/>
      <c r="AE725" s="187"/>
      <c r="AF725" s="185"/>
      <c r="AG725" s="185" t="str">
        <f t="shared" si="96"/>
        <v/>
      </c>
      <c r="AH725" s="186" t="str">
        <f t="shared" si="97"/>
        <v/>
      </c>
      <c r="AI725" s="185"/>
      <c r="AJ725" s="188"/>
      <c r="CC725" s="562"/>
      <c r="CD725" s="425"/>
    </row>
    <row r="726" spans="2:82" ht="30" customHeight="1" x14ac:dyDescent="0.3">
      <c r="B726" s="562"/>
      <c r="C726" s="563"/>
      <c r="D726" s="425"/>
      <c r="E726" s="250" t="str">
        <f t="shared" si="91"/>
        <v/>
      </c>
      <c r="F726" s="556"/>
      <c r="G726" s="252" t="str">
        <f>IFERROR(VLOOKUP(F726,'Data (hidden)'!N:O,2,FALSE),"")</f>
        <v/>
      </c>
      <c r="H726" s="557"/>
      <c r="I726" s="558"/>
      <c r="J726" s="123">
        <f t="shared" si="94"/>
        <v>0</v>
      </c>
      <c r="K726" s="123" t="e">
        <f t="shared" si="95"/>
        <v>#VALUE!</v>
      </c>
      <c r="L726" s="123">
        <f t="shared" si="92"/>
        <v>0</v>
      </c>
      <c r="M726" s="124" t="str">
        <f t="shared" si="93"/>
        <v/>
      </c>
      <c r="N726" s="112"/>
      <c r="O726" s="101"/>
      <c r="P726" s="101"/>
      <c r="Q726" s="101"/>
      <c r="R726" s="102"/>
      <c r="S726" s="102"/>
      <c r="T726" s="102"/>
      <c r="U726" s="103"/>
      <c r="V726" s="100"/>
      <c r="W726" s="101"/>
      <c r="X726" s="113"/>
      <c r="Y726" s="114"/>
      <c r="Z726" s="102"/>
      <c r="AA726" s="101"/>
      <c r="AB726" s="111"/>
      <c r="AE726" s="187"/>
      <c r="AF726" s="185"/>
      <c r="AG726" s="185" t="str">
        <f t="shared" si="96"/>
        <v/>
      </c>
      <c r="AH726" s="186" t="str">
        <f t="shared" si="97"/>
        <v/>
      </c>
      <c r="AI726" s="185"/>
      <c r="AJ726" s="188"/>
      <c r="CC726" s="562"/>
      <c r="CD726" s="425"/>
    </row>
    <row r="727" spans="2:82" ht="30" customHeight="1" x14ac:dyDescent="0.3">
      <c r="B727" s="562"/>
      <c r="C727" s="563"/>
      <c r="D727" s="425"/>
      <c r="E727" s="250" t="str">
        <f t="shared" si="91"/>
        <v/>
      </c>
      <c r="F727" s="556"/>
      <c r="G727" s="252" t="str">
        <f>IFERROR(VLOOKUP(F727,'Data (hidden)'!N:O,2,FALSE),"")</f>
        <v/>
      </c>
      <c r="H727" s="557"/>
      <c r="I727" s="558"/>
      <c r="J727" s="123">
        <f t="shared" si="94"/>
        <v>0</v>
      </c>
      <c r="K727" s="123" t="e">
        <f t="shared" si="95"/>
        <v>#VALUE!</v>
      </c>
      <c r="L727" s="123">
        <f t="shared" si="92"/>
        <v>0</v>
      </c>
      <c r="M727" s="124" t="str">
        <f t="shared" si="93"/>
        <v/>
      </c>
      <c r="N727" s="112"/>
      <c r="O727" s="101"/>
      <c r="P727" s="101"/>
      <c r="Q727" s="101"/>
      <c r="R727" s="102"/>
      <c r="S727" s="102"/>
      <c r="T727" s="102"/>
      <c r="U727" s="103"/>
      <c r="V727" s="100"/>
      <c r="W727" s="101"/>
      <c r="X727" s="113"/>
      <c r="Y727" s="114"/>
      <c r="Z727" s="102"/>
      <c r="AA727" s="101"/>
      <c r="AB727" s="111"/>
      <c r="AE727" s="187"/>
      <c r="AF727" s="185"/>
      <c r="AG727" s="185" t="str">
        <f t="shared" si="96"/>
        <v/>
      </c>
      <c r="AH727" s="186" t="str">
        <f t="shared" si="97"/>
        <v/>
      </c>
      <c r="AI727" s="185"/>
      <c r="AJ727" s="188"/>
      <c r="CC727" s="562"/>
      <c r="CD727" s="425"/>
    </row>
    <row r="728" spans="2:82" ht="30" customHeight="1" x14ac:dyDescent="0.3">
      <c r="B728" s="562"/>
      <c r="C728" s="563"/>
      <c r="D728" s="425"/>
      <c r="E728" s="250" t="str">
        <f t="shared" si="91"/>
        <v/>
      </c>
      <c r="F728" s="556"/>
      <c r="G728" s="252" t="str">
        <f>IFERROR(VLOOKUP(F728,'Data (hidden)'!N:O,2,FALSE),"")</f>
        <v/>
      </c>
      <c r="H728" s="557"/>
      <c r="I728" s="558"/>
      <c r="J728" s="123">
        <f t="shared" si="94"/>
        <v>0</v>
      </c>
      <c r="K728" s="123" t="e">
        <f t="shared" si="95"/>
        <v>#VALUE!</v>
      </c>
      <c r="L728" s="123">
        <f t="shared" si="92"/>
        <v>0</v>
      </c>
      <c r="M728" s="124" t="str">
        <f t="shared" si="93"/>
        <v/>
      </c>
      <c r="N728" s="112"/>
      <c r="O728" s="101"/>
      <c r="P728" s="101"/>
      <c r="Q728" s="101"/>
      <c r="R728" s="102"/>
      <c r="S728" s="102"/>
      <c r="T728" s="102"/>
      <c r="U728" s="103"/>
      <c r="V728" s="100"/>
      <c r="W728" s="101"/>
      <c r="X728" s="113"/>
      <c r="Y728" s="114"/>
      <c r="Z728" s="102"/>
      <c r="AA728" s="101"/>
      <c r="AB728" s="111"/>
      <c r="AE728" s="187"/>
      <c r="AF728" s="185"/>
      <c r="AG728" s="185" t="str">
        <f t="shared" si="96"/>
        <v/>
      </c>
      <c r="AH728" s="186" t="str">
        <f t="shared" si="97"/>
        <v/>
      </c>
      <c r="AI728" s="185"/>
      <c r="AJ728" s="188"/>
      <c r="CC728" s="562"/>
      <c r="CD728" s="425"/>
    </row>
    <row r="729" spans="2:82" ht="30" customHeight="1" x14ac:dyDescent="0.3">
      <c r="B729" s="562"/>
      <c r="C729" s="563"/>
      <c r="D729" s="425"/>
      <c r="E729" s="250" t="str">
        <f t="shared" si="91"/>
        <v/>
      </c>
      <c r="F729" s="556"/>
      <c r="G729" s="252" t="str">
        <f>IFERROR(VLOOKUP(F729,'Data (hidden)'!N:O,2,FALSE),"")</f>
        <v/>
      </c>
      <c r="H729" s="557"/>
      <c r="I729" s="558"/>
      <c r="J729" s="123">
        <f t="shared" si="94"/>
        <v>0</v>
      </c>
      <c r="K729" s="123" t="e">
        <f t="shared" si="95"/>
        <v>#VALUE!</v>
      </c>
      <c r="L729" s="123">
        <f t="shared" si="92"/>
        <v>0</v>
      </c>
      <c r="M729" s="124" t="str">
        <f t="shared" si="93"/>
        <v/>
      </c>
      <c r="N729" s="112"/>
      <c r="O729" s="101"/>
      <c r="P729" s="101"/>
      <c r="Q729" s="101"/>
      <c r="R729" s="102"/>
      <c r="S729" s="102"/>
      <c r="T729" s="102"/>
      <c r="U729" s="103"/>
      <c r="V729" s="100"/>
      <c r="W729" s="101"/>
      <c r="X729" s="113"/>
      <c r="Y729" s="114"/>
      <c r="Z729" s="102"/>
      <c r="AA729" s="101"/>
      <c r="AB729" s="111"/>
      <c r="AE729" s="187"/>
      <c r="AF729" s="185"/>
      <c r="AG729" s="185" t="str">
        <f t="shared" si="96"/>
        <v/>
      </c>
      <c r="AH729" s="186" t="str">
        <f t="shared" si="97"/>
        <v/>
      </c>
      <c r="AI729" s="185"/>
      <c r="AJ729" s="188"/>
      <c r="CC729" s="562"/>
      <c r="CD729" s="425"/>
    </row>
    <row r="730" spans="2:82" ht="30" customHeight="1" x14ac:dyDescent="0.3">
      <c r="B730" s="562"/>
      <c r="C730" s="563"/>
      <c r="D730" s="425"/>
      <c r="E730" s="250" t="str">
        <f t="shared" si="91"/>
        <v/>
      </c>
      <c r="F730" s="556"/>
      <c r="G730" s="252" t="str">
        <f>IFERROR(VLOOKUP(F730,'Data (hidden)'!N:O,2,FALSE),"")</f>
        <v/>
      </c>
      <c r="H730" s="557"/>
      <c r="I730" s="558"/>
      <c r="J730" s="123">
        <f t="shared" si="94"/>
        <v>0</v>
      </c>
      <c r="K730" s="123" t="e">
        <f t="shared" si="95"/>
        <v>#VALUE!</v>
      </c>
      <c r="L730" s="123">
        <f t="shared" si="92"/>
        <v>0</v>
      </c>
      <c r="M730" s="124" t="str">
        <f t="shared" si="93"/>
        <v/>
      </c>
      <c r="N730" s="112"/>
      <c r="O730" s="101"/>
      <c r="P730" s="101"/>
      <c r="Q730" s="101"/>
      <c r="R730" s="102"/>
      <c r="S730" s="102"/>
      <c r="T730" s="102"/>
      <c r="U730" s="103"/>
      <c r="V730" s="100"/>
      <c r="W730" s="101"/>
      <c r="X730" s="113"/>
      <c r="Y730" s="114"/>
      <c r="Z730" s="102"/>
      <c r="AA730" s="101"/>
      <c r="AB730" s="111"/>
      <c r="AE730" s="187"/>
      <c r="AF730" s="185"/>
      <c r="AG730" s="185" t="str">
        <f t="shared" si="96"/>
        <v/>
      </c>
      <c r="AH730" s="186" t="str">
        <f t="shared" si="97"/>
        <v/>
      </c>
      <c r="AI730" s="185"/>
      <c r="AJ730" s="188"/>
      <c r="CC730" s="562"/>
      <c r="CD730" s="425"/>
    </row>
    <row r="731" spans="2:82" ht="30" customHeight="1" x14ac:dyDescent="0.3">
      <c r="B731" s="562"/>
      <c r="C731" s="563"/>
      <c r="D731" s="425"/>
      <c r="E731" s="250" t="str">
        <f t="shared" si="91"/>
        <v/>
      </c>
      <c r="F731" s="556"/>
      <c r="G731" s="252" t="str">
        <f>IFERROR(VLOOKUP(F731,'Data (hidden)'!N:O,2,FALSE),"")</f>
        <v/>
      </c>
      <c r="H731" s="557"/>
      <c r="I731" s="558"/>
      <c r="J731" s="123">
        <f t="shared" si="94"/>
        <v>0</v>
      </c>
      <c r="K731" s="123" t="e">
        <f t="shared" si="95"/>
        <v>#VALUE!</v>
      </c>
      <c r="L731" s="123">
        <f t="shared" si="92"/>
        <v>0</v>
      </c>
      <c r="M731" s="124" t="str">
        <f t="shared" si="93"/>
        <v/>
      </c>
      <c r="N731" s="112"/>
      <c r="O731" s="101"/>
      <c r="P731" s="101"/>
      <c r="Q731" s="101"/>
      <c r="R731" s="102"/>
      <c r="S731" s="102"/>
      <c r="T731" s="102"/>
      <c r="U731" s="103"/>
      <c r="V731" s="100"/>
      <c r="W731" s="101"/>
      <c r="X731" s="113"/>
      <c r="Y731" s="114"/>
      <c r="Z731" s="102"/>
      <c r="AA731" s="101"/>
      <c r="AB731" s="111"/>
      <c r="AE731" s="187"/>
      <c r="AF731" s="185"/>
      <c r="AG731" s="185" t="str">
        <f t="shared" si="96"/>
        <v/>
      </c>
      <c r="AH731" s="186" t="str">
        <f t="shared" si="97"/>
        <v/>
      </c>
      <c r="AI731" s="185"/>
      <c r="AJ731" s="188"/>
      <c r="CC731" s="562"/>
      <c r="CD731" s="425"/>
    </row>
    <row r="732" spans="2:82" ht="30" customHeight="1" x14ac:dyDescent="0.3">
      <c r="B732" s="562"/>
      <c r="C732" s="563"/>
      <c r="D732" s="425"/>
      <c r="E732" s="250" t="str">
        <f t="shared" si="91"/>
        <v/>
      </c>
      <c r="F732" s="556"/>
      <c r="G732" s="252" t="str">
        <f>IFERROR(VLOOKUP(F732,'Data (hidden)'!N:O,2,FALSE),"")</f>
        <v/>
      </c>
      <c r="H732" s="557"/>
      <c r="I732" s="558"/>
      <c r="J732" s="123">
        <f t="shared" si="94"/>
        <v>0</v>
      </c>
      <c r="K732" s="123" t="e">
        <f t="shared" si="95"/>
        <v>#VALUE!</v>
      </c>
      <c r="L732" s="123">
        <f t="shared" si="92"/>
        <v>0</v>
      </c>
      <c r="M732" s="124" t="str">
        <f t="shared" si="93"/>
        <v/>
      </c>
      <c r="N732" s="112"/>
      <c r="O732" s="101"/>
      <c r="P732" s="101"/>
      <c r="Q732" s="101"/>
      <c r="R732" s="102"/>
      <c r="S732" s="102"/>
      <c r="T732" s="102"/>
      <c r="U732" s="103"/>
      <c r="V732" s="100"/>
      <c r="W732" s="101"/>
      <c r="X732" s="113"/>
      <c r="Y732" s="114"/>
      <c r="Z732" s="102"/>
      <c r="AA732" s="101"/>
      <c r="AB732" s="111"/>
      <c r="AE732" s="187"/>
      <c r="AF732" s="185"/>
      <c r="AG732" s="185" t="str">
        <f t="shared" si="96"/>
        <v/>
      </c>
      <c r="AH732" s="186" t="str">
        <f t="shared" si="97"/>
        <v/>
      </c>
      <c r="AI732" s="185"/>
      <c r="AJ732" s="188"/>
      <c r="CC732" s="562"/>
      <c r="CD732" s="425"/>
    </row>
    <row r="733" spans="2:82" ht="30" customHeight="1" x14ac:dyDescent="0.3">
      <c r="B733" s="562"/>
      <c r="C733" s="563"/>
      <c r="D733" s="425"/>
      <c r="E733" s="250" t="str">
        <f t="shared" si="91"/>
        <v/>
      </c>
      <c r="F733" s="556"/>
      <c r="G733" s="252" t="str">
        <f>IFERROR(VLOOKUP(F733,'Data (hidden)'!N:O,2,FALSE),"")</f>
        <v/>
      </c>
      <c r="H733" s="557"/>
      <c r="I733" s="558"/>
      <c r="J733" s="123">
        <f t="shared" si="94"/>
        <v>0</v>
      </c>
      <c r="K733" s="123" t="e">
        <f t="shared" si="95"/>
        <v>#VALUE!</v>
      </c>
      <c r="L733" s="123">
        <f t="shared" si="92"/>
        <v>0</v>
      </c>
      <c r="M733" s="124" t="str">
        <f t="shared" si="93"/>
        <v/>
      </c>
      <c r="N733" s="112"/>
      <c r="O733" s="101"/>
      <c r="P733" s="101"/>
      <c r="Q733" s="101"/>
      <c r="R733" s="102"/>
      <c r="S733" s="102"/>
      <c r="T733" s="102"/>
      <c r="U733" s="103"/>
      <c r="V733" s="100"/>
      <c r="W733" s="101"/>
      <c r="X733" s="113"/>
      <c r="Y733" s="114"/>
      <c r="Z733" s="102"/>
      <c r="AA733" s="101"/>
      <c r="AB733" s="111"/>
      <c r="AE733" s="187"/>
      <c r="AF733" s="185"/>
      <c r="AG733" s="185" t="str">
        <f t="shared" si="96"/>
        <v/>
      </c>
      <c r="AH733" s="186" t="str">
        <f t="shared" si="97"/>
        <v/>
      </c>
      <c r="AI733" s="185"/>
      <c r="AJ733" s="188"/>
      <c r="CC733" s="562"/>
      <c r="CD733" s="425"/>
    </row>
    <row r="734" spans="2:82" ht="30" customHeight="1" x14ac:dyDescent="0.3">
      <c r="B734" s="562"/>
      <c r="C734" s="563"/>
      <c r="D734" s="425"/>
      <c r="E734" s="250" t="str">
        <f t="shared" si="91"/>
        <v/>
      </c>
      <c r="F734" s="556"/>
      <c r="G734" s="252" t="str">
        <f>IFERROR(VLOOKUP(F734,'Data (hidden)'!N:O,2,FALSE),"")</f>
        <v/>
      </c>
      <c r="H734" s="557"/>
      <c r="I734" s="558"/>
      <c r="J734" s="123">
        <f t="shared" si="94"/>
        <v>0</v>
      </c>
      <c r="K734" s="123" t="e">
        <f t="shared" si="95"/>
        <v>#VALUE!</v>
      </c>
      <c r="L734" s="123">
        <f t="shared" si="92"/>
        <v>0</v>
      </c>
      <c r="M734" s="124" t="str">
        <f t="shared" si="93"/>
        <v/>
      </c>
      <c r="N734" s="112"/>
      <c r="O734" s="101"/>
      <c r="P734" s="101"/>
      <c r="Q734" s="101"/>
      <c r="R734" s="102"/>
      <c r="S734" s="102"/>
      <c r="T734" s="102"/>
      <c r="U734" s="103"/>
      <c r="V734" s="100"/>
      <c r="W734" s="101"/>
      <c r="X734" s="113"/>
      <c r="Y734" s="114"/>
      <c r="Z734" s="102"/>
      <c r="AA734" s="101"/>
      <c r="AB734" s="111"/>
      <c r="AE734" s="187"/>
      <c r="AF734" s="185"/>
      <c r="AG734" s="185" t="str">
        <f t="shared" si="96"/>
        <v/>
      </c>
      <c r="AH734" s="186" t="str">
        <f t="shared" si="97"/>
        <v/>
      </c>
      <c r="AI734" s="185"/>
      <c r="AJ734" s="188"/>
      <c r="CC734" s="562"/>
      <c r="CD734" s="425"/>
    </row>
    <row r="735" spans="2:82" ht="30" customHeight="1" x14ac:dyDescent="0.3">
      <c r="B735" s="562"/>
      <c r="C735" s="563"/>
      <c r="D735" s="425"/>
      <c r="E735" s="250" t="str">
        <f t="shared" si="91"/>
        <v/>
      </c>
      <c r="F735" s="556"/>
      <c r="G735" s="252" t="str">
        <f>IFERROR(VLOOKUP(F735,'Data (hidden)'!N:O,2,FALSE),"")</f>
        <v/>
      </c>
      <c r="H735" s="557"/>
      <c r="I735" s="558"/>
      <c r="J735" s="123">
        <f t="shared" si="94"/>
        <v>0</v>
      </c>
      <c r="K735" s="123" t="e">
        <f t="shared" si="95"/>
        <v>#VALUE!</v>
      </c>
      <c r="L735" s="123">
        <f t="shared" si="92"/>
        <v>0</v>
      </c>
      <c r="M735" s="124" t="str">
        <f t="shared" si="93"/>
        <v/>
      </c>
      <c r="N735" s="112"/>
      <c r="O735" s="101"/>
      <c r="P735" s="101"/>
      <c r="Q735" s="101"/>
      <c r="R735" s="102"/>
      <c r="S735" s="102"/>
      <c r="T735" s="102"/>
      <c r="U735" s="103"/>
      <c r="V735" s="100"/>
      <c r="W735" s="101"/>
      <c r="X735" s="113"/>
      <c r="Y735" s="114"/>
      <c r="Z735" s="102"/>
      <c r="AA735" s="101"/>
      <c r="AB735" s="111"/>
      <c r="AE735" s="187"/>
      <c r="AF735" s="185"/>
      <c r="AG735" s="185" t="str">
        <f t="shared" si="96"/>
        <v/>
      </c>
      <c r="AH735" s="186" t="str">
        <f t="shared" si="97"/>
        <v/>
      </c>
      <c r="AI735" s="185"/>
      <c r="AJ735" s="188"/>
      <c r="CC735" s="562"/>
      <c r="CD735" s="425"/>
    </row>
    <row r="736" spans="2:82" ht="30" customHeight="1" x14ac:dyDescent="0.3">
      <c r="B736" s="562"/>
      <c r="C736" s="563"/>
      <c r="D736" s="425"/>
      <c r="E736" s="250" t="str">
        <f t="shared" si="91"/>
        <v/>
      </c>
      <c r="F736" s="556"/>
      <c r="G736" s="252" t="str">
        <f>IFERROR(VLOOKUP(F736,'Data (hidden)'!N:O,2,FALSE),"")</f>
        <v/>
      </c>
      <c r="H736" s="557"/>
      <c r="I736" s="558"/>
      <c r="J736" s="123">
        <f t="shared" si="94"/>
        <v>0</v>
      </c>
      <c r="K736" s="123" t="e">
        <f t="shared" si="95"/>
        <v>#VALUE!</v>
      </c>
      <c r="L736" s="123">
        <f t="shared" si="92"/>
        <v>0</v>
      </c>
      <c r="M736" s="124" t="str">
        <f t="shared" si="93"/>
        <v/>
      </c>
      <c r="N736" s="112"/>
      <c r="O736" s="101"/>
      <c r="P736" s="101"/>
      <c r="Q736" s="101"/>
      <c r="R736" s="102"/>
      <c r="S736" s="102"/>
      <c r="T736" s="102"/>
      <c r="U736" s="103"/>
      <c r="V736" s="100"/>
      <c r="W736" s="101"/>
      <c r="X736" s="113"/>
      <c r="Y736" s="114"/>
      <c r="Z736" s="102"/>
      <c r="AA736" s="101"/>
      <c r="AB736" s="111"/>
      <c r="AE736" s="187"/>
      <c r="AF736" s="185"/>
      <c r="AG736" s="185" t="str">
        <f t="shared" si="96"/>
        <v/>
      </c>
      <c r="AH736" s="186" t="str">
        <f t="shared" si="97"/>
        <v/>
      </c>
      <c r="AI736" s="185"/>
      <c r="AJ736" s="188"/>
      <c r="CC736" s="562"/>
      <c r="CD736" s="425"/>
    </row>
    <row r="737" spans="2:82" ht="30" customHeight="1" x14ac:dyDescent="0.3">
      <c r="B737" s="562"/>
      <c r="C737" s="563"/>
      <c r="D737" s="425"/>
      <c r="E737" s="250" t="str">
        <f t="shared" si="91"/>
        <v/>
      </c>
      <c r="F737" s="556"/>
      <c r="G737" s="252" t="str">
        <f>IFERROR(VLOOKUP(F737,'Data (hidden)'!N:O,2,FALSE),"")</f>
        <v/>
      </c>
      <c r="H737" s="557"/>
      <c r="I737" s="558"/>
      <c r="J737" s="123">
        <f t="shared" si="94"/>
        <v>0</v>
      </c>
      <c r="K737" s="123" t="e">
        <f t="shared" si="95"/>
        <v>#VALUE!</v>
      </c>
      <c r="L737" s="123">
        <f t="shared" si="92"/>
        <v>0</v>
      </c>
      <c r="M737" s="124" t="str">
        <f t="shared" si="93"/>
        <v/>
      </c>
      <c r="N737" s="112"/>
      <c r="O737" s="101"/>
      <c r="P737" s="101"/>
      <c r="Q737" s="101"/>
      <c r="R737" s="102"/>
      <c r="S737" s="102"/>
      <c r="T737" s="102"/>
      <c r="U737" s="103"/>
      <c r="V737" s="100"/>
      <c r="W737" s="101"/>
      <c r="X737" s="113"/>
      <c r="Y737" s="114"/>
      <c r="Z737" s="102"/>
      <c r="AA737" s="101"/>
      <c r="AB737" s="111"/>
      <c r="AE737" s="187"/>
      <c r="AF737" s="185"/>
      <c r="AG737" s="185" t="str">
        <f t="shared" si="96"/>
        <v/>
      </c>
      <c r="AH737" s="186" t="str">
        <f t="shared" si="97"/>
        <v/>
      </c>
      <c r="AI737" s="185"/>
      <c r="AJ737" s="188"/>
      <c r="CC737" s="562"/>
      <c r="CD737" s="425"/>
    </row>
    <row r="738" spans="2:82" ht="30" customHeight="1" x14ac:dyDescent="0.3">
      <c r="B738" s="562"/>
      <c r="C738" s="563"/>
      <c r="D738" s="425"/>
      <c r="E738" s="250" t="str">
        <f t="shared" si="91"/>
        <v/>
      </c>
      <c r="F738" s="556"/>
      <c r="G738" s="252" t="str">
        <f>IFERROR(VLOOKUP(F738,'Data (hidden)'!N:O,2,FALSE),"")</f>
        <v/>
      </c>
      <c r="H738" s="557"/>
      <c r="I738" s="558"/>
      <c r="J738" s="123">
        <f t="shared" si="94"/>
        <v>0</v>
      </c>
      <c r="K738" s="123" t="e">
        <f t="shared" si="95"/>
        <v>#VALUE!</v>
      </c>
      <c r="L738" s="123">
        <f t="shared" si="92"/>
        <v>0</v>
      </c>
      <c r="M738" s="124" t="str">
        <f t="shared" si="93"/>
        <v/>
      </c>
      <c r="N738" s="112"/>
      <c r="O738" s="101"/>
      <c r="P738" s="101"/>
      <c r="Q738" s="101"/>
      <c r="R738" s="102"/>
      <c r="S738" s="102"/>
      <c r="T738" s="102"/>
      <c r="U738" s="103"/>
      <c r="V738" s="100"/>
      <c r="W738" s="101"/>
      <c r="X738" s="113"/>
      <c r="Y738" s="114"/>
      <c r="Z738" s="102"/>
      <c r="AA738" s="101"/>
      <c r="AB738" s="111"/>
      <c r="AE738" s="187"/>
      <c r="AF738" s="185"/>
      <c r="AG738" s="185" t="str">
        <f t="shared" si="96"/>
        <v/>
      </c>
      <c r="AH738" s="186" t="str">
        <f t="shared" si="97"/>
        <v/>
      </c>
      <c r="AI738" s="185"/>
      <c r="AJ738" s="188"/>
      <c r="CC738" s="562"/>
      <c r="CD738" s="425"/>
    </row>
    <row r="739" spans="2:82" ht="30" customHeight="1" x14ac:dyDescent="0.3">
      <c r="B739" s="562"/>
      <c r="C739" s="563"/>
      <c r="D739" s="425"/>
      <c r="E739" s="250" t="str">
        <f t="shared" si="91"/>
        <v/>
      </c>
      <c r="F739" s="556"/>
      <c r="G739" s="252" t="str">
        <f>IFERROR(VLOOKUP(F739,'Data (hidden)'!N:O,2,FALSE),"")</f>
        <v/>
      </c>
      <c r="H739" s="557"/>
      <c r="I739" s="558"/>
      <c r="J739" s="123">
        <f t="shared" si="94"/>
        <v>0</v>
      </c>
      <c r="K739" s="123" t="e">
        <f t="shared" si="95"/>
        <v>#VALUE!</v>
      </c>
      <c r="L739" s="123">
        <f t="shared" si="92"/>
        <v>0</v>
      </c>
      <c r="M739" s="124" t="str">
        <f t="shared" si="93"/>
        <v/>
      </c>
      <c r="N739" s="112"/>
      <c r="O739" s="101"/>
      <c r="P739" s="101"/>
      <c r="Q739" s="101"/>
      <c r="R739" s="102"/>
      <c r="S739" s="102"/>
      <c r="T739" s="102"/>
      <c r="U739" s="103"/>
      <c r="V739" s="100"/>
      <c r="W739" s="101"/>
      <c r="X739" s="113"/>
      <c r="Y739" s="114"/>
      <c r="Z739" s="102"/>
      <c r="AA739" s="101"/>
      <c r="AB739" s="111"/>
      <c r="AE739" s="187"/>
      <c r="AF739" s="185"/>
      <c r="AG739" s="185" t="str">
        <f t="shared" si="96"/>
        <v/>
      </c>
      <c r="AH739" s="186" t="str">
        <f t="shared" si="97"/>
        <v/>
      </c>
      <c r="AI739" s="185"/>
      <c r="AJ739" s="188"/>
      <c r="CC739" s="562"/>
      <c r="CD739" s="425"/>
    </row>
    <row r="740" spans="2:82" ht="30" customHeight="1" x14ac:dyDescent="0.3">
      <c r="B740" s="562"/>
      <c r="C740" s="563"/>
      <c r="D740" s="425"/>
      <c r="E740" s="250" t="str">
        <f t="shared" si="91"/>
        <v/>
      </c>
      <c r="F740" s="556"/>
      <c r="G740" s="252" t="str">
        <f>IFERROR(VLOOKUP(F740,'Data (hidden)'!N:O,2,FALSE),"")</f>
        <v/>
      </c>
      <c r="H740" s="557"/>
      <c r="I740" s="558"/>
      <c r="J740" s="123">
        <f t="shared" si="94"/>
        <v>0</v>
      </c>
      <c r="K740" s="123" t="e">
        <f t="shared" si="95"/>
        <v>#VALUE!</v>
      </c>
      <c r="L740" s="123">
        <f t="shared" si="92"/>
        <v>0</v>
      </c>
      <c r="M740" s="124" t="str">
        <f t="shared" si="93"/>
        <v/>
      </c>
      <c r="N740" s="112"/>
      <c r="O740" s="101"/>
      <c r="P740" s="101"/>
      <c r="Q740" s="101"/>
      <c r="R740" s="102"/>
      <c r="S740" s="102"/>
      <c r="T740" s="102"/>
      <c r="U740" s="103"/>
      <c r="V740" s="100"/>
      <c r="W740" s="101"/>
      <c r="X740" s="113"/>
      <c r="Y740" s="114"/>
      <c r="Z740" s="102"/>
      <c r="AA740" s="101"/>
      <c r="AB740" s="111"/>
      <c r="AE740" s="187"/>
      <c r="AF740" s="185"/>
      <c r="AG740" s="185" t="str">
        <f t="shared" si="96"/>
        <v/>
      </c>
      <c r="AH740" s="186" t="str">
        <f t="shared" si="97"/>
        <v/>
      </c>
      <c r="AI740" s="185"/>
      <c r="AJ740" s="188"/>
      <c r="CC740" s="562"/>
      <c r="CD740" s="425"/>
    </row>
    <row r="741" spans="2:82" ht="30" customHeight="1" x14ac:dyDescent="0.3">
      <c r="B741" s="562"/>
      <c r="C741" s="563"/>
      <c r="D741" s="425"/>
      <c r="E741" s="250" t="str">
        <f t="shared" si="91"/>
        <v/>
      </c>
      <c r="F741" s="556"/>
      <c r="G741" s="252" t="str">
        <f>IFERROR(VLOOKUP(F741,'Data (hidden)'!N:O,2,FALSE),"")</f>
        <v/>
      </c>
      <c r="H741" s="557"/>
      <c r="I741" s="558"/>
      <c r="J741" s="123">
        <f t="shared" si="94"/>
        <v>0</v>
      </c>
      <c r="K741" s="123" t="e">
        <f t="shared" si="95"/>
        <v>#VALUE!</v>
      </c>
      <c r="L741" s="123">
        <f t="shared" si="92"/>
        <v>0</v>
      </c>
      <c r="M741" s="124" t="str">
        <f t="shared" si="93"/>
        <v/>
      </c>
      <c r="N741" s="112"/>
      <c r="O741" s="101"/>
      <c r="P741" s="101"/>
      <c r="Q741" s="101"/>
      <c r="R741" s="102"/>
      <c r="S741" s="102"/>
      <c r="T741" s="102"/>
      <c r="U741" s="103"/>
      <c r="V741" s="100"/>
      <c r="W741" s="101"/>
      <c r="X741" s="113"/>
      <c r="Y741" s="114"/>
      <c r="Z741" s="102"/>
      <c r="AA741" s="101"/>
      <c r="AB741" s="111"/>
      <c r="AE741" s="187"/>
      <c r="AF741" s="185"/>
      <c r="AG741" s="185" t="str">
        <f t="shared" si="96"/>
        <v/>
      </c>
      <c r="AH741" s="186" t="str">
        <f t="shared" si="97"/>
        <v/>
      </c>
      <c r="AI741" s="185"/>
      <c r="AJ741" s="188"/>
      <c r="CC741" s="562"/>
      <c r="CD741" s="425"/>
    </row>
    <row r="742" spans="2:82" ht="30" customHeight="1" x14ac:dyDescent="0.3">
      <c r="B742" s="562"/>
      <c r="C742" s="563"/>
      <c r="D742" s="425"/>
      <c r="E742" s="250" t="str">
        <f t="shared" si="91"/>
        <v/>
      </c>
      <c r="F742" s="556"/>
      <c r="G742" s="252" t="str">
        <f>IFERROR(VLOOKUP(F742,'Data (hidden)'!N:O,2,FALSE),"")</f>
        <v/>
      </c>
      <c r="H742" s="557"/>
      <c r="I742" s="558"/>
      <c r="J742" s="123">
        <f t="shared" si="94"/>
        <v>0</v>
      </c>
      <c r="K742" s="123" t="e">
        <f t="shared" si="95"/>
        <v>#VALUE!</v>
      </c>
      <c r="L742" s="123">
        <f t="shared" si="92"/>
        <v>0</v>
      </c>
      <c r="M742" s="124" t="str">
        <f t="shared" si="93"/>
        <v/>
      </c>
      <c r="N742" s="112"/>
      <c r="O742" s="101"/>
      <c r="P742" s="101"/>
      <c r="Q742" s="101"/>
      <c r="R742" s="102"/>
      <c r="S742" s="102"/>
      <c r="T742" s="102"/>
      <c r="U742" s="103"/>
      <c r="V742" s="100"/>
      <c r="W742" s="101"/>
      <c r="X742" s="113"/>
      <c r="Y742" s="114"/>
      <c r="Z742" s="102"/>
      <c r="AA742" s="101"/>
      <c r="AB742" s="111"/>
      <c r="AE742" s="187"/>
      <c r="AF742" s="185"/>
      <c r="AG742" s="185" t="str">
        <f t="shared" si="96"/>
        <v/>
      </c>
      <c r="AH742" s="186" t="str">
        <f t="shared" si="97"/>
        <v/>
      </c>
      <c r="AI742" s="185"/>
      <c r="AJ742" s="188"/>
      <c r="CC742" s="562"/>
      <c r="CD742" s="425"/>
    </row>
    <row r="743" spans="2:82" ht="30" customHeight="1" x14ac:dyDescent="0.3">
      <c r="B743" s="562"/>
      <c r="C743" s="563"/>
      <c r="D743" s="425"/>
      <c r="E743" s="250" t="str">
        <f t="shared" si="91"/>
        <v/>
      </c>
      <c r="F743" s="556"/>
      <c r="G743" s="252" t="str">
        <f>IFERROR(VLOOKUP(F743,'Data (hidden)'!N:O,2,FALSE),"")</f>
        <v/>
      </c>
      <c r="H743" s="557"/>
      <c r="I743" s="558"/>
      <c r="J743" s="123">
        <f t="shared" si="94"/>
        <v>0</v>
      </c>
      <c r="K743" s="123" t="e">
        <f t="shared" si="95"/>
        <v>#VALUE!</v>
      </c>
      <c r="L743" s="123">
        <f t="shared" si="92"/>
        <v>0</v>
      </c>
      <c r="M743" s="124" t="str">
        <f t="shared" si="93"/>
        <v/>
      </c>
      <c r="N743" s="112"/>
      <c r="O743" s="101"/>
      <c r="P743" s="101"/>
      <c r="Q743" s="101"/>
      <c r="R743" s="102"/>
      <c r="S743" s="102"/>
      <c r="T743" s="102"/>
      <c r="U743" s="103"/>
      <c r="V743" s="100"/>
      <c r="W743" s="101"/>
      <c r="X743" s="113"/>
      <c r="Y743" s="114"/>
      <c r="Z743" s="102"/>
      <c r="AA743" s="101"/>
      <c r="AB743" s="111"/>
      <c r="AE743" s="187"/>
      <c r="AF743" s="185"/>
      <c r="AG743" s="185" t="str">
        <f t="shared" si="96"/>
        <v/>
      </c>
      <c r="AH743" s="186" t="str">
        <f t="shared" si="97"/>
        <v/>
      </c>
      <c r="AI743" s="185"/>
      <c r="AJ743" s="188"/>
      <c r="CC743" s="562"/>
      <c r="CD743" s="425"/>
    </row>
    <row r="744" spans="2:82" ht="30" customHeight="1" x14ac:dyDescent="0.3">
      <c r="B744" s="562"/>
      <c r="C744" s="563"/>
      <c r="D744" s="425"/>
      <c r="E744" s="250" t="str">
        <f t="shared" si="91"/>
        <v/>
      </c>
      <c r="F744" s="556"/>
      <c r="G744" s="252" t="str">
        <f>IFERROR(VLOOKUP(F744,'Data (hidden)'!N:O,2,FALSE),"")</f>
        <v/>
      </c>
      <c r="H744" s="557"/>
      <c r="I744" s="558"/>
      <c r="J744" s="123">
        <f t="shared" si="94"/>
        <v>0</v>
      </c>
      <c r="K744" s="123" t="e">
        <f t="shared" si="95"/>
        <v>#VALUE!</v>
      </c>
      <c r="L744" s="123">
        <f t="shared" si="92"/>
        <v>0</v>
      </c>
      <c r="M744" s="124" t="str">
        <f t="shared" si="93"/>
        <v/>
      </c>
      <c r="N744" s="112"/>
      <c r="O744" s="101"/>
      <c r="P744" s="101"/>
      <c r="Q744" s="101"/>
      <c r="R744" s="102"/>
      <c r="S744" s="102"/>
      <c r="T744" s="102"/>
      <c r="U744" s="103"/>
      <c r="V744" s="100"/>
      <c r="W744" s="101"/>
      <c r="X744" s="113"/>
      <c r="Y744" s="114"/>
      <c r="Z744" s="102"/>
      <c r="AA744" s="101"/>
      <c r="AB744" s="111"/>
      <c r="AE744" s="187"/>
      <c r="AF744" s="185"/>
      <c r="AG744" s="185" t="str">
        <f t="shared" si="96"/>
        <v/>
      </c>
      <c r="AH744" s="186" t="str">
        <f t="shared" si="97"/>
        <v/>
      </c>
      <c r="AI744" s="185"/>
      <c r="AJ744" s="188"/>
      <c r="CC744" s="562"/>
      <c r="CD744" s="425"/>
    </row>
    <row r="745" spans="2:82" ht="30" customHeight="1" x14ac:dyDescent="0.3">
      <c r="B745" s="562"/>
      <c r="C745" s="563"/>
      <c r="D745" s="425"/>
      <c r="E745" s="250" t="str">
        <f t="shared" si="91"/>
        <v/>
      </c>
      <c r="F745" s="556"/>
      <c r="G745" s="252" t="str">
        <f>IFERROR(VLOOKUP(F745,'Data (hidden)'!N:O,2,FALSE),"")</f>
        <v/>
      </c>
      <c r="H745" s="557"/>
      <c r="I745" s="558"/>
      <c r="J745" s="123">
        <f t="shared" si="94"/>
        <v>0</v>
      </c>
      <c r="K745" s="123" t="e">
        <f t="shared" si="95"/>
        <v>#VALUE!</v>
      </c>
      <c r="L745" s="123">
        <f t="shared" si="92"/>
        <v>0</v>
      </c>
      <c r="M745" s="124" t="str">
        <f t="shared" si="93"/>
        <v/>
      </c>
      <c r="N745" s="112"/>
      <c r="O745" s="101"/>
      <c r="P745" s="101"/>
      <c r="Q745" s="101"/>
      <c r="R745" s="102"/>
      <c r="S745" s="102"/>
      <c r="T745" s="102"/>
      <c r="U745" s="103"/>
      <c r="V745" s="100"/>
      <c r="W745" s="101"/>
      <c r="X745" s="113"/>
      <c r="Y745" s="114"/>
      <c r="Z745" s="102"/>
      <c r="AA745" s="101"/>
      <c r="AB745" s="111"/>
      <c r="AE745" s="187"/>
      <c r="AF745" s="185"/>
      <c r="AG745" s="185" t="str">
        <f t="shared" si="96"/>
        <v/>
      </c>
      <c r="AH745" s="186" t="str">
        <f t="shared" si="97"/>
        <v/>
      </c>
      <c r="AI745" s="185"/>
      <c r="AJ745" s="188"/>
      <c r="CC745" s="562"/>
      <c r="CD745" s="425"/>
    </row>
    <row r="746" spans="2:82" ht="30" customHeight="1" x14ac:dyDescent="0.3">
      <c r="B746" s="562"/>
      <c r="C746" s="563"/>
      <c r="D746" s="425"/>
      <c r="E746" s="250" t="str">
        <f t="shared" si="91"/>
        <v/>
      </c>
      <c r="F746" s="556"/>
      <c r="G746" s="252" t="str">
        <f>IFERROR(VLOOKUP(F746,'Data (hidden)'!N:O,2,FALSE),"")</f>
        <v/>
      </c>
      <c r="H746" s="557"/>
      <c r="I746" s="558"/>
      <c r="J746" s="123">
        <f t="shared" si="94"/>
        <v>0</v>
      </c>
      <c r="K746" s="123" t="e">
        <f t="shared" si="95"/>
        <v>#VALUE!</v>
      </c>
      <c r="L746" s="123">
        <f t="shared" si="92"/>
        <v>0</v>
      </c>
      <c r="M746" s="124" t="str">
        <f t="shared" si="93"/>
        <v/>
      </c>
      <c r="N746" s="112"/>
      <c r="O746" s="101"/>
      <c r="P746" s="101"/>
      <c r="Q746" s="101"/>
      <c r="R746" s="102"/>
      <c r="S746" s="102"/>
      <c r="T746" s="102"/>
      <c r="U746" s="103"/>
      <c r="V746" s="100"/>
      <c r="W746" s="101"/>
      <c r="X746" s="113"/>
      <c r="Y746" s="114"/>
      <c r="Z746" s="102"/>
      <c r="AA746" s="101"/>
      <c r="AB746" s="111"/>
      <c r="AE746" s="187"/>
      <c r="AF746" s="185"/>
      <c r="AG746" s="185" t="str">
        <f t="shared" si="96"/>
        <v/>
      </c>
      <c r="AH746" s="186" t="str">
        <f t="shared" si="97"/>
        <v/>
      </c>
      <c r="AI746" s="185"/>
      <c r="AJ746" s="188"/>
      <c r="CC746" s="562"/>
      <c r="CD746" s="425"/>
    </row>
    <row r="747" spans="2:82" ht="30" customHeight="1" x14ac:dyDescent="0.3">
      <c r="B747" s="562"/>
      <c r="C747" s="563"/>
      <c r="D747" s="425"/>
      <c r="E747" s="250" t="str">
        <f t="shared" si="91"/>
        <v/>
      </c>
      <c r="F747" s="556"/>
      <c r="G747" s="252" t="str">
        <f>IFERROR(VLOOKUP(F747,'Data (hidden)'!N:O,2,FALSE),"")</f>
        <v/>
      </c>
      <c r="H747" s="557"/>
      <c r="I747" s="558"/>
      <c r="J747" s="123">
        <f t="shared" si="94"/>
        <v>0</v>
      </c>
      <c r="K747" s="123" t="e">
        <f t="shared" si="95"/>
        <v>#VALUE!</v>
      </c>
      <c r="L747" s="123">
        <f t="shared" si="92"/>
        <v>0</v>
      </c>
      <c r="M747" s="124" t="str">
        <f t="shared" si="93"/>
        <v/>
      </c>
      <c r="N747" s="112"/>
      <c r="O747" s="101"/>
      <c r="P747" s="101"/>
      <c r="Q747" s="101"/>
      <c r="R747" s="102"/>
      <c r="S747" s="102"/>
      <c r="T747" s="102"/>
      <c r="U747" s="103"/>
      <c r="V747" s="100"/>
      <c r="W747" s="101"/>
      <c r="X747" s="113"/>
      <c r="Y747" s="114"/>
      <c r="Z747" s="102"/>
      <c r="AA747" s="101"/>
      <c r="AB747" s="111"/>
      <c r="AE747" s="187"/>
      <c r="AF747" s="185"/>
      <c r="AG747" s="185" t="str">
        <f t="shared" si="96"/>
        <v/>
      </c>
      <c r="AH747" s="186" t="str">
        <f t="shared" si="97"/>
        <v/>
      </c>
      <c r="AI747" s="185"/>
      <c r="AJ747" s="188"/>
      <c r="CC747" s="562"/>
      <c r="CD747" s="425"/>
    </row>
    <row r="748" spans="2:82" ht="30" customHeight="1" x14ac:dyDescent="0.3">
      <c r="B748" s="562"/>
      <c r="C748" s="563"/>
      <c r="D748" s="425"/>
      <c r="E748" s="250" t="str">
        <f t="shared" si="91"/>
        <v/>
      </c>
      <c r="F748" s="556"/>
      <c r="G748" s="252" t="str">
        <f>IFERROR(VLOOKUP(F748,'Data (hidden)'!N:O,2,FALSE),"")</f>
        <v/>
      </c>
      <c r="H748" s="557"/>
      <c r="I748" s="558"/>
      <c r="J748" s="123">
        <f t="shared" si="94"/>
        <v>0</v>
      </c>
      <c r="K748" s="123" t="e">
        <f t="shared" si="95"/>
        <v>#VALUE!</v>
      </c>
      <c r="L748" s="123">
        <f t="shared" si="92"/>
        <v>0</v>
      </c>
      <c r="M748" s="124" t="str">
        <f t="shared" si="93"/>
        <v/>
      </c>
      <c r="N748" s="112"/>
      <c r="O748" s="101"/>
      <c r="P748" s="101"/>
      <c r="Q748" s="101"/>
      <c r="R748" s="102"/>
      <c r="S748" s="102"/>
      <c r="T748" s="102"/>
      <c r="U748" s="103"/>
      <c r="V748" s="100"/>
      <c r="W748" s="101"/>
      <c r="X748" s="113"/>
      <c r="Y748" s="114"/>
      <c r="Z748" s="102"/>
      <c r="AA748" s="101"/>
      <c r="AB748" s="111"/>
      <c r="AE748" s="187"/>
      <c r="AF748" s="185"/>
      <c r="AG748" s="185" t="str">
        <f t="shared" si="96"/>
        <v/>
      </c>
      <c r="AH748" s="186" t="str">
        <f t="shared" si="97"/>
        <v/>
      </c>
      <c r="AI748" s="185"/>
      <c r="AJ748" s="188"/>
      <c r="CC748" s="562"/>
      <c r="CD748" s="425"/>
    </row>
    <row r="749" spans="2:82" ht="30" customHeight="1" x14ac:dyDescent="0.3">
      <c r="B749" s="562"/>
      <c r="C749" s="563"/>
      <c r="D749" s="425"/>
      <c r="E749" s="250" t="str">
        <f t="shared" si="91"/>
        <v/>
      </c>
      <c r="F749" s="556"/>
      <c r="G749" s="252" t="str">
        <f>IFERROR(VLOOKUP(F749,'Data (hidden)'!N:O,2,FALSE),"")</f>
        <v/>
      </c>
      <c r="H749" s="557"/>
      <c r="I749" s="558"/>
      <c r="J749" s="123">
        <f t="shared" si="94"/>
        <v>0</v>
      </c>
      <c r="K749" s="123" t="e">
        <f t="shared" si="95"/>
        <v>#VALUE!</v>
      </c>
      <c r="L749" s="123">
        <f t="shared" si="92"/>
        <v>0</v>
      </c>
      <c r="M749" s="124" t="str">
        <f t="shared" si="93"/>
        <v/>
      </c>
      <c r="N749" s="112"/>
      <c r="O749" s="101"/>
      <c r="P749" s="101"/>
      <c r="Q749" s="101"/>
      <c r="R749" s="102"/>
      <c r="S749" s="102"/>
      <c r="T749" s="102"/>
      <c r="U749" s="103"/>
      <c r="V749" s="100"/>
      <c r="W749" s="101"/>
      <c r="X749" s="113"/>
      <c r="Y749" s="114"/>
      <c r="Z749" s="102"/>
      <c r="AA749" s="101"/>
      <c r="AB749" s="111"/>
      <c r="AE749" s="187"/>
      <c r="AF749" s="185"/>
      <c r="AG749" s="185" t="str">
        <f t="shared" si="96"/>
        <v/>
      </c>
      <c r="AH749" s="186" t="str">
        <f t="shared" si="97"/>
        <v/>
      </c>
      <c r="AI749" s="185"/>
      <c r="AJ749" s="188"/>
      <c r="CC749" s="562"/>
      <c r="CD749" s="425"/>
    </row>
    <row r="750" spans="2:82" ht="30" customHeight="1" x14ac:dyDescent="0.3">
      <c r="B750" s="562"/>
      <c r="C750" s="563"/>
      <c r="D750" s="425"/>
      <c r="E750" s="250" t="str">
        <f t="shared" si="91"/>
        <v/>
      </c>
      <c r="F750" s="556"/>
      <c r="G750" s="252" t="str">
        <f>IFERROR(VLOOKUP(F750,'Data (hidden)'!N:O,2,FALSE),"")</f>
        <v/>
      </c>
      <c r="H750" s="557"/>
      <c r="I750" s="558"/>
      <c r="J750" s="123">
        <f t="shared" si="94"/>
        <v>0</v>
      </c>
      <c r="K750" s="123" t="e">
        <f t="shared" si="95"/>
        <v>#VALUE!</v>
      </c>
      <c r="L750" s="123">
        <f t="shared" si="92"/>
        <v>0</v>
      </c>
      <c r="M750" s="124" t="str">
        <f t="shared" si="93"/>
        <v/>
      </c>
      <c r="N750" s="112"/>
      <c r="O750" s="101"/>
      <c r="P750" s="101"/>
      <c r="Q750" s="101"/>
      <c r="R750" s="102"/>
      <c r="S750" s="102"/>
      <c r="T750" s="102"/>
      <c r="U750" s="103"/>
      <c r="V750" s="100"/>
      <c r="W750" s="101"/>
      <c r="X750" s="113"/>
      <c r="Y750" s="114"/>
      <c r="Z750" s="102"/>
      <c r="AA750" s="101"/>
      <c r="AB750" s="111"/>
      <c r="AE750" s="187"/>
      <c r="AF750" s="185"/>
      <c r="AG750" s="185" t="str">
        <f t="shared" si="96"/>
        <v/>
      </c>
      <c r="AH750" s="186" t="str">
        <f t="shared" si="97"/>
        <v/>
      </c>
      <c r="AI750" s="185"/>
      <c r="AJ750" s="188"/>
      <c r="CC750" s="562"/>
      <c r="CD750" s="425"/>
    </row>
    <row r="751" spans="2:82" ht="30" customHeight="1" x14ac:dyDescent="0.3">
      <c r="B751" s="562"/>
      <c r="C751" s="563"/>
      <c r="D751" s="425"/>
      <c r="E751" s="250" t="str">
        <f t="shared" si="91"/>
        <v/>
      </c>
      <c r="F751" s="556"/>
      <c r="G751" s="252" t="str">
        <f>IFERROR(VLOOKUP(F751,'Data (hidden)'!N:O,2,FALSE),"")</f>
        <v/>
      </c>
      <c r="H751" s="557"/>
      <c r="I751" s="558"/>
      <c r="J751" s="123">
        <f t="shared" si="94"/>
        <v>0</v>
      </c>
      <c r="K751" s="123" t="e">
        <f t="shared" si="95"/>
        <v>#VALUE!</v>
      </c>
      <c r="L751" s="123">
        <f t="shared" si="92"/>
        <v>0</v>
      </c>
      <c r="M751" s="124" t="str">
        <f t="shared" si="93"/>
        <v/>
      </c>
      <c r="N751" s="112"/>
      <c r="O751" s="101"/>
      <c r="P751" s="101"/>
      <c r="Q751" s="101"/>
      <c r="R751" s="102"/>
      <c r="S751" s="102"/>
      <c r="T751" s="102"/>
      <c r="U751" s="103"/>
      <c r="V751" s="100"/>
      <c r="W751" s="101"/>
      <c r="X751" s="113"/>
      <c r="Y751" s="114"/>
      <c r="Z751" s="102"/>
      <c r="AA751" s="101"/>
      <c r="AB751" s="111"/>
      <c r="AE751" s="187"/>
      <c r="AF751" s="185"/>
      <c r="AG751" s="185" t="str">
        <f t="shared" si="96"/>
        <v/>
      </c>
      <c r="AH751" s="186" t="str">
        <f t="shared" si="97"/>
        <v/>
      </c>
      <c r="AI751" s="185"/>
      <c r="AJ751" s="188"/>
      <c r="CC751" s="562"/>
      <c r="CD751" s="425"/>
    </row>
    <row r="752" spans="2:82" ht="30" customHeight="1" x14ac:dyDescent="0.3">
      <c r="B752" s="562"/>
      <c r="C752" s="563"/>
      <c r="D752" s="425"/>
      <c r="E752" s="250" t="str">
        <f t="shared" si="91"/>
        <v/>
      </c>
      <c r="F752" s="556"/>
      <c r="G752" s="252" t="str">
        <f>IFERROR(VLOOKUP(F752,'Data (hidden)'!N:O,2,FALSE),"")</f>
        <v/>
      </c>
      <c r="H752" s="557"/>
      <c r="I752" s="558"/>
      <c r="J752" s="123">
        <f t="shared" si="94"/>
        <v>0</v>
      </c>
      <c r="K752" s="123" t="e">
        <f t="shared" si="95"/>
        <v>#VALUE!</v>
      </c>
      <c r="L752" s="123">
        <f t="shared" si="92"/>
        <v>0</v>
      </c>
      <c r="M752" s="124" t="str">
        <f t="shared" si="93"/>
        <v/>
      </c>
      <c r="N752" s="112"/>
      <c r="O752" s="101"/>
      <c r="P752" s="101"/>
      <c r="Q752" s="101"/>
      <c r="R752" s="102"/>
      <c r="S752" s="102"/>
      <c r="T752" s="102"/>
      <c r="U752" s="103"/>
      <c r="V752" s="100"/>
      <c r="W752" s="101"/>
      <c r="X752" s="113"/>
      <c r="Y752" s="114"/>
      <c r="Z752" s="102"/>
      <c r="AA752" s="101"/>
      <c r="AB752" s="111"/>
      <c r="AE752" s="187"/>
      <c r="AF752" s="185"/>
      <c r="AG752" s="185" t="str">
        <f t="shared" si="96"/>
        <v/>
      </c>
      <c r="AH752" s="186" t="str">
        <f t="shared" si="97"/>
        <v/>
      </c>
      <c r="AI752" s="185"/>
      <c r="AJ752" s="188"/>
      <c r="CC752" s="562"/>
      <c r="CD752" s="425"/>
    </row>
    <row r="753" spans="2:82" ht="30" customHeight="1" x14ac:dyDescent="0.3">
      <c r="B753" s="562"/>
      <c r="C753" s="563"/>
      <c r="D753" s="425"/>
      <c r="E753" s="250" t="str">
        <f t="shared" si="91"/>
        <v/>
      </c>
      <c r="F753" s="556"/>
      <c r="G753" s="252" t="str">
        <f>IFERROR(VLOOKUP(F753,'Data (hidden)'!N:O,2,FALSE),"")</f>
        <v/>
      </c>
      <c r="H753" s="557"/>
      <c r="I753" s="558"/>
      <c r="J753" s="123">
        <f t="shared" si="94"/>
        <v>0</v>
      </c>
      <c r="K753" s="123" t="e">
        <f t="shared" si="95"/>
        <v>#VALUE!</v>
      </c>
      <c r="L753" s="123">
        <f t="shared" si="92"/>
        <v>0</v>
      </c>
      <c r="M753" s="124" t="str">
        <f t="shared" si="93"/>
        <v/>
      </c>
      <c r="N753" s="112"/>
      <c r="O753" s="101"/>
      <c r="P753" s="101"/>
      <c r="Q753" s="101"/>
      <c r="R753" s="102"/>
      <c r="S753" s="102"/>
      <c r="T753" s="102"/>
      <c r="U753" s="103"/>
      <c r="V753" s="100"/>
      <c r="W753" s="101"/>
      <c r="X753" s="113"/>
      <c r="Y753" s="114"/>
      <c r="Z753" s="102"/>
      <c r="AA753" s="101"/>
      <c r="AB753" s="111"/>
      <c r="AE753" s="187"/>
      <c r="AF753" s="185"/>
      <c r="AG753" s="185" t="str">
        <f t="shared" si="96"/>
        <v/>
      </c>
      <c r="AH753" s="186" t="str">
        <f t="shared" si="97"/>
        <v/>
      </c>
      <c r="AI753" s="185"/>
      <c r="AJ753" s="188"/>
      <c r="CC753" s="562"/>
      <c r="CD753" s="425"/>
    </row>
    <row r="754" spans="2:82" ht="30" customHeight="1" x14ac:dyDescent="0.3">
      <c r="B754" s="562"/>
      <c r="C754" s="563"/>
      <c r="D754" s="425"/>
      <c r="E754" s="250" t="str">
        <f t="shared" si="91"/>
        <v/>
      </c>
      <c r="F754" s="556"/>
      <c r="G754" s="252" t="str">
        <f>IFERROR(VLOOKUP(F754,'Data (hidden)'!N:O,2,FALSE),"")</f>
        <v/>
      </c>
      <c r="H754" s="557"/>
      <c r="I754" s="558"/>
      <c r="J754" s="123">
        <f t="shared" si="94"/>
        <v>0</v>
      </c>
      <c r="K754" s="123" t="e">
        <f t="shared" si="95"/>
        <v>#VALUE!</v>
      </c>
      <c r="L754" s="123">
        <f t="shared" si="92"/>
        <v>0</v>
      </c>
      <c r="M754" s="124" t="str">
        <f t="shared" si="93"/>
        <v/>
      </c>
      <c r="N754" s="112"/>
      <c r="O754" s="101"/>
      <c r="P754" s="101"/>
      <c r="Q754" s="101"/>
      <c r="R754" s="102"/>
      <c r="S754" s="102"/>
      <c r="T754" s="102"/>
      <c r="U754" s="103"/>
      <c r="V754" s="100"/>
      <c r="W754" s="101"/>
      <c r="X754" s="113"/>
      <c r="Y754" s="114"/>
      <c r="Z754" s="102"/>
      <c r="AA754" s="101"/>
      <c r="AB754" s="111"/>
      <c r="AE754" s="187"/>
      <c r="AF754" s="185"/>
      <c r="AG754" s="185" t="str">
        <f t="shared" si="96"/>
        <v/>
      </c>
      <c r="AH754" s="186" t="str">
        <f t="shared" si="97"/>
        <v/>
      </c>
      <c r="AI754" s="185"/>
      <c r="AJ754" s="188"/>
      <c r="CC754" s="562"/>
      <c r="CD754" s="425"/>
    </row>
    <row r="755" spans="2:82" ht="30" customHeight="1" x14ac:dyDescent="0.3">
      <c r="B755" s="562"/>
      <c r="C755" s="563"/>
      <c r="D755" s="425"/>
      <c r="E755" s="250" t="str">
        <f t="shared" si="91"/>
        <v/>
      </c>
      <c r="F755" s="556"/>
      <c r="G755" s="252" t="str">
        <f>IFERROR(VLOOKUP(F755,'Data (hidden)'!N:O,2,FALSE),"")</f>
        <v/>
      </c>
      <c r="H755" s="557"/>
      <c r="I755" s="558"/>
      <c r="J755" s="123">
        <f t="shared" si="94"/>
        <v>0</v>
      </c>
      <c r="K755" s="123" t="e">
        <f t="shared" si="95"/>
        <v>#VALUE!</v>
      </c>
      <c r="L755" s="123">
        <f t="shared" si="92"/>
        <v>0</v>
      </c>
      <c r="M755" s="124" t="str">
        <f t="shared" si="93"/>
        <v/>
      </c>
      <c r="N755" s="112"/>
      <c r="O755" s="101"/>
      <c r="P755" s="101"/>
      <c r="Q755" s="101"/>
      <c r="R755" s="102"/>
      <c r="S755" s="102"/>
      <c r="T755" s="102"/>
      <c r="U755" s="103"/>
      <c r="V755" s="100"/>
      <c r="W755" s="101"/>
      <c r="X755" s="113"/>
      <c r="Y755" s="114"/>
      <c r="Z755" s="102"/>
      <c r="AA755" s="101"/>
      <c r="AB755" s="111"/>
      <c r="AE755" s="187"/>
      <c r="AF755" s="185"/>
      <c r="AG755" s="185" t="str">
        <f t="shared" si="96"/>
        <v/>
      </c>
      <c r="AH755" s="186" t="str">
        <f t="shared" si="97"/>
        <v/>
      </c>
      <c r="AI755" s="185"/>
      <c r="AJ755" s="188"/>
      <c r="CC755" s="562"/>
      <c r="CD755" s="425"/>
    </row>
    <row r="756" spans="2:82" ht="30" customHeight="1" x14ac:dyDescent="0.3">
      <c r="B756" s="562"/>
      <c r="C756" s="563"/>
      <c r="D756" s="425"/>
      <c r="E756" s="250" t="str">
        <f t="shared" ref="E756:E819" si="98">IF(SUM(C756-(C756*L756))=0,"",SUM(C756-(C756*L756)))</f>
        <v/>
      </c>
      <c r="F756" s="556"/>
      <c r="G756" s="252" t="str">
        <f>IFERROR(VLOOKUP(F756,'Data (hidden)'!N:O,2,FALSE),"")</f>
        <v/>
      </c>
      <c r="H756" s="557"/>
      <c r="I756" s="558"/>
      <c r="J756" s="123">
        <f t="shared" si="94"/>
        <v>0</v>
      </c>
      <c r="K756" s="123" t="e">
        <f t="shared" si="95"/>
        <v>#VALUE!</v>
      </c>
      <c r="L756" s="123">
        <f t="shared" si="92"/>
        <v>0</v>
      </c>
      <c r="M756" s="124" t="str">
        <f t="shared" si="93"/>
        <v/>
      </c>
      <c r="N756" s="112"/>
      <c r="O756" s="101"/>
      <c r="P756" s="101"/>
      <c r="Q756" s="101"/>
      <c r="R756" s="102"/>
      <c r="S756" s="102"/>
      <c r="T756" s="102"/>
      <c r="U756" s="103"/>
      <c r="V756" s="100"/>
      <c r="W756" s="101"/>
      <c r="X756" s="113"/>
      <c r="Y756" s="114"/>
      <c r="Z756" s="102"/>
      <c r="AA756" s="101"/>
      <c r="AB756" s="111"/>
      <c r="AE756" s="187"/>
      <c r="AF756" s="185"/>
      <c r="AG756" s="185" t="str">
        <f t="shared" si="96"/>
        <v/>
      </c>
      <c r="AH756" s="186" t="str">
        <f t="shared" si="97"/>
        <v/>
      </c>
      <c r="AI756" s="185"/>
      <c r="AJ756" s="188"/>
      <c r="CC756" s="562"/>
      <c r="CD756" s="425"/>
    </row>
    <row r="757" spans="2:82" ht="30" customHeight="1" x14ac:dyDescent="0.3">
      <c r="B757" s="562"/>
      <c r="C757" s="563"/>
      <c r="D757" s="425"/>
      <c r="E757" s="250" t="str">
        <f t="shared" si="98"/>
        <v/>
      </c>
      <c r="F757" s="556"/>
      <c r="G757" s="252" t="str">
        <f>IFERROR(VLOOKUP(F757,'Data (hidden)'!N:O,2,FALSE),"")</f>
        <v/>
      </c>
      <c r="H757" s="557"/>
      <c r="I757" s="558"/>
      <c r="J757" s="123">
        <f t="shared" si="94"/>
        <v>0</v>
      </c>
      <c r="K757" s="123" t="e">
        <f t="shared" si="95"/>
        <v>#VALUE!</v>
      </c>
      <c r="L757" s="123">
        <f t="shared" si="92"/>
        <v>0</v>
      </c>
      <c r="M757" s="124" t="str">
        <f t="shared" si="93"/>
        <v/>
      </c>
      <c r="N757" s="112"/>
      <c r="O757" s="101"/>
      <c r="P757" s="101"/>
      <c r="Q757" s="101"/>
      <c r="R757" s="102"/>
      <c r="S757" s="102"/>
      <c r="T757" s="102"/>
      <c r="U757" s="103"/>
      <c r="V757" s="100"/>
      <c r="W757" s="101"/>
      <c r="X757" s="113"/>
      <c r="Y757" s="114"/>
      <c r="Z757" s="102"/>
      <c r="AA757" s="101"/>
      <c r="AB757" s="111"/>
      <c r="AE757" s="187"/>
      <c r="AF757" s="185"/>
      <c r="AG757" s="185" t="str">
        <f t="shared" si="96"/>
        <v/>
      </c>
      <c r="AH757" s="186" t="str">
        <f t="shared" si="97"/>
        <v/>
      </c>
      <c r="AI757" s="185"/>
      <c r="AJ757" s="188"/>
      <c r="CC757" s="562"/>
      <c r="CD757" s="425"/>
    </row>
    <row r="758" spans="2:82" ht="30" customHeight="1" x14ac:dyDescent="0.3">
      <c r="B758" s="562"/>
      <c r="C758" s="563"/>
      <c r="D758" s="425"/>
      <c r="E758" s="250" t="str">
        <f t="shared" si="98"/>
        <v/>
      </c>
      <c r="F758" s="556"/>
      <c r="G758" s="252" t="str">
        <f>IFERROR(VLOOKUP(F758,'Data (hidden)'!N:O,2,FALSE),"")</f>
        <v/>
      </c>
      <c r="H758" s="557"/>
      <c r="I758" s="558"/>
      <c r="J758" s="123">
        <f t="shared" si="94"/>
        <v>0</v>
      </c>
      <c r="K758" s="123" t="e">
        <f t="shared" si="95"/>
        <v>#VALUE!</v>
      </c>
      <c r="L758" s="123">
        <f t="shared" si="92"/>
        <v>0</v>
      </c>
      <c r="M758" s="124" t="str">
        <f t="shared" si="93"/>
        <v/>
      </c>
      <c r="N758" s="112"/>
      <c r="O758" s="101"/>
      <c r="P758" s="101"/>
      <c r="Q758" s="101"/>
      <c r="R758" s="102"/>
      <c r="S758" s="102"/>
      <c r="T758" s="102"/>
      <c r="U758" s="103"/>
      <c r="V758" s="100"/>
      <c r="W758" s="101"/>
      <c r="X758" s="113"/>
      <c r="Y758" s="114"/>
      <c r="Z758" s="102"/>
      <c r="AA758" s="101"/>
      <c r="AB758" s="111"/>
      <c r="AE758" s="187"/>
      <c r="AF758" s="185"/>
      <c r="AG758" s="185" t="str">
        <f t="shared" si="96"/>
        <v/>
      </c>
      <c r="AH758" s="186" t="str">
        <f t="shared" si="97"/>
        <v/>
      </c>
      <c r="AI758" s="185"/>
      <c r="AJ758" s="188"/>
      <c r="CC758" s="562"/>
      <c r="CD758" s="425"/>
    </row>
    <row r="759" spans="2:82" ht="30" customHeight="1" x14ac:dyDescent="0.3">
      <c r="B759" s="562"/>
      <c r="C759" s="563"/>
      <c r="D759" s="425"/>
      <c r="E759" s="250" t="str">
        <f t="shared" si="98"/>
        <v/>
      </c>
      <c r="F759" s="556"/>
      <c r="G759" s="252" t="str">
        <f>IFERROR(VLOOKUP(F759,'Data (hidden)'!N:O,2,FALSE),"")</f>
        <v/>
      </c>
      <c r="H759" s="557"/>
      <c r="I759" s="558"/>
      <c r="J759" s="123">
        <f t="shared" si="94"/>
        <v>0</v>
      </c>
      <c r="K759" s="123" t="e">
        <f t="shared" si="95"/>
        <v>#VALUE!</v>
      </c>
      <c r="L759" s="123">
        <f t="shared" si="92"/>
        <v>0</v>
      </c>
      <c r="M759" s="124" t="str">
        <f t="shared" si="93"/>
        <v/>
      </c>
      <c r="N759" s="112"/>
      <c r="O759" s="101"/>
      <c r="P759" s="101"/>
      <c r="Q759" s="101"/>
      <c r="R759" s="102"/>
      <c r="S759" s="102"/>
      <c r="T759" s="102"/>
      <c r="U759" s="103"/>
      <c r="V759" s="100"/>
      <c r="W759" s="101"/>
      <c r="X759" s="113"/>
      <c r="Y759" s="114"/>
      <c r="Z759" s="102"/>
      <c r="AA759" s="101"/>
      <c r="AB759" s="111"/>
      <c r="AE759" s="187"/>
      <c r="AF759" s="185"/>
      <c r="AG759" s="185" t="str">
        <f t="shared" si="96"/>
        <v/>
      </c>
      <c r="AH759" s="186" t="str">
        <f t="shared" si="97"/>
        <v/>
      </c>
      <c r="AI759" s="185"/>
      <c r="AJ759" s="188"/>
      <c r="CC759" s="562"/>
      <c r="CD759" s="425"/>
    </row>
    <row r="760" spans="2:82" ht="30" customHeight="1" x14ac:dyDescent="0.3">
      <c r="B760" s="562"/>
      <c r="C760" s="563"/>
      <c r="D760" s="425"/>
      <c r="E760" s="250" t="str">
        <f t="shared" si="98"/>
        <v/>
      </c>
      <c r="F760" s="556"/>
      <c r="G760" s="252" t="str">
        <f>IFERROR(VLOOKUP(F760,'Data (hidden)'!N:O,2,FALSE),"")</f>
        <v/>
      </c>
      <c r="H760" s="557"/>
      <c r="I760" s="558"/>
      <c r="J760" s="123">
        <f t="shared" si="94"/>
        <v>0</v>
      </c>
      <c r="K760" s="123" t="e">
        <f t="shared" si="95"/>
        <v>#VALUE!</v>
      </c>
      <c r="L760" s="123">
        <f t="shared" si="92"/>
        <v>0</v>
      </c>
      <c r="M760" s="124" t="str">
        <f t="shared" si="93"/>
        <v/>
      </c>
      <c r="N760" s="112"/>
      <c r="O760" s="101"/>
      <c r="P760" s="101"/>
      <c r="Q760" s="101"/>
      <c r="R760" s="102"/>
      <c r="S760" s="102"/>
      <c r="T760" s="102"/>
      <c r="U760" s="103"/>
      <c r="V760" s="100"/>
      <c r="W760" s="101"/>
      <c r="X760" s="113"/>
      <c r="Y760" s="114"/>
      <c r="Z760" s="102"/>
      <c r="AA760" s="101"/>
      <c r="AB760" s="111"/>
      <c r="AE760" s="187"/>
      <c r="AF760" s="185"/>
      <c r="AG760" s="185" t="str">
        <f t="shared" si="96"/>
        <v/>
      </c>
      <c r="AH760" s="186" t="str">
        <f t="shared" si="97"/>
        <v/>
      </c>
      <c r="AI760" s="185"/>
      <c r="AJ760" s="188"/>
      <c r="CC760" s="562"/>
      <c r="CD760" s="425"/>
    </row>
    <row r="761" spans="2:82" ht="30" customHeight="1" x14ac:dyDescent="0.3">
      <c r="B761" s="562"/>
      <c r="C761" s="563"/>
      <c r="D761" s="425"/>
      <c r="E761" s="250" t="str">
        <f t="shared" si="98"/>
        <v/>
      </c>
      <c r="F761" s="556"/>
      <c r="G761" s="252" t="str">
        <f>IFERROR(VLOOKUP(F761,'Data (hidden)'!N:O,2,FALSE),"")</f>
        <v/>
      </c>
      <c r="H761" s="557"/>
      <c r="I761" s="558"/>
      <c r="J761" s="123">
        <f t="shared" si="94"/>
        <v>0</v>
      </c>
      <c r="K761" s="123" t="e">
        <f t="shared" si="95"/>
        <v>#VALUE!</v>
      </c>
      <c r="L761" s="123">
        <f t="shared" si="92"/>
        <v>0</v>
      </c>
      <c r="M761" s="124" t="str">
        <f t="shared" si="93"/>
        <v/>
      </c>
      <c r="N761" s="112"/>
      <c r="O761" s="101"/>
      <c r="P761" s="101"/>
      <c r="Q761" s="101"/>
      <c r="R761" s="102"/>
      <c r="S761" s="102"/>
      <c r="T761" s="102"/>
      <c r="U761" s="103"/>
      <c r="V761" s="100"/>
      <c r="W761" s="101"/>
      <c r="X761" s="113"/>
      <c r="Y761" s="114"/>
      <c r="Z761" s="102"/>
      <c r="AA761" s="101"/>
      <c r="AB761" s="111"/>
      <c r="AE761" s="187"/>
      <c r="AF761" s="185"/>
      <c r="AG761" s="185" t="str">
        <f t="shared" si="96"/>
        <v/>
      </c>
      <c r="AH761" s="186" t="str">
        <f t="shared" si="97"/>
        <v/>
      </c>
      <c r="AI761" s="185"/>
      <c r="AJ761" s="188"/>
      <c r="CC761" s="562"/>
      <c r="CD761" s="425"/>
    </row>
    <row r="762" spans="2:82" ht="30" customHeight="1" x14ac:dyDescent="0.3">
      <c r="B762" s="562"/>
      <c r="C762" s="563"/>
      <c r="D762" s="425"/>
      <c r="E762" s="250" t="str">
        <f t="shared" si="98"/>
        <v/>
      </c>
      <c r="F762" s="556"/>
      <c r="G762" s="252" t="str">
        <f>IFERROR(VLOOKUP(F762,'Data (hidden)'!N:O,2,FALSE),"")</f>
        <v/>
      </c>
      <c r="H762" s="557"/>
      <c r="I762" s="558"/>
      <c r="J762" s="123">
        <f t="shared" si="94"/>
        <v>0</v>
      </c>
      <c r="K762" s="123" t="e">
        <f t="shared" si="95"/>
        <v>#VALUE!</v>
      </c>
      <c r="L762" s="123">
        <f t="shared" si="92"/>
        <v>0</v>
      </c>
      <c r="M762" s="124" t="str">
        <f t="shared" si="93"/>
        <v/>
      </c>
      <c r="N762" s="112"/>
      <c r="O762" s="101"/>
      <c r="P762" s="101"/>
      <c r="Q762" s="101"/>
      <c r="R762" s="102"/>
      <c r="S762" s="102"/>
      <c r="T762" s="102"/>
      <c r="U762" s="103"/>
      <c r="V762" s="100"/>
      <c r="W762" s="101"/>
      <c r="X762" s="113"/>
      <c r="Y762" s="114"/>
      <c r="Z762" s="102"/>
      <c r="AA762" s="101"/>
      <c r="AB762" s="111"/>
      <c r="AE762" s="187"/>
      <c r="AF762" s="185"/>
      <c r="AG762" s="185" t="str">
        <f t="shared" si="96"/>
        <v/>
      </c>
      <c r="AH762" s="186" t="str">
        <f t="shared" si="97"/>
        <v/>
      </c>
      <c r="AI762" s="185"/>
      <c r="AJ762" s="188"/>
      <c r="CC762" s="562"/>
      <c r="CD762" s="425"/>
    </row>
    <row r="763" spans="2:82" ht="30" customHeight="1" x14ac:dyDescent="0.3">
      <c r="B763" s="562"/>
      <c r="C763" s="563"/>
      <c r="D763" s="425"/>
      <c r="E763" s="250" t="str">
        <f t="shared" si="98"/>
        <v/>
      </c>
      <c r="F763" s="556"/>
      <c r="G763" s="252" t="str">
        <f>IFERROR(VLOOKUP(F763,'Data (hidden)'!N:O,2,FALSE),"")</f>
        <v/>
      </c>
      <c r="H763" s="557"/>
      <c r="I763" s="558"/>
      <c r="J763" s="123">
        <f t="shared" si="94"/>
        <v>0</v>
      </c>
      <c r="K763" s="123" t="e">
        <f t="shared" si="95"/>
        <v>#VALUE!</v>
      </c>
      <c r="L763" s="123">
        <f t="shared" si="92"/>
        <v>0</v>
      </c>
      <c r="M763" s="124" t="str">
        <f t="shared" si="93"/>
        <v/>
      </c>
      <c r="N763" s="112"/>
      <c r="O763" s="101"/>
      <c r="P763" s="101"/>
      <c r="Q763" s="101"/>
      <c r="R763" s="102"/>
      <c r="S763" s="102"/>
      <c r="T763" s="102"/>
      <c r="U763" s="103"/>
      <c r="V763" s="100"/>
      <c r="W763" s="101"/>
      <c r="X763" s="113"/>
      <c r="Y763" s="114"/>
      <c r="Z763" s="102"/>
      <c r="AA763" s="101"/>
      <c r="AB763" s="111"/>
      <c r="AE763" s="187"/>
      <c r="AF763" s="185"/>
      <c r="AG763" s="185" t="str">
        <f t="shared" si="96"/>
        <v/>
      </c>
      <c r="AH763" s="186" t="str">
        <f t="shared" si="97"/>
        <v/>
      </c>
      <c r="AI763" s="185"/>
      <c r="AJ763" s="188"/>
      <c r="CC763" s="562"/>
      <c r="CD763" s="425"/>
    </row>
    <row r="764" spans="2:82" ht="30" customHeight="1" x14ac:dyDescent="0.3">
      <c r="B764" s="562"/>
      <c r="C764" s="563"/>
      <c r="D764" s="425"/>
      <c r="E764" s="250" t="str">
        <f t="shared" si="98"/>
        <v/>
      </c>
      <c r="F764" s="556"/>
      <c r="G764" s="252" t="str">
        <f>IFERROR(VLOOKUP(F764,'Data (hidden)'!N:O,2,FALSE),"")</f>
        <v/>
      </c>
      <c r="H764" s="557"/>
      <c r="I764" s="558"/>
      <c r="J764" s="123">
        <f t="shared" si="94"/>
        <v>0</v>
      </c>
      <c r="K764" s="123" t="e">
        <f t="shared" si="95"/>
        <v>#VALUE!</v>
      </c>
      <c r="L764" s="123">
        <f t="shared" si="92"/>
        <v>0</v>
      </c>
      <c r="M764" s="124" t="str">
        <f t="shared" si="93"/>
        <v/>
      </c>
      <c r="N764" s="112"/>
      <c r="O764" s="101"/>
      <c r="P764" s="101"/>
      <c r="Q764" s="101"/>
      <c r="R764" s="102"/>
      <c r="S764" s="102"/>
      <c r="T764" s="102"/>
      <c r="U764" s="103"/>
      <c r="V764" s="100"/>
      <c r="W764" s="101"/>
      <c r="X764" s="113"/>
      <c r="Y764" s="114"/>
      <c r="Z764" s="102"/>
      <c r="AA764" s="101"/>
      <c r="AB764" s="111"/>
      <c r="AE764" s="187"/>
      <c r="AF764" s="185"/>
      <c r="AG764" s="185" t="str">
        <f t="shared" si="96"/>
        <v/>
      </c>
      <c r="AH764" s="186" t="str">
        <f t="shared" si="97"/>
        <v/>
      </c>
      <c r="AI764" s="185"/>
      <c r="AJ764" s="188"/>
      <c r="CC764" s="562"/>
      <c r="CD764" s="425"/>
    </row>
    <row r="765" spans="2:82" ht="30" customHeight="1" x14ac:dyDescent="0.3">
      <c r="B765" s="562"/>
      <c r="C765" s="563"/>
      <c r="D765" s="425"/>
      <c r="E765" s="250" t="str">
        <f t="shared" si="98"/>
        <v/>
      </c>
      <c r="F765" s="556"/>
      <c r="G765" s="252" t="str">
        <f>IFERROR(VLOOKUP(F765,'Data (hidden)'!N:O,2,FALSE),"")</f>
        <v/>
      </c>
      <c r="H765" s="557"/>
      <c r="I765" s="558"/>
      <c r="J765" s="123">
        <f t="shared" si="94"/>
        <v>0</v>
      </c>
      <c r="K765" s="123" t="e">
        <f t="shared" si="95"/>
        <v>#VALUE!</v>
      </c>
      <c r="L765" s="123">
        <f t="shared" si="92"/>
        <v>0</v>
      </c>
      <c r="M765" s="124" t="str">
        <f t="shared" si="93"/>
        <v/>
      </c>
      <c r="N765" s="112"/>
      <c r="O765" s="101"/>
      <c r="P765" s="101"/>
      <c r="Q765" s="101"/>
      <c r="R765" s="102"/>
      <c r="S765" s="102"/>
      <c r="T765" s="102"/>
      <c r="U765" s="103"/>
      <c r="V765" s="100"/>
      <c r="W765" s="101"/>
      <c r="X765" s="113"/>
      <c r="Y765" s="114"/>
      <c r="Z765" s="102"/>
      <c r="AA765" s="101"/>
      <c r="AB765" s="111"/>
      <c r="AE765" s="187"/>
      <c r="AF765" s="185"/>
      <c r="AG765" s="185" t="str">
        <f t="shared" si="96"/>
        <v/>
      </c>
      <c r="AH765" s="186" t="str">
        <f t="shared" si="97"/>
        <v/>
      </c>
      <c r="AI765" s="185"/>
      <c r="AJ765" s="188"/>
      <c r="CC765" s="562"/>
      <c r="CD765" s="425"/>
    </row>
    <row r="766" spans="2:82" ht="30" customHeight="1" x14ac:dyDescent="0.3">
      <c r="B766" s="562"/>
      <c r="C766" s="563"/>
      <c r="D766" s="425"/>
      <c r="E766" s="250" t="str">
        <f t="shared" si="98"/>
        <v/>
      </c>
      <c r="F766" s="556"/>
      <c r="G766" s="252" t="str">
        <f>IFERROR(VLOOKUP(F766,'Data (hidden)'!N:O,2,FALSE),"")</f>
        <v/>
      </c>
      <c r="H766" s="557"/>
      <c r="I766" s="558"/>
      <c r="J766" s="123">
        <f t="shared" si="94"/>
        <v>0</v>
      </c>
      <c r="K766" s="123" t="e">
        <f t="shared" si="95"/>
        <v>#VALUE!</v>
      </c>
      <c r="L766" s="123">
        <f t="shared" si="92"/>
        <v>0</v>
      </c>
      <c r="M766" s="124" t="str">
        <f t="shared" si="93"/>
        <v/>
      </c>
      <c r="N766" s="112"/>
      <c r="O766" s="101"/>
      <c r="P766" s="101"/>
      <c r="Q766" s="101"/>
      <c r="R766" s="102"/>
      <c r="S766" s="102"/>
      <c r="T766" s="102"/>
      <c r="U766" s="103"/>
      <c r="V766" s="100"/>
      <c r="W766" s="101"/>
      <c r="X766" s="113"/>
      <c r="Y766" s="114"/>
      <c r="Z766" s="102"/>
      <c r="AA766" s="101"/>
      <c r="AB766" s="111"/>
      <c r="AE766" s="187"/>
      <c r="AF766" s="185"/>
      <c r="AG766" s="185" t="str">
        <f t="shared" si="96"/>
        <v/>
      </c>
      <c r="AH766" s="186" t="str">
        <f t="shared" si="97"/>
        <v/>
      </c>
      <c r="AI766" s="185"/>
      <c r="AJ766" s="188"/>
      <c r="CC766" s="562"/>
      <c r="CD766" s="425"/>
    </row>
    <row r="767" spans="2:82" ht="30" customHeight="1" x14ac:dyDescent="0.3">
      <c r="B767" s="562"/>
      <c r="C767" s="563"/>
      <c r="D767" s="425"/>
      <c r="E767" s="250" t="str">
        <f t="shared" si="98"/>
        <v/>
      </c>
      <c r="F767" s="556"/>
      <c r="G767" s="252" t="str">
        <f>IFERROR(VLOOKUP(F767,'Data (hidden)'!N:O,2,FALSE),"")</f>
        <v/>
      </c>
      <c r="H767" s="557"/>
      <c r="I767" s="558"/>
      <c r="J767" s="123">
        <f t="shared" si="94"/>
        <v>0</v>
      </c>
      <c r="K767" s="123" t="e">
        <f t="shared" si="95"/>
        <v>#VALUE!</v>
      </c>
      <c r="L767" s="123">
        <f t="shared" si="92"/>
        <v>0</v>
      </c>
      <c r="M767" s="124" t="str">
        <f t="shared" si="93"/>
        <v/>
      </c>
      <c r="N767" s="112"/>
      <c r="O767" s="101"/>
      <c r="P767" s="101"/>
      <c r="Q767" s="101"/>
      <c r="R767" s="102"/>
      <c r="S767" s="102"/>
      <c r="T767" s="102"/>
      <c r="U767" s="103"/>
      <c r="V767" s="100"/>
      <c r="W767" s="101"/>
      <c r="X767" s="113"/>
      <c r="Y767" s="114"/>
      <c r="Z767" s="102"/>
      <c r="AA767" s="101"/>
      <c r="AB767" s="111"/>
      <c r="AE767" s="187"/>
      <c r="AF767" s="185"/>
      <c r="AG767" s="185" t="str">
        <f t="shared" si="96"/>
        <v/>
      </c>
      <c r="AH767" s="186" t="str">
        <f t="shared" si="97"/>
        <v/>
      </c>
      <c r="AI767" s="185"/>
      <c r="AJ767" s="188"/>
      <c r="CC767" s="562"/>
      <c r="CD767" s="425"/>
    </row>
    <row r="768" spans="2:82" ht="30" customHeight="1" x14ac:dyDescent="0.3">
      <c r="B768" s="562"/>
      <c r="C768" s="563"/>
      <c r="D768" s="425"/>
      <c r="E768" s="250" t="str">
        <f t="shared" si="98"/>
        <v/>
      </c>
      <c r="F768" s="556"/>
      <c r="G768" s="252" t="str">
        <f>IFERROR(VLOOKUP(F768,'Data (hidden)'!N:O,2,FALSE),"")</f>
        <v/>
      </c>
      <c r="H768" s="557"/>
      <c r="I768" s="558"/>
      <c r="J768" s="123">
        <f t="shared" si="94"/>
        <v>0</v>
      </c>
      <c r="K768" s="123" t="e">
        <f t="shared" si="95"/>
        <v>#VALUE!</v>
      </c>
      <c r="L768" s="123">
        <f t="shared" si="92"/>
        <v>0</v>
      </c>
      <c r="M768" s="124" t="str">
        <f t="shared" si="93"/>
        <v/>
      </c>
      <c r="N768" s="112"/>
      <c r="O768" s="101"/>
      <c r="P768" s="101"/>
      <c r="Q768" s="101"/>
      <c r="R768" s="102"/>
      <c r="S768" s="102"/>
      <c r="T768" s="102"/>
      <c r="U768" s="103"/>
      <c r="V768" s="100"/>
      <c r="W768" s="101"/>
      <c r="X768" s="113"/>
      <c r="Y768" s="114"/>
      <c r="Z768" s="102"/>
      <c r="AA768" s="101"/>
      <c r="AB768" s="111"/>
      <c r="AE768" s="187"/>
      <c r="AF768" s="185"/>
      <c r="AG768" s="185" t="str">
        <f t="shared" si="96"/>
        <v/>
      </c>
      <c r="AH768" s="186" t="str">
        <f t="shared" si="97"/>
        <v/>
      </c>
      <c r="AI768" s="185"/>
      <c r="AJ768" s="188"/>
      <c r="CC768" s="562"/>
      <c r="CD768" s="425"/>
    </row>
    <row r="769" spans="2:82" ht="30" customHeight="1" x14ac:dyDescent="0.3">
      <c r="B769" s="562"/>
      <c r="C769" s="563"/>
      <c r="D769" s="425"/>
      <c r="E769" s="250" t="str">
        <f t="shared" si="98"/>
        <v/>
      </c>
      <c r="F769" s="556"/>
      <c r="G769" s="252" t="str">
        <f>IFERROR(VLOOKUP(F769,'Data (hidden)'!N:O,2,FALSE),"")</f>
        <v/>
      </c>
      <c r="H769" s="557"/>
      <c r="I769" s="558"/>
      <c r="J769" s="123">
        <f t="shared" si="94"/>
        <v>0</v>
      </c>
      <c r="K769" s="123" t="e">
        <f t="shared" si="95"/>
        <v>#VALUE!</v>
      </c>
      <c r="L769" s="123">
        <f t="shared" si="92"/>
        <v>0</v>
      </c>
      <c r="M769" s="124" t="str">
        <f t="shared" si="93"/>
        <v/>
      </c>
      <c r="N769" s="112"/>
      <c r="O769" s="101"/>
      <c r="P769" s="101"/>
      <c r="Q769" s="101"/>
      <c r="R769" s="102"/>
      <c r="S769" s="102"/>
      <c r="T769" s="102"/>
      <c r="U769" s="103"/>
      <c r="V769" s="100"/>
      <c r="W769" s="101"/>
      <c r="X769" s="113"/>
      <c r="Y769" s="114"/>
      <c r="Z769" s="102"/>
      <c r="AA769" s="101"/>
      <c r="AB769" s="111"/>
      <c r="AE769" s="187"/>
      <c r="AF769" s="185"/>
      <c r="AG769" s="185" t="str">
        <f t="shared" si="96"/>
        <v/>
      </c>
      <c r="AH769" s="186" t="str">
        <f t="shared" si="97"/>
        <v/>
      </c>
      <c r="AI769" s="185"/>
      <c r="AJ769" s="188"/>
      <c r="CC769" s="562"/>
      <c r="CD769" s="425"/>
    </row>
    <row r="770" spans="2:82" ht="30" customHeight="1" x14ac:dyDescent="0.3">
      <c r="B770" s="562"/>
      <c r="C770" s="563"/>
      <c r="D770" s="425"/>
      <c r="E770" s="250" t="str">
        <f t="shared" si="98"/>
        <v/>
      </c>
      <c r="F770" s="556"/>
      <c r="G770" s="252" t="str">
        <f>IFERROR(VLOOKUP(F770,'Data (hidden)'!N:O,2,FALSE),"")</f>
        <v/>
      </c>
      <c r="H770" s="557"/>
      <c r="I770" s="558"/>
      <c r="J770" s="123">
        <f t="shared" si="94"/>
        <v>0</v>
      </c>
      <c r="K770" s="123" t="e">
        <f t="shared" si="95"/>
        <v>#VALUE!</v>
      </c>
      <c r="L770" s="123">
        <f t="shared" si="92"/>
        <v>0</v>
      </c>
      <c r="M770" s="124" t="str">
        <f t="shared" si="93"/>
        <v/>
      </c>
      <c r="N770" s="112"/>
      <c r="O770" s="101"/>
      <c r="P770" s="101"/>
      <c r="Q770" s="101"/>
      <c r="R770" s="102"/>
      <c r="S770" s="102"/>
      <c r="T770" s="102"/>
      <c r="U770" s="103"/>
      <c r="V770" s="100"/>
      <c r="W770" s="101"/>
      <c r="X770" s="113"/>
      <c r="Y770" s="114"/>
      <c r="Z770" s="102"/>
      <c r="AA770" s="101"/>
      <c r="AB770" s="111"/>
      <c r="AE770" s="187"/>
      <c r="AF770" s="185"/>
      <c r="AG770" s="185" t="str">
        <f t="shared" si="96"/>
        <v/>
      </c>
      <c r="AH770" s="186" t="str">
        <f t="shared" si="97"/>
        <v/>
      </c>
      <c r="AI770" s="185"/>
      <c r="AJ770" s="188"/>
      <c r="CC770" s="562"/>
      <c r="CD770" s="425"/>
    </row>
    <row r="771" spans="2:82" ht="30" customHeight="1" x14ac:dyDescent="0.3">
      <c r="B771" s="562"/>
      <c r="C771" s="563"/>
      <c r="D771" s="425"/>
      <c r="E771" s="250" t="str">
        <f t="shared" si="98"/>
        <v/>
      </c>
      <c r="F771" s="556"/>
      <c r="G771" s="252" t="str">
        <f>IFERROR(VLOOKUP(F771,'Data (hidden)'!N:O,2,FALSE),"")</f>
        <v/>
      </c>
      <c r="H771" s="557"/>
      <c r="I771" s="558"/>
      <c r="J771" s="123">
        <f t="shared" si="94"/>
        <v>0</v>
      </c>
      <c r="K771" s="123" t="e">
        <f t="shared" si="95"/>
        <v>#VALUE!</v>
      </c>
      <c r="L771" s="123">
        <f t="shared" si="92"/>
        <v>0</v>
      </c>
      <c r="M771" s="124" t="str">
        <f t="shared" si="93"/>
        <v/>
      </c>
      <c r="N771" s="112"/>
      <c r="O771" s="101"/>
      <c r="P771" s="101"/>
      <c r="Q771" s="101"/>
      <c r="R771" s="102"/>
      <c r="S771" s="102"/>
      <c r="T771" s="102"/>
      <c r="U771" s="103"/>
      <c r="V771" s="100"/>
      <c r="W771" s="101"/>
      <c r="X771" s="113"/>
      <c r="Y771" s="114"/>
      <c r="Z771" s="102"/>
      <c r="AA771" s="101"/>
      <c r="AB771" s="111"/>
      <c r="AE771" s="187"/>
      <c r="AF771" s="185"/>
      <c r="AG771" s="185" t="str">
        <f t="shared" si="96"/>
        <v/>
      </c>
      <c r="AH771" s="186" t="str">
        <f t="shared" si="97"/>
        <v/>
      </c>
      <c r="AI771" s="185"/>
      <c r="AJ771" s="188"/>
      <c r="CC771" s="562"/>
      <c r="CD771" s="425"/>
    </row>
    <row r="772" spans="2:82" ht="30" customHeight="1" x14ac:dyDescent="0.3">
      <c r="B772" s="562"/>
      <c r="C772" s="563"/>
      <c r="D772" s="425"/>
      <c r="E772" s="250" t="str">
        <f t="shared" si="98"/>
        <v/>
      </c>
      <c r="F772" s="556"/>
      <c r="G772" s="252" t="str">
        <f>IFERROR(VLOOKUP(F772,'Data (hidden)'!N:O,2,FALSE),"")</f>
        <v/>
      </c>
      <c r="H772" s="557"/>
      <c r="I772" s="558"/>
      <c r="J772" s="123">
        <f t="shared" si="94"/>
        <v>0</v>
      </c>
      <c r="K772" s="123" t="e">
        <f t="shared" si="95"/>
        <v>#VALUE!</v>
      </c>
      <c r="L772" s="123">
        <f t="shared" si="92"/>
        <v>0</v>
      </c>
      <c r="M772" s="124" t="str">
        <f t="shared" si="93"/>
        <v/>
      </c>
      <c r="N772" s="112"/>
      <c r="O772" s="101"/>
      <c r="P772" s="101"/>
      <c r="Q772" s="101"/>
      <c r="R772" s="102"/>
      <c r="S772" s="102"/>
      <c r="T772" s="102"/>
      <c r="U772" s="103"/>
      <c r="V772" s="100"/>
      <c r="W772" s="101"/>
      <c r="X772" s="113"/>
      <c r="Y772" s="114"/>
      <c r="Z772" s="102"/>
      <c r="AA772" s="101"/>
      <c r="AB772" s="111"/>
      <c r="AE772" s="187"/>
      <c r="AF772" s="185"/>
      <c r="AG772" s="185" t="str">
        <f t="shared" si="96"/>
        <v/>
      </c>
      <c r="AH772" s="186" t="str">
        <f t="shared" si="97"/>
        <v/>
      </c>
      <c r="AI772" s="185"/>
      <c r="AJ772" s="188"/>
      <c r="CC772" s="562"/>
      <c r="CD772" s="425"/>
    </row>
    <row r="773" spans="2:82" ht="30" customHeight="1" x14ac:dyDescent="0.3">
      <c r="B773" s="562"/>
      <c r="C773" s="563"/>
      <c r="D773" s="425"/>
      <c r="E773" s="250" t="str">
        <f t="shared" si="98"/>
        <v/>
      </c>
      <c r="F773" s="556"/>
      <c r="G773" s="252" t="str">
        <f>IFERROR(VLOOKUP(F773,'Data (hidden)'!N:O,2,FALSE),"")</f>
        <v/>
      </c>
      <c r="H773" s="557"/>
      <c r="I773" s="558"/>
      <c r="J773" s="123">
        <f t="shared" si="94"/>
        <v>0</v>
      </c>
      <c r="K773" s="123" t="e">
        <f t="shared" si="95"/>
        <v>#VALUE!</v>
      </c>
      <c r="L773" s="123">
        <f t="shared" si="92"/>
        <v>0</v>
      </c>
      <c r="M773" s="124" t="str">
        <f t="shared" si="93"/>
        <v/>
      </c>
      <c r="N773" s="112"/>
      <c r="O773" s="101"/>
      <c r="P773" s="101"/>
      <c r="Q773" s="101"/>
      <c r="R773" s="102"/>
      <c r="S773" s="102"/>
      <c r="T773" s="102"/>
      <c r="U773" s="103"/>
      <c r="V773" s="100"/>
      <c r="W773" s="101"/>
      <c r="X773" s="113"/>
      <c r="Y773" s="114"/>
      <c r="Z773" s="102"/>
      <c r="AA773" s="101"/>
      <c r="AB773" s="111"/>
      <c r="AE773" s="187"/>
      <c r="AF773" s="185"/>
      <c r="AG773" s="185" t="str">
        <f t="shared" si="96"/>
        <v/>
      </c>
      <c r="AH773" s="186" t="str">
        <f t="shared" si="97"/>
        <v/>
      </c>
      <c r="AI773" s="185"/>
      <c r="AJ773" s="188"/>
      <c r="CC773" s="562"/>
      <c r="CD773" s="425"/>
    </row>
    <row r="774" spans="2:82" ht="30" customHeight="1" x14ac:dyDescent="0.3">
      <c r="B774" s="562"/>
      <c r="C774" s="563"/>
      <c r="D774" s="425"/>
      <c r="E774" s="250" t="str">
        <f t="shared" si="98"/>
        <v/>
      </c>
      <c r="F774" s="556"/>
      <c r="G774" s="252" t="str">
        <f>IFERROR(VLOOKUP(F774,'Data (hidden)'!N:O,2,FALSE),"")</f>
        <v/>
      </c>
      <c r="H774" s="557"/>
      <c r="I774" s="558"/>
      <c r="J774" s="123">
        <f t="shared" si="94"/>
        <v>0</v>
      </c>
      <c r="K774" s="123" t="e">
        <f t="shared" si="95"/>
        <v>#VALUE!</v>
      </c>
      <c r="L774" s="123">
        <f t="shared" si="92"/>
        <v>0</v>
      </c>
      <c r="M774" s="124" t="str">
        <f t="shared" si="93"/>
        <v/>
      </c>
      <c r="N774" s="112"/>
      <c r="O774" s="101"/>
      <c r="P774" s="101"/>
      <c r="Q774" s="101"/>
      <c r="R774" s="102"/>
      <c r="S774" s="102"/>
      <c r="T774" s="102"/>
      <c r="U774" s="103"/>
      <c r="V774" s="100"/>
      <c r="W774" s="101"/>
      <c r="X774" s="113"/>
      <c r="Y774" s="114"/>
      <c r="Z774" s="102"/>
      <c r="AA774" s="101"/>
      <c r="AB774" s="111"/>
      <c r="AE774" s="187"/>
      <c r="AF774" s="185"/>
      <c r="AG774" s="185" t="str">
        <f t="shared" si="96"/>
        <v/>
      </c>
      <c r="AH774" s="186" t="str">
        <f t="shared" si="97"/>
        <v/>
      </c>
      <c r="AI774" s="185"/>
      <c r="AJ774" s="188"/>
      <c r="CC774" s="562"/>
      <c r="CD774" s="425"/>
    </row>
    <row r="775" spans="2:82" ht="30" customHeight="1" x14ac:dyDescent="0.3">
      <c r="B775" s="562"/>
      <c r="C775" s="563"/>
      <c r="D775" s="425"/>
      <c r="E775" s="250" t="str">
        <f t="shared" si="98"/>
        <v/>
      </c>
      <c r="F775" s="556"/>
      <c r="G775" s="252" t="str">
        <f>IFERROR(VLOOKUP(F775,'Data (hidden)'!N:O,2,FALSE),"")</f>
        <v/>
      </c>
      <c r="H775" s="557"/>
      <c r="I775" s="558"/>
      <c r="J775" s="123">
        <f t="shared" si="94"/>
        <v>0</v>
      </c>
      <c r="K775" s="123" t="e">
        <f t="shared" si="95"/>
        <v>#VALUE!</v>
      </c>
      <c r="L775" s="123">
        <f t="shared" si="92"/>
        <v>0</v>
      </c>
      <c r="M775" s="124" t="str">
        <f t="shared" si="93"/>
        <v/>
      </c>
      <c r="N775" s="112"/>
      <c r="O775" s="101"/>
      <c r="P775" s="101"/>
      <c r="Q775" s="101"/>
      <c r="R775" s="102"/>
      <c r="S775" s="102"/>
      <c r="T775" s="102"/>
      <c r="U775" s="103"/>
      <c r="V775" s="100"/>
      <c r="W775" s="101"/>
      <c r="X775" s="113"/>
      <c r="Y775" s="114"/>
      <c r="Z775" s="102"/>
      <c r="AA775" s="101"/>
      <c r="AB775" s="111"/>
      <c r="AE775" s="187"/>
      <c r="AF775" s="185"/>
      <c r="AG775" s="185" t="str">
        <f t="shared" si="96"/>
        <v/>
      </c>
      <c r="AH775" s="186" t="str">
        <f t="shared" si="97"/>
        <v/>
      </c>
      <c r="AI775" s="185"/>
      <c r="AJ775" s="188"/>
      <c r="CC775" s="562"/>
      <c r="CD775" s="425"/>
    </row>
    <row r="776" spans="2:82" ht="30" customHeight="1" x14ac:dyDescent="0.3">
      <c r="B776" s="562"/>
      <c r="C776" s="563"/>
      <c r="D776" s="425"/>
      <c r="E776" s="250" t="str">
        <f t="shared" si="98"/>
        <v/>
      </c>
      <c r="F776" s="556"/>
      <c r="G776" s="252" t="str">
        <f>IFERROR(VLOOKUP(F776,'Data (hidden)'!N:O,2,FALSE),"")</f>
        <v/>
      </c>
      <c r="H776" s="557"/>
      <c r="I776" s="558"/>
      <c r="J776" s="123">
        <f t="shared" si="94"/>
        <v>0</v>
      </c>
      <c r="K776" s="123" t="e">
        <f t="shared" si="95"/>
        <v>#VALUE!</v>
      </c>
      <c r="L776" s="123">
        <f t="shared" si="92"/>
        <v>0</v>
      </c>
      <c r="M776" s="124" t="str">
        <f t="shared" si="93"/>
        <v/>
      </c>
      <c r="N776" s="112"/>
      <c r="O776" s="101"/>
      <c r="P776" s="101"/>
      <c r="Q776" s="101"/>
      <c r="R776" s="102"/>
      <c r="S776" s="102"/>
      <c r="T776" s="102"/>
      <c r="U776" s="103"/>
      <c r="V776" s="100"/>
      <c r="W776" s="101"/>
      <c r="X776" s="113"/>
      <c r="Y776" s="114"/>
      <c r="Z776" s="102"/>
      <c r="AA776" s="101"/>
      <c r="AB776" s="111"/>
      <c r="AE776" s="187"/>
      <c r="AF776" s="185"/>
      <c r="AG776" s="185" t="str">
        <f t="shared" si="96"/>
        <v/>
      </c>
      <c r="AH776" s="186" t="str">
        <f t="shared" si="97"/>
        <v/>
      </c>
      <c r="AI776" s="185"/>
      <c r="AJ776" s="188"/>
      <c r="CC776" s="562"/>
      <c r="CD776" s="425"/>
    </row>
    <row r="777" spans="2:82" ht="30" customHeight="1" x14ac:dyDescent="0.3">
      <c r="B777" s="562"/>
      <c r="C777" s="563"/>
      <c r="D777" s="425"/>
      <c r="E777" s="250" t="str">
        <f t="shared" si="98"/>
        <v/>
      </c>
      <c r="F777" s="556"/>
      <c r="G777" s="252" t="str">
        <f>IFERROR(VLOOKUP(F777,'Data (hidden)'!N:O,2,FALSE),"")</f>
        <v/>
      </c>
      <c r="H777" s="557"/>
      <c r="I777" s="558"/>
      <c r="J777" s="123">
        <f t="shared" si="94"/>
        <v>0</v>
      </c>
      <c r="K777" s="123" t="e">
        <f t="shared" si="95"/>
        <v>#VALUE!</v>
      </c>
      <c r="L777" s="123">
        <f t="shared" si="92"/>
        <v>0</v>
      </c>
      <c r="M777" s="124" t="str">
        <f t="shared" si="93"/>
        <v/>
      </c>
      <c r="N777" s="112"/>
      <c r="O777" s="101"/>
      <c r="P777" s="101"/>
      <c r="Q777" s="101"/>
      <c r="R777" s="102"/>
      <c r="S777" s="102"/>
      <c r="T777" s="102"/>
      <c r="U777" s="103"/>
      <c r="V777" s="100"/>
      <c r="W777" s="101"/>
      <c r="X777" s="113"/>
      <c r="Y777" s="114"/>
      <c r="Z777" s="102"/>
      <c r="AA777" s="101"/>
      <c r="AB777" s="111"/>
      <c r="AE777" s="187"/>
      <c r="AF777" s="185"/>
      <c r="AG777" s="185" t="str">
        <f t="shared" si="96"/>
        <v/>
      </c>
      <c r="AH777" s="186" t="str">
        <f t="shared" si="97"/>
        <v/>
      </c>
      <c r="AI777" s="185"/>
      <c r="AJ777" s="188"/>
      <c r="CC777" s="562"/>
      <c r="CD777" s="425"/>
    </row>
    <row r="778" spans="2:82" ht="30" customHeight="1" x14ac:dyDescent="0.3">
      <c r="B778" s="562"/>
      <c r="C778" s="563"/>
      <c r="D778" s="425"/>
      <c r="E778" s="250" t="str">
        <f t="shared" si="98"/>
        <v/>
      </c>
      <c r="F778" s="556"/>
      <c r="G778" s="252" t="str">
        <f>IFERROR(VLOOKUP(F778,'Data (hidden)'!N:O,2,FALSE),"")</f>
        <v/>
      </c>
      <c r="H778" s="557"/>
      <c r="I778" s="558"/>
      <c r="J778" s="123">
        <f t="shared" si="94"/>
        <v>0</v>
      </c>
      <c r="K778" s="123" t="e">
        <f t="shared" si="95"/>
        <v>#VALUE!</v>
      </c>
      <c r="L778" s="123">
        <f t="shared" si="92"/>
        <v>0</v>
      </c>
      <c r="M778" s="124" t="str">
        <f t="shared" si="93"/>
        <v/>
      </c>
      <c r="N778" s="112"/>
      <c r="O778" s="101"/>
      <c r="P778" s="101"/>
      <c r="Q778" s="101"/>
      <c r="R778" s="102"/>
      <c r="S778" s="102"/>
      <c r="T778" s="102"/>
      <c r="U778" s="103"/>
      <c r="V778" s="100"/>
      <c r="W778" s="101"/>
      <c r="X778" s="113"/>
      <c r="Y778" s="114"/>
      <c r="Z778" s="102"/>
      <c r="AA778" s="101"/>
      <c r="AB778" s="111"/>
      <c r="AE778" s="187"/>
      <c r="AF778" s="185"/>
      <c r="AG778" s="185" t="str">
        <f t="shared" si="96"/>
        <v/>
      </c>
      <c r="AH778" s="186" t="str">
        <f t="shared" si="97"/>
        <v/>
      </c>
      <c r="AI778" s="185"/>
      <c r="AJ778" s="188"/>
      <c r="CC778" s="562"/>
      <c r="CD778" s="425"/>
    </row>
    <row r="779" spans="2:82" ht="30" customHeight="1" x14ac:dyDescent="0.3">
      <c r="B779" s="562"/>
      <c r="C779" s="563"/>
      <c r="D779" s="425"/>
      <c r="E779" s="250" t="str">
        <f t="shared" si="98"/>
        <v/>
      </c>
      <c r="F779" s="556"/>
      <c r="G779" s="252" t="str">
        <f>IFERROR(VLOOKUP(F779,'Data (hidden)'!N:O,2,FALSE),"")</f>
        <v/>
      </c>
      <c r="H779" s="557"/>
      <c r="I779" s="558"/>
      <c r="J779" s="123">
        <f t="shared" si="94"/>
        <v>0</v>
      </c>
      <c r="K779" s="123" t="e">
        <f t="shared" si="95"/>
        <v>#VALUE!</v>
      </c>
      <c r="L779" s="123">
        <f t="shared" si="92"/>
        <v>0</v>
      </c>
      <c r="M779" s="124" t="str">
        <f t="shared" si="93"/>
        <v/>
      </c>
      <c r="N779" s="112"/>
      <c r="O779" s="101"/>
      <c r="P779" s="101"/>
      <c r="Q779" s="101"/>
      <c r="R779" s="102"/>
      <c r="S779" s="102"/>
      <c r="T779" s="102"/>
      <c r="U779" s="103"/>
      <c r="V779" s="100"/>
      <c r="W779" s="101"/>
      <c r="X779" s="113"/>
      <c r="Y779" s="114"/>
      <c r="Z779" s="102"/>
      <c r="AA779" s="101"/>
      <c r="AB779" s="111"/>
      <c r="AE779" s="187"/>
      <c r="AF779" s="185"/>
      <c r="AG779" s="185" t="str">
        <f t="shared" si="96"/>
        <v/>
      </c>
      <c r="AH779" s="186" t="str">
        <f t="shared" si="97"/>
        <v/>
      </c>
      <c r="AI779" s="185"/>
      <c r="AJ779" s="188"/>
      <c r="CC779" s="562"/>
      <c r="CD779" s="425"/>
    </row>
    <row r="780" spans="2:82" ht="30" customHeight="1" x14ac:dyDescent="0.3">
      <c r="B780" s="562"/>
      <c r="C780" s="563"/>
      <c r="D780" s="425"/>
      <c r="E780" s="250" t="str">
        <f t="shared" si="98"/>
        <v/>
      </c>
      <c r="F780" s="556"/>
      <c r="G780" s="252" t="str">
        <f>IFERROR(VLOOKUP(F780,'Data (hidden)'!N:O,2,FALSE),"")</f>
        <v/>
      </c>
      <c r="H780" s="557"/>
      <c r="I780" s="558"/>
      <c r="J780" s="123">
        <f t="shared" si="94"/>
        <v>0</v>
      </c>
      <c r="K780" s="123" t="e">
        <f t="shared" si="95"/>
        <v>#VALUE!</v>
      </c>
      <c r="L780" s="123">
        <f t="shared" si="92"/>
        <v>0</v>
      </c>
      <c r="M780" s="124" t="str">
        <f t="shared" si="93"/>
        <v/>
      </c>
      <c r="N780" s="112"/>
      <c r="O780" s="101"/>
      <c r="P780" s="101"/>
      <c r="Q780" s="101"/>
      <c r="R780" s="102"/>
      <c r="S780" s="102"/>
      <c r="T780" s="102"/>
      <c r="U780" s="103"/>
      <c r="V780" s="100"/>
      <c r="W780" s="101"/>
      <c r="X780" s="113"/>
      <c r="Y780" s="114"/>
      <c r="Z780" s="102"/>
      <c r="AA780" s="101"/>
      <c r="AB780" s="111"/>
      <c r="AE780" s="187"/>
      <c r="AF780" s="185"/>
      <c r="AG780" s="185" t="str">
        <f t="shared" si="96"/>
        <v/>
      </c>
      <c r="AH780" s="186" t="str">
        <f t="shared" si="97"/>
        <v/>
      </c>
      <c r="AI780" s="185"/>
      <c r="AJ780" s="188"/>
      <c r="CC780" s="562"/>
      <c r="CD780" s="425"/>
    </row>
    <row r="781" spans="2:82" ht="30" customHeight="1" x14ac:dyDescent="0.3">
      <c r="B781" s="562"/>
      <c r="C781" s="563"/>
      <c r="D781" s="425"/>
      <c r="E781" s="250" t="str">
        <f t="shared" si="98"/>
        <v/>
      </c>
      <c r="F781" s="556"/>
      <c r="G781" s="252" t="str">
        <f>IFERROR(VLOOKUP(F781,'Data (hidden)'!N:O,2,FALSE),"")</f>
        <v/>
      </c>
      <c r="H781" s="557"/>
      <c r="I781" s="558"/>
      <c r="J781" s="123">
        <f t="shared" si="94"/>
        <v>0</v>
      </c>
      <c r="K781" s="123" t="e">
        <f t="shared" si="95"/>
        <v>#VALUE!</v>
      </c>
      <c r="L781" s="123">
        <f t="shared" si="92"/>
        <v>0</v>
      </c>
      <c r="M781" s="124" t="str">
        <f t="shared" si="93"/>
        <v/>
      </c>
      <c r="N781" s="112"/>
      <c r="O781" s="101"/>
      <c r="P781" s="101"/>
      <c r="Q781" s="101"/>
      <c r="R781" s="102"/>
      <c r="S781" s="102"/>
      <c r="T781" s="102"/>
      <c r="U781" s="103"/>
      <c r="V781" s="100"/>
      <c r="W781" s="101"/>
      <c r="X781" s="113"/>
      <c r="Y781" s="114"/>
      <c r="Z781" s="102"/>
      <c r="AA781" s="101"/>
      <c r="AB781" s="111"/>
      <c r="AE781" s="187"/>
      <c r="AF781" s="185"/>
      <c r="AG781" s="185" t="str">
        <f t="shared" si="96"/>
        <v/>
      </c>
      <c r="AH781" s="186" t="str">
        <f t="shared" si="97"/>
        <v/>
      </c>
      <c r="AI781" s="185"/>
      <c r="AJ781" s="188"/>
      <c r="CC781" s="562"/>
      <c r="CD781" s="425"/>
    </row>
    <row r="782" spans="2:82" ht="30" customHeight="1" x14ac:dyDescent="0.3">
      <c r="B782" s="562"/>
      <c r="C782" s="563"/>
      <c r="D782" s="425"/>
      <c r="E782" s="250" t="str">
        <f t="shared" si="98"/>
        <v/>
      </c>
      <c r="F782" s="556"/>
      <c r="G782" s="252" t="str">
        <f>IFERROR(VLOOKUP(F782,'Data (hidden)'!N:O,2,FALSE),"")</f>
        <v/>
      </c>
      <c r="H782" s="557"/>
      <c r="I782" s="558"/>
      <c r="J782" s="123">
        <f t="shared" si="94"/>
        <v>0</v>
      </c>
      <c r="K782" s="123" t="e">
        <f t="shared" si="95"/>
        <v>#VALUE!</v>
      </c>
      <c r="L782" s="123">
        <f t="shared" si="92"/>
        <v>0</v>
      </c>
      <c r="M782" s="124" t="str">
        <f t="shared" si="93"/>
        <v/>
      </c>
      <c r="N782" s="112"/>
      <c r="O782" s="101"/>
      <c r="P782" s="101"/>
      <c r="Q782" s="101"/>
      <c r="R782" s="102"/>
      <c r="S782" s="102"/>
      <c r="T782" s="102"/>
      <c r="U782" s="103"/>
      <c r="V782" s="100"/>
      <c r="W782" s="101"/>
      <c r="X782" s="113"/>
      <c r="Y782" s="114"/>
      <c r="Z782" s="102"/>
      <c r="AA782" s="101"/>
      <c r="AB782" s="111"/>
      <c r="AE782" s="187"/>
      <c r="AF782" s="185"/>
      <c r="AG782" s="185" t="str">
        <f t="shared" si="96"/>
        <v/>
      </c>
      <c r="AH782" s="186" t="str">
        <f t="shared" si="97"/>
        <v/>
      </c>
      <c r="AI782" s="185"/>
      <c r="AJ782" s="188"/>
      <c r="CC782" s="562"/>
      <c r="CD782" s="425"/>
    </row>
    <row r="783" spans="2:82" ht="30" customHeight="1" x14ac:dyDescent="0.3">
      <c r="B783" s="562"/>
      <c r="C783" s="563"/>
      <c r="D783" s="425"/>
      <c r="E783" s="250" t="str">
        <f t="shared" si="98"/>
        <v/>
      </c>
      <c r="F783" s="556"/>
      <c r="G783" s="252" t="str">
        <f>IFERROR(VLOOKUP(F783,'Data (hidden)'!N:O,2,FALSE),"")</f>
        <v/>
      </c>
      <c r="H783" s="557"/>
      <c r="I783" s="558"/>
      <c r="J783" s="123">
        <f t="shared" si="94"/>
        <v>0</v>
      </c>
      <c r="K783" s="123" t="e">
        <f t="shared" si="95"/>
        <v>#VALUE!</v>
      </c>
      <c r="L783" s="123">
        <f t="shared" si="92"/>
        <v>0</v>
      </c>
      <c r="M783" s="124" t="str">
        <f t="shared" si="93"/>
        <v/>
      </c>
      <c r="N783" s="112"/>
      <c r="O783" s="101"/>
      <c r="P783" s="101"/>
      <c r="Q783" s="101"/>
      <c r="R783" s="102"/>
      <c r="S783" s="102"/>
      <c r="T783" s="102"/>
      <c r="U783" s="103"/>
      <c r="V783" s="100"/>
      <c r="W783" s="101"/>
      <c r="X783" s="113"/>
      <c r="Y783" s="114"/>
      <c r="Z783" s="102"/>
      <c r="AA783" s="101"/>
      <c r="AB783" s="111"/>
      <c r="AE783" s="187"/>
      <c r="AF783" s="185"/>
      <c r="AG783" s="185" t="str">
        <f t="shared" si="96"/>
        <v/>
      </c>
      <c r="AH783" s="186" t="str">
        <f t="shared" si="97"/>
        <v/>
      </c>
      <c r="AI783" s="185"/>
      <c r="AJ783" s="188"/>
      <c r="CC783" s="562"/>
      <c r="CD783" s="425"/>
    </row>
    <row r="784" spans="2:82" ht="30" customHeight="1" x14ac:dyDescent="0.3">
      <c r="B784" s="562"/>
      <c r="C784" s="563"/>
      <c r="D784" s="425"/>
      <c r="E784" s="250" t="str">
        <f t="shared" si="98"/>
        <v/>
      </c>
      <c r="F784" s="556"/>
      <c r="G784" s="252" t="str">
        <f>IFERROR(VLOOKUP(F784,'Data (hidden)'!N:O,2,FALSE),"")</f>
        <v/>
      </c>
      <c r="H784" s="557"/>
      <c r="I784" s="558"/>
      <c r="J784" s="123">
        <f t="shared" si="94"/>
        <v>0</v>
      </c>
      <c r="K784" s="123" t="e">
        <f t="shared" si="95"/>
        <v>#VALUE!</v>
      </c>
      <c r="L784" s="123">
        <f t="shared" si="92"/>
        <v>0</v>
      </c>
      <c r="M784" s="124" t="str">
        <f t="shared" si="93"/>
        <v/>
      </c>
      <c r="N784" s="112"/>
      <c r="O784" s="101"/>
      <c r="P784" s="101"/>
      <c r="Q784" s="101"/>
      <c r="R784" s="102"/>
      <c r="S784" s="102"/>
      <c r="T784" s="102"/>
      <c r="U784" s="103"/>
      <c r="V784" s="100"/>
      <c r="W784" s="101"/>
      <c r="X784" s="113"/>
      <c r="Y784" s="114"/>
      <c r="Z784" s="102"/>
      <c r="AA784" s="101"/>
      <c r="AB784" s="111"/>
      <c r="AE784" s="187"/>
      <c r="AF784" s="185"/>
      <c r="AG784" s="185" t="str">
        <f t="shared" si="96"/>
        <v/>
      </c>
      <c r="AH784" s="186" t="str">
        <f t="shared" si="97"/>
        <v/>
      </c>
      <c r="AI784" s="185"/>
      <c r="AJ784" s="188"/>
      <c r="CC784" s="562"/>
      <c r="CD784" s="425"/>
    </row>
    <row r="785" spans="2:82" ht="30" customHeight="1" x14ac:dyDescent="0.3">
      <c r="B785" s="562"/>
      <c r="C785" s="563"/>
      <c r="D785" s="425"/>
      <c r="E785" s="250" t="str">
        <f t="shared" si="98"/>
        <v/>
      </c>
      <c r="F785" s="556"/>
      <c r="G785" s="252" t="str">
        <f>IFERROR(VLOOKUP(F785,'Data (hidden)'!N:O,2,FALSE),"")</f>
        <v/>
      </c>
      <c r="H785" s="557"/>
      <c r="I785" s="558"/>
      <c r="J785" s="123">
        <f t="shared" si="94"/>
        <v>0</v>
      </c>
      <c r="K785" s="123" t="e">
        <f t="shared" si="95"/>
        <v>#VALUE!</v>
      </c>
      <c r="L785" s="123">
        <f t="shared" si="92"/>
        <v>0</v>
      </c>
      <c r="M785" s="124" t="str">
        <f t="shared" si="93"/>
        <v/>
      </c>
      <c r="N785" s="112"/>
      <c r="O785" s="101"/>
      <c r="P785" s="101"/>
      <c r="Q785" s="101"/>
      <c r="R785" s="102"/>
      <c r="S785" s="102"/>
      <c r="T785" s="102"/>
      <c r="U785" s="103"/>
      <c r="V785" s="100"/>
      <c r="W785" s="101"/>
      <c r="X785" s="113"/>
      <c r="Y785" s="114"/>
      <c r="Z785" s="102"/>
      <c r="AA785" s="101"/>
      <c r="AB785" s="111"/>
      <c r="AE785" s="187"/>
      <c r="AF785" s="185"/>
      <c r="AG785" s="185" t="str">
        <f t="shared" si="96"/>
        <v/>
      </c>
      <c r="AH785" s="186" t="str">
        <f t="shared" si="97"/>
        <v/>
      </c>
      <c r="AI785" s="185"/>
      <c r="AJ785" s="188"/>
      <c r="CC785" s="562"/>
      <c r="CD785" s="425"/>
    </row>
    <row r="786" spans="2:82" ht="30" customHeight="1" x14ac:dyDescent="0.3">
      <c r="B786" s="562"/>
      <c r="C786" s="563"/>
      <c r="D786" s="425"/>
      <c r="E786" s="250" t="str">
        <f t="shared" si="98"/>
        <v/>
      </c>
      <c r="F786" s="556"/>
      <c r="G786" s="252" t="str">
        <f>IFERROR(VLOOKUP(F786,'Data (hidden)'!N:O,2,FALSE),"")</f>
        <v/>
      </c>
      <c r="H786" s="557"/>
      <c r="I786" s="558"/>
      <c r="J786" s="123">
        <f t="shared" si="94"/>
        <v>0</v>
      </c>
      <c r="K786" s="123" t="e">
        <f t="shared" si="95"/>
        <v>#VALUE!</v>
      </c>
      <c r="L786" s="123">
        <f t="shared" si="92"/>
        <v>0</v>
      </c>
      <c r="M786" s="124" t="str">
        <f t="shared" si="93"/>
        <v/>
      </c>
      <c r="N786" s="112"/>
      <c r="O786" s="101"/>
      <c r="P786" s="101"/>
      <c r="Q786" s="101"/>
      <c r="R786" s="102"/>
      <c r="S786" s="102"/>
      <c r="T786" s="102"/>
      <c r="U786" s="103"/>
      <c r="V786" s="100"/>
      <c r="W786" s="101"/>
      <c r="X786" s="113"/>
      <c r="Y786" s="114"/>
      <c r="Z786" s="102"/>
      <c r="AA786" s="101"/>
      <c r="AB786" s="111"/>
      <c r="AE786" s="187"/>
      <c r="AF786" s="185"/>
      <c r="AG786" s="185" t="str">
        <f t="shared" si="96"/>
        <v/>
      </c>
      <c r="AH786" s="186" t="str">
        <f t="shared" si="97"/>
        <v/>
      </c>
      <c r="AI786" s="185"/>
      <c r="AJ786" s="188"/>
      <c r="CC786" s="562"/>
      <c r="CD786" s="425"/>
    </row>
    <row r="787" spans="2:82" ht="30" customHeight="1" x14ac:dyDescent="0.3">
      <c r="B787" s="562"/>
      <c r="C787" s="563"/>
      <c r="D787" s="425"/>
      <c r="E787" s="250" t="str">
        <f t="shared" si="98"/>
        <v/>
      </c>
      <c r="F787" s="556"/>
      <c r="G787" s="252" t="str">
        <f>IFERROR(VLOOKUP(F787,'Data (hidden)'!N:O,2,FALSE),"")</f>
        <v/>
      </c>
      <c r="H787" s="557"/>
      <c r="I787" s="558"/>
      <c r="J787" s="123">
        <f t="shared" si="94"/>
        <v>0</v>
      </c>
      <c r="K787" s="123" t="e">
        <f t="shared" si="95"/>
        <v>#VALUE!</v>
      </c>
      <c r="L787" s="123">
        <f t="shared" ref="L787:L850" si="99">D787*0.01</f>
        <v>0</v>
      </c>
      <c r="M787" s="124" t="str">
        <f t="shared" ref="M787:M850" si="100">IFERROR(K787*I787,"")</f>
        <v/>
      </c>
      <c r="N787" s="112"/>
      <c r="O787" s="101"/>
      <c r="P787" s="101"/>
      <c r="Q787" s="101"/>
      <c r="R787" s="102"/>
      <c r="S787" s="102"/>
      <c r="T787" s="102"/>
      <c r="U787" s="103"/>
      <c r="V787" s="100"/>
      <c r="W787" s="101"/>
      <c r="X787" s="113"/>
      <c r="Y787" s="114"/>
      <c r="Z787" s="102"/>
      <c r="AA787" s="101"/>
      <c r="AB787" s="111"/>
      <c r="AE787" s="187"/>
      <c r="AF787" s="185"/>
      <c r="AG787" s="185" t="str">
        <f t="shared" si="96"/>
        <v/>
      </c>
      <c r="AH787" s="186" t="str">
        <f t="shared" si="97"/>
        <v/>
      </c>
      <c r="AI787" s="185"/>
      <c r="AJ787" s="188"/>
      <c r="CC787" s="562"/>
      <c r="CD787" s="425"/>
    </row>
    <row r="788" spans="2:82" ht="30" customHeight="1" x14ac:dyDescent="0.3">
      <c r="B788" s="562"/>
      <c r="C788" s="563"/>
      <c r="D788" s="425"/>
      <c r="E788" s="250" t="str">
        <f t="shared" si="98"/>
        <v/>
      </c>
      <c r="F788" s="556"/>
      <c r="G788" s="252" t="str">
        <f>IFERROR(VLOOKUP(F788,'Data (hidden)'!N:O,2,FALSE),"")</f>
        <v/>
      </c>
      <c r="H788" s="557"/>
      <c r="I788" s="558"/>
      <c r="J788" s="123">
        <f t="shared" ref="J788:J851" si="101">H788*0.01</f>
        <v>0</v>
      </c>
      <c r="K788" s="123" t="e">
        <f t="shared" ref="K788:K851" si="102">E788*J788</f>
        <v>#VALUE!</v>
      </c>
      <c r="L788" s="123">
        <f t="shared" si="99"/>
        <v>0</v>
      </c>
      <c r="M788" s="124" t="str">
        <f t="shared" si="100"/>
        <v/>
      </c>
      <c r="N788" s="112"/>
      <c r="O788" s="101"/>
      <c r="P788" s="101"/>
      <c r="Q788" s="101"/>
      <c r="R788" s="102"/>
      <c r="S788" s="102"/>
      <c r="T788" s="102"/>
      <c r="U788" s="103"/>
      <c r="V788" s="100"/>
      <c r="W788" s="101"/>
      <c r="X788" s="113"/>
      <c r="Y788" s="114"/>
      <c r="Z788" s="102"/>
      <c r="AA788" s="101"/>
      <c r="AB788" s="111"/>
      <c r="AE788" s="187"/>
      <c r="AF788" s="185"/>
      <c r="AG788" s="185" t="str">
        <f t="shared" ref="AG788:AG851" si="103">IF(ISNUMBER(B788), B788, "")</f>
        <v/>
      </c>
      <c r="AH788" s="186" t="str">
        <f t="shared" ref="AH788:AH851" si="104">E788</f>
        <v/>
      </c>
      <c r="AI788" s="185"/>
      <c r="AJ788" s="188"/>
      <c r="CC788" s="562"/>
      <c r="CD788" s="425"/>
    </row>
    <row r="789" spans="2:82" ht="30" customHeight="1" x14ac:dyDescent="0.3">
      <c r="B789" s="562"/>
      <c r="C789" s="563"/>
      <c r="D789" s="425"/>
      <c r="E789" s="250" t="str">
        <f t="shared" si="98"/>
        <v/>
      </c>
      <c r="F789" s="556"/>
      <c r="G789" s="252" t="str">
        <f>IFERROR(VLOOKUP(F789,'Data (hidden)'!N:O,2,FALSE),"")</f>
        <v/>
      </c>
      <c r="H789" s="557"/>
      <c r="I789" s="558"/>
      <c r="J789" s="123">
        <f t="shared" si="101"/>
        <v>0</v>
      </c>
      <c r="K789" s="123" t="e">
        <f t="shared" si="102"/>
        <v>#VALUE!</v>
      </c>
      <c r="L789" s="123">
        <f t="shared" si="99"/>
        <v>0</v>
      </c>
      <c r="M789" s="124" t="str">
        <f t="shared" si="100"/>
        <v/>
      </c>
      <c r="N789" s="112"/>
      <c r="O789" s="101"/>
      <c r="P789" s="101"/>
      <c r="Q789" s="101"/>
      <c r="R789" s="102"/>
      <c r="S789" s="102"/>
      <c r="T789" s="102"/>
      <c r="U789" s="103"/>
      <c r="V789" s="100"/>
      <c r="W789" s="101"/>
      <c r="X789" s="113"/>
      <c r="Y789" s="114"/>
      <c r="Z789" s="102"/>
      <c r="AA789" s="101"/>
      <c r="AB789" s="111"/>
      <c r="AE789" s="187"/>
      <c r="AF789" s="185"/>
      <c r="AG789" s="185" t="str">
        <f t="shared" si="103"/>
        <v/>
      </c>
      <c r="AH789" s="186" t="str">
        <f t="shared" si="104"/>
        <v/>
      </c>
      <c r="AI789" s="185"/>
      <c r="AJ789" s="188"/>
      <c r="CC789" s="562"/>
      <c r="CD789" s="425"/>
    </row>
    <row r="790" spans="2:82" ht="30" customHeight="1" x14ac:dyDescent="0.3">
      <c r="B790" s="562"/>
      <c r="C790" s="563"/>
      <c r="D790" s="425"/>
      <c r="E790" s="250" t="str">
        <f t="shared" si="98"/>
        <v/>
      </c>
      <c r="F790" s="556"/>
      <c r="G790" s="252" t="str">
        <f>IFERROR(VLOOKUP(F790,'Data (hidden)'!N:O,2,FALSE),"")</f>
        <v/>
      </c>
      <c r="H790" s="557"/>
      <c r="I790" s="558"/>
      <c r="J790" s="123">
        <f t="shared" si="101"/>
        <v>0</v>
      </c>
      <c r="K790" s="123" t="e">
        <f t="shared" si="102"/>
        <v>#VALUE!</v>
      </c>
      <c r="L790" s="123">
        <f t="shared" si="99"/>
        <v>0</v>
      </c>
      <c r="M790" s="124" t="str">
        <f t="shared" si="100"/>
        <v/>
      </c>
      <c r="N790" s="112"/>
      <c r="O790" s="101"/>
      <c r="P790" s="101"/>
      <c r="Q790" s="101"/>
      <c r="R790" s="102"/>
      <c r="S790" s="102"/>
      <c r="T790" s="102"/>
      <c r="U790" s="103"/>
      <c r="V790" s="100"/>
      <c r="W790" s="101"/>
      <c r="X790" s="113"/>
      <c r="Y790" s="114"/>
      <c r="Z790" s="102"/>
      <c r="AA790" s="101"/>
      <c r="AB790" s="111"/>
      <c r="AE790" s="187"/>
      <c r="AF790" s="185"/>
      <c r="AG790" s="185" t="str">
        <f t="shared" si="103"/>
        <v/>
      </c>
      <c r="AH790" s="186" t="str">
        <f t="shared" si="104"/>
        <v/>
      </c>
      <c r="AI790" s="185"/>
      <c r="AJ790" s="188"/>
      <c r="CC790" s="562"/>
      <c r="CD790" s="425"/>
    </row>
    <row r="791" spans="2:82" ht="30" customHeight="1" x14ac:dyDescent="0.3">
      <c r="B791" s="562"/>
      <c r="C791" s="563"/>
      <c r="D791" s="425"/>
      <c r="E791" s="250" t="str">
        <f t="shared" si="98"/>
        <v/>
      </c>
      <c r="F791" s="556"/>
      <c r="G791" s="252" t="str">
        <f>IFERROR(VLOOKUP(F791,'Data (hidden)'!N:O,2,FALSE),"")</f>
        <v/>
      </c>
      <c r="H791" s="557"/>
      <c r="I791" s="558"/>
      <c r="J791" s="123">
        <f t="shared" si="101"/>
        <v>0</v>
      </c>
      <c r="K791" s="123" t="e">
        <f t="shared" si="102"/>
        <v>#VALUE!</v>
      </c>
      <c r="L791" s="123">
        <f t="shared" si="99"/>
        <v>0</v>
      </c>
      <c r="M791" s="124" t="str">
        <f t="shared" si="100"/>
        <v/>
      </c>
      <c r="N791" s="112"/>
      <c r="O791" s="101"/>
      <c r="P791" s="101"/>
      <c r="Q791" s="101"/>
      <c r="R791" s="102"/>
      <c r="S791" s="102"/>
      <c r="T791" s="102"/>
      <c r="U791" s="103"/>
      <c r="V791" s="100"/>
      <c r="W791" s="101"/>
      <c r="X791" s="113"/>
      <c r="Y791" s="114"/>
      <c r="Z791" s="102"/>
      <c r="AA791" s="101"/>
      <c r="AB791" s="111"/>
      <c r="AE791" s="187"/>
      <c r="AF791" s="185"/>
      <c r="AG791" s="185" t="str">
        <f t="shared" si="103"/>
        <v/>
      </c>
      <c r="AH791" s="186" t="str">
        <f t="shared" si="104"/>
        <v/>
      </c>
      <c r="AI791" s="185"/>
      <c r="AJ791" s="188"/>
      <c r="CC791" s="562"/>
      <c r="CD791" s="425"/>
    </row>
    <row r="792" spans="2:82" ht="30" customHeight="1" x14ac:dyDescent="0.3">
      <c r="B792" s="562"/>
      <c r="C792" s="563"/>
      <c r="D792" s="425"/>
      <c r="E792" s="250" t="str">
        <f t="shared" si="98"/>
        <v/>
      </c>
      <c r="F792" s="556"/>
      <c r="G792" s="252" t="str">
        <f>IFERROR(VLOOKUP(F792,'Data (hidden)'!N:O,2,FALSE),"")</f>
        <v/>
      </c>
      <c r="H792" s="557"/>
      <c r="I792" s="558"/>
      <c r="J792" s="123">
        <f t="shared" si="101"/>
        <v>0</v>
      </c>
      <c r="K792" s="123" t="e">
        <f t="shared" si="102"/>
        <v>#VALUE!</v>
      </c>
      <c r="L792" s="123">
        <f t="shared" si="99"/>
        <v>0</v>
      </c>
      <c r="M792" s="124" t="str">
        <f t="shared" si="100"/>
        <v/>
      </c>
      <c r="N792" s="112"/>
      <c r="O792" s="101"/>
      <c r="P792" s="101"/>
      <c r="Q792" s="101"/>
      <c r="R792" s="102"/>
      <c r="S792" s="102"/>
      <c r="T792" s="102"/>
      <c r="U792" s="103"/>
      <c r="V792" s="100"/>
      <c r="W792" s="101"/>
      <c r="X792" s="113"/>
      <c r="Y792" s="114"/>
      <c r="Z792" s="102"/>
      <c r="AA792" s="101"/>
      <c r="AB792" s="111"/>
      <c r="AE792" s="187"/>
      <c r="AF792" s="185"/>
      <c r="AG792" s="185" t="str">
        <f t="shared" si="103"/>
        <v/>
      </c>
      <c r="AH792" s="186" t="str">
        <f t="shared" si="104"/>
        <v/>
      </c>
      <c r="AI792" s="185"/>
      <c r="AJ792" s="188"/>
      <c r="CC792" s="562"/>
      <c r="CD792" s="425"/>
    </row>
    <row r="793" spans="2:82" ht="30" customHeight="1" x14ac:dyDescent="0.3">
      <c r="B793" s="562"/>
      <c r="C793" s="563"/>
      <c r="D793" s="425"/>
      <c r="E793" s="250" t="str">
        <f t="shared" si="98"/>
        <v/>
      </c>
      <c r="F793" s="556"/>
      <c r="G793" s="252" t="str">
        <f>IFERROR(VLOOKUP(F793,'Data (hidden)'!N:O,2,FALSE),"")</f>
        <v/>
      </c>
      <c r="H793" s="557"/>
      <c r="I793" s="558"/>
      <c r="J793" s="123">
        <f t="shared" si="101"/>
        <v>0</v>
      </c>
      <c r="K793" s="123" t="e">
        <f t="shared" si="102"/>
        <v>#VALUE!</v>
      </c>
      <c r="L793" s="123">
        <f t="shared" si="99"/>
        <v>0</v>
      </c>
      <c r="M793" s="124" t="str">
        <f t="shared" si="100"/>
        <v/>
      </c>
      <c r="N793" s="112"/>
      <c r="O793" s="101"/>
      <c r="P793" s="101"/>
      <c r="Q793" s="101"/>
      <c r="R793" s="102"/>
      <c r="S793" s="102"/>
      <c r="T793" s="102"/>
      <c r="U793" s="103"/>
      <c r="V793" s="100"/>
      <c r="W793" s="101"/>
      <c r="X793" s="113"/>
      <c r="Y793" s="114"/>
      <c r="Z793" s="102"/>
      <c r="AA793" s="101"/>
      <c r="AB793" s="111"/>
      <c r="AE793" s="187"/>
      <c r="AF793" s="185"/>
      <c r="AG793" s="185" t="str">
        <f t="shared" si="103"/>
        <v/>
      </c>
      <c r="AH793" s="186" t="str">
        <f t="shared" si="104"/>
        <v/>
      </c>
      <c r="AI793" s="185"/>
      <c r="AJ793" s="188"/>
      <c r="CC793" s="562"/>
      <c r="CD793" s="425"/>
    </row>
    <row r="794" spans="2:82" ht="30" customHeight="1" x14ac:dyDescent="0.3">
      <c r="B794" s="562"/>
      <c r="C794" s="563"/>
      <c r="D794" s="425"/>
      <c r="E794" s="250" t="str">
        <f t="shared" si="98"/>
        <v/>
      </c>
      <c r="F794" s="556"/>
      <c r="G794" s="252" t="str">
        <f>IFERROR(VLOOKUP(F794,'Data (hidden)'!N:O,2,FALSE),"")</f>
        <v/>
      </c>
      <c r="H794" s="557"/>
      <c r="I794" s="558"/>
      <c r="J794" s="123">
        <f t="shared" si="101"/>
        <v>0</v>
      </c>
      <c r="K794" s="123" t="e">
        <f t="shared" si="102"/>
        <v>#VALUE!</v>
      </c>
      <c r="L794" s="123">
        <f t="shared" si="99"/>
        <v>0</v>
      </c>
      <c r="M794" s="124" t="str">
        <f t="shared" si="100"/>
        <v/>
      </c>
      <c r="N794" s="112"/>
      <c r="O794" s="101"/>
      <c r="P794" s="101"/>
      <c r="Q794" s="101"/>
      <c r="R794" s="102"/>
      <c r="S794" s="102"/>
      <c r="T794" s="102"/>
      <c r="U794" s="103"/>
      <c r="V794" s="100"/>
      <c r="W794" s="101"/>
      <c r="X794" s="113"/>
      <c r="Y794" s="114"/>
      <c r="Z794" s="102"/>
      <c r="AA794" s="101"/>
      <c r="AB794" s="111"/>
      <c r="AE794" s="187"/>
      <c r="AF794" s="185"/>
      <c r="AG794" s="185" t="str">
        <f t="shared" si="103"/>
        <v/>
      </c>
      <c r="AH794" s="186" t="str">
        <f t="shared" si="104"/>
        <v/>
      </c>
      <c r="AI794" s="185"/>
      <c r="AJ794" s="188"/>
      <c r="CC794" s="562"/>
      <c r="CD794" s="425"/>
    </row>
    <row r="795" spans="2:82" ht="30" customHeight="1" x14ac:dyDescent="0.3">
      <c r="B795" s="562"/>
      <c r="C795" s="563"/>
      <c r="D795" s="425"/>
      <c r="E795" s="250" t="str">
        <f t="shared" si="98"/>
        <v/>
      </c>
      <c r="F795" s="556"/>
      <c r="G795" s="252" t="str">
        <f>IFERROR(VLOOKUP(F795,'Data (hidden)'!N:O,2,FALSE),"")</f>
        <v/>
      </c>
      <c r="H795" s="557"/>
      <c r="I795" s="558"/>
      <c r="J795" s="123">
        <f t="shared" si="101"/>
        <v>0</v>
      </c>
      <c r="K795" s="123" t="e">
        <f t="shared" si="102"/>
        <v>#VALUE!</v>
      </c>
      <c r="L795" s="123">
        <f t="shared" si="99"/>
        <v>0</v>
      </c>
      <c r="M795" s="124" t="str">
        <f t="shared" si="100"/>
        <v/>
      </c>
      <c r="N795" s="112"/>
      <c r="O795" s="101"/>
      <c r="P795" s="101"/>
      <c r="Q795" s="101"/>
      <c r="R795" s="102"/>
      <c r="S795" s="102"/>
      <c r="T795" s="102"/>
      <c r="U795" s="103"/>
      <c r="V795" s="100"/>
      <c r="W795" s="101"/>
      <c r="X795" s="113"/>
      <c r="Y795" s="114"/>
      <c r="Z795" s="102"/>
      <c r="AA795" s="101"/>
      <c r="AB795" s="111"/>
      <c r="AE795" s="187"/>
      <c r="AF795" s="185"/>
      <c r="AG795" s="185" t="str">
        <f t="shared" si="103"/>
        <v/>
      </c>
      <c r="AH795" s="186" t="str">
        <f t="shared" si="104"/>
        <v/>
      </c>
      <c r="AI795" s="185"/>
      <c r="AJ795" s="188"/>
      <c r="CC795" s="562"/>
      <c r="CD795" s="425"/>
    </row>
    <row r="796" spans="2:82" ht="30" customHeight="1" x14ac:dyDescent="0.3">
      <c r="B796" s="562"/>
      <c r="C796" s="563"/>
      <c r="D796" s="425"/>
      <c r="E796" s="250" t="str">
        <f t="shared" si="98"/>
        <v/>
      </c>
      <c r="F796" s="556"/>
      <c r="G796" s="252" t="str">
        <f>IFERROR(VLOOKUP(F796,'Data (hidden)'!N:O,2,FALSE),"")</f>
        <v/>
      </c>
      <c r="H796" s="557"/>
      <c r="I796" s="558"/>
      <c r="J796" s="123">
        <f t="shared" si="101"/>
        <v>0</v>
      </c>
      <c r="K796" s="123" t="e">
        <f t="shared" si="102"/>
        <v>#VALUE!</v>
      </c>
      <c r="L796" s="123">
        <f t="shared" si="99"/>
        <v>0</v>
      </c>
      <c r="M796" s="124" t="str">
        <f t="shared" si="100"/>
        <v/>
      </c>
      <c r="N796" s="112"/>
      <c r="O796" s="101"/>
      <c r="P796" s="101"/>
      <c r="Q796" s="101"/>
      <c r="R796" s="102"/>
      <c r="S796" s="102"/>
      <c r="T796" s="102"/>
      <c r="U796" s="103"/>
      <c r="V796" s="100"/>
      <c r="W796" s="101"/>
      <c r="X796" s="113"/>
      <c r="Y796" s="114"/>
      <c r="Z796" s="102"/>
      <c r="AA796" s="101"/>
      <c r="AB796" s="111"/>
      <c r="AE796" s="187"/>
      <c r="AF796" s="185"/>
      <c r="AG796" s="185" t="str">
        <f t="shared" si="103"/>
        <v/>
      </c>
      <c r="AH796" s="186" t="str">
        <f t="shared" si="104"/>
        <v/>
      </c>
      <c r="AI796" s="185"/>
      <c r="AJ796" s="188"/>
      <c r="CC796" s="562"/>
      <c r="CD796" s="425"/>
    </row>
    <row r="797" spans="2:82" ht="30" customHeight="1" x14ac:dyDescent="0.3">
      <c r="B797" s="562"/>
      <c r="C797" s="563"/>
      <c r="D797" s="425"/>
      <c r="E797" s="250" t="str">
        <f t="shared" si="98"/>
        <v/>
      </c>
      <c r="F797" s="556"/>
      <c r="G797" s="252" t="str">
        <f>IFERROR(VLOOKUP(F797,'Data (hidden)'!N:O,2,FALSE),"")</f>
        <v/>
      </c>
      <c r="H797" s="557"/>
      <c r="I797" s="558"/>
      <c r="J797" s="123">
        <f t="shared" si="101"/>
        <v>0</v>
      </c>
      <c r="K797" s="123" t="e">
        <f t="shared" si="102"/>
        <v>#VALUE!</v>
      </c>
      <c r="L797" s="123">
        <f t="shared" si="99"/>
        <v>0</v>
      </c>
      <c r="M797" s="124" t="str">
        <f t="shared" si="100"/>
        <v/>
      </c>
      <c r="N797" s="112"/>
      <c r="O797" s="101"/>
      <c r="P797" s="101"/>
      <c r="Q797" s="101"/>
      <c r="R797" s="102"/>
      <c r="S797" s="102"/>
      <c r="T797" s="102"/>
      <c r="U797" s="103"/>
      <c r="V797" s="100"/>
      <c r="W797" s="101"/>
      <c r="X797" s="113"/>
      <c r="Y797" s="114"/>
      <c r="Z797" s="102"/>
      <c r="AA797" s="101"/>
      <c r="AB797" s="111"/>
      <c r="AE797" s="187"/>
      <c r="AF797" s="185"/>
      <c r="AG797" s="185" t="str">
        <f t="shared" si="103"/>
        <v/>
      </c>
      <c r="AH797" s="186" t="str">
        <f t="shared" si="104"/>
        <v/>
      </c>
      <c r="AI797" s="185"/>
      <c r="AJ797" s="188"/>
      <c r="CC797" s="562"/>
      <c r="CD797" s="425"/>
    </row>
    <row r="798" spans="2:82" ht="30" customHeight="1" x14ac:dyDescent="0.3">
      <c r="B798" s="562"/>
      <c r="C798" s="563"/>
      <c r="D798" s="425"/>
      <c r="E798" s="250" t="str">
        <f t="shared" si="98"/>
        <v/>
      </c>
      <c r="F798" s="556"/>
      <c r="G798" s="252" t="str">
        <f>IFERROR(VLOOKUP(F798,'Data (hidden)'!N:O,2,FALSE),"")</f>
        <v/>
      </c>
      <c r="H798" s="557"/>
      <c r="I798" s="558"/>
      <c r="J798" s="123">
        <f t="shared" si="101"/>
        <v>0</v>
      </c>
      <c r="K798" s="123" t="e">
        <f t="shared" si="102"/>
        <v>#VALUE!</v>
      </c>
      <c r="L798" s="123">
        <f t="shared" si="99"/>
        <v>0</v>
      </c>
      <c r="M798" s="124" t="str">
        <f t="shared" si="100"/>
        <v/>
      </c>
      <c r="N798" s="112"/>
      <c r="O798" s="101"/>
      <c r="P798" s="101"/>
      <c r="Q798" s="101"/>
      <c r="R798" s="102"/>
      <c r="S798" s="102"/>
      <c r="T798" s="102"/>
      <c r="U798" s="103"/>
      <c r="V798" s="100"/>
      <c r="W798" s="101"/>
      <c r="X798" s="113"/>
      <c r="Y798" s="114"/>
      <c r="Z798" s="102"/>
      <c r="AA798" s="101"/>
      <c r="AB798" s="111"/>
      <c r="AE798" s="187"/>
      <c r="AF798" s="185"/>
      <c r="AG798" s="185" t="str">
        <f t="shared" si="103"/>
        <v/>
      </c>
      <c r="AH798" s="186" t="str">
        <f t="shared" si="104"/>
        <v/>
      </c>
      <c r="AI798" s="185"/>
      <c r="AJ798" s="188"/>
      <c r="CC798" s="562"/>
      <c r="CD798" s="425"/>
    </row>
    <row r="799" spans="2:82" ht="30" customHeight="1" x14ac:dyDescent="0.3">
      <c r="B799" s="562"/>
      <c r="C799" s="563"/>
      <c r="D799" s="425"/>
      <c r="E799" s="250" t="str">
        <f t="shared" si="98"/>
        <v/>
      </c>
      <c r="F799" s="556"/>
      <c r="G799" s="252" t="str">
        <f>IFERROR(VLOOKUP(F799,'Data (hidden)'!N:O,2,FALSE),"")</f>
        <v/>
      </c>
      <c r="H799" s="557"/>
      <c r="I799" s="558"/>
      <c r="J799" s="123">
        <f t="shared" si="101"/>
        <v>0</v>
      </c>
      <c r="K799" s="123" t="e">
        <f t="shared" si="102"/>
        <v>#VALUE!</v>
      </c>
      <c r="L799" s="123">
        <f t="shared" si="99"/>
        <v>0</v>
      </c>
      <c r="M799" s="124" t="str">
        <f t="shared" si="100"/>
        <v/>
      </c>
      <c r="N799" s="112"/>
      <c r="O799" s="101"/>
      <c r="P799" s="101"/>
      <c r="Q799" s="101"/>
      <c r="R799" s="102"/>
      <c r="S799" s="102"/>
      <c r="T799" s="102"/>
      <c r="U799" s="103"/>
      <c r="V799" s="100"/>
      <c r="W799" s="101"/>
      <c r="X799" s="113"/>
      <c r="Y799" s="114"/>
      <c r="Z799" s="102"/>
      <c r="AA799" s="101"/>
      <c r="AB799" s="111"/>
      <c r="AE799" s="187"/>
      <c r="AF799" s="185"/>
      <c r="AG799" s="185" t="str">
        <f t="shared" si="103"/>
        <v/>
      </c>
      <c r="AH799" s="186" t="str">
        <f t="shared" si="104"/>
        <v/>
      </c>
      <c r="AI799" s="185"/>
      <c r="AJ799" s="188"/>
      <c r="CC799" s="562"/>
      <c r="CD799" s="425"/>
    </row>
    <row r="800" spans="2:82" ht="30" customHeight="1" x14ac:dyDescent="0.3">
      <c r="B800" s="562"/>
      <c r="C800" s="563"/>
      <c r="D800" s="425"/>
      <c r="E800" s="250" t="str">
        <f t="shared" si="98"/>
        <v/>
      </c>
      <c r="F800" s="556"/>
      <c r="G800" s="252" t="str">
        <f>IFERROR(VLOOKUP(F800,'Data (hidden)'!N:O,2,FALSE),"")</f>
        <v/>
      </c>
      <c r="H800" s="557"/>
      <c r="I800" s="558"/>
      <c r="J800" s="123">
        <f t="shared" si="101"/>
        <v>0</v>
      </c>
      <c r="K800" s="123" t="e">
        <f t="shared" si="102"/>
        <v>#VALUE!</v>
      </c>
      <c r="L800" s="123">
        <f t="shared" si="99"/>
        <v>0</v>
      </c>
      <c r="M800" s="124" t="str">
        <f t="shared" si="100"/>
        <v/>
      </c>
      <c r="N800" s="112"/>
      <c r="O800" s="101"/>
      <c r="P800" s="101"/>
      <c r="Q800" s="101"/>
      <c r="R800" s="102"/>
      <c r="S800" s="102"/>
      <c r="T800" s="102"/>
      <c r="U800" s="103"/>
      <c r="V800" s="100"/>
      <c r="W800" s="101"/>
      <c r="X800" s="113"/>
      <c r="Y800" s="114"/>
      <c r="Z800" s="102"/>
      <c r="AA800" s="101"/>
      <c r="AB800" s="111"/>
      <c r="AE800" s="187"/>
      <c r="AF800" s="185"/>
      <c r="AG800" s="185" t="str">
        <f t="shared" si="103"/>
        <v/>
      </c>
      <c r="AH800" s="186" t="str">
        <f t="shared" si="104"/>
        <v/>
      </c>
      <c r="AI800" s="185"/>
      <c r="AJ800" s="188"/>
      <c r="CC800" s="562"/>
      <c r="CD800" s="425"/>
    </row>
    <row r="801" spans="2:82" ht="30" customHeight="1" x14ac:dyDescent="0.3">
      <c r="B801" s="562"/>
      <c r="C801" s="563"/>
      <c r="D801" s="425"/>
      <c r="E801" s="250" t="str">
        <f t="shared" si="98"/>
        <v/>
      </c>
      <c r="F801" s="556"/>
      <c r="G801" s="252" t="str">
        <f>IFERROR(VLOOKUP(F801,'Data (hidden)'!N:O,2,FALSE),"")</f>
        <v/>
      </c>
      <c r="H801" s="557"/>
      <c r="I801" s="558"/>
      <c r="J801" s="123">
        <f t="shared" si="101"/>
        <v>0</v>
      </c>
      <c r="K801" s="123" t="e">
        <f t="shared" si="102"/>
        <v>#VALUE!</v>
      </c>
      <c r="L801" s="123">
        <f t="shared" si="99"/>
        <v>0</v>
      </c>
      <c r="M801" s="124" t="str">
        <f t="shared" si="100"/>
        <v/>
      </c>
      <c r="N801" s="112"/>
      <c r="O801" s="101"/>
      <c r="P801" s="101"/>
      <c r="Q801" s="101"/>
      <c r="R801" s="102"/>
      <c r="S801" s="102"/>
      <c r="T801" s="102"/>
      <c r="U801" s="103"/>
      <c r="V801" s="100"/>
      <c r="W801" s="101"/>
      <c r="X801" s="113"/>
      <c r="Y801" s="114"/>
      <c r="Z801" s="102"/>
      <c r="AA801" s="101"/>
      <c r="AB801" s="111"/>
      <c r="AE801" s="187"/>
      <c r="AF801" s="185"/>
      <c r="AG801" s="185" t="str">
        <f t="shared" si="103"/>
        <v/>
      </c>
      <c r="AH801" s="186" t="str">
        <f t="shared" si="104"/>
        <v/>
      </c>
      <c r="AI801" s="185"/>
      <c r="AJ801" s="188"/>
      <c r="CC801" s="562"/>
      <c r="CD801" s="425"/>
    </row>
    <row r="802" spans="2:82" ht="30" customHeight="1" x14ac:dyDescent="0.3">
      <c r="B802" s="562"/>
      <c r="C802" s="563"/>
      <c r="D802" s="425"/>
      <c r="E802" s="250" t="str">
        <f t="shared" si="98"/>
        <v/>
      </c>
      <c r="F802" s="556"/>
      <c r="G802" s="252" t="str">
        <f>IFERROR(VLOOKUP(F802,'Data (hidden)'!N:O,2,FALSE),"")</f>
        <v/>
      </c>
      <c r="H802" s="557"/>
      <c r="I802" s="558"/>
      <c r="J802" s="123">
        <f t="shared" si="101"/>
        <v>0</v>
      </c>
      <c r="K802" s="123" t="e">
        <f t="shared" si="102"/>
        <v>#VALUE!</v>
      </c>
      <c r="L802" s="123">
        <f t="shared" si="99"/>
        <v>0</v>
      </c>
      <c r="M802" s="124" t="str">
        <f t="shared" si="100"/>
        <v/>
      </c>
      <c r="N802" s="112"/>
      <c r="O802" s="101"/>
      <c r="P802" s="101"/>
      <c r="Q802" s="101"/>
      <c r="R802" s="102"/>
      <c r="S802" s="102"/>
      <c r="T802" s="102"/>
      <c r="U802" s="103"/>
      <c r="V802" s="100"/>
      <c r="W802" s="101"/>
      <c r="X802" s="113"/>
      <c r="Y802" s="114"/>
      <c r="Z802" s="102"/>
      <c r="AA802" s="101"/>
      <c r="AB802" s="111"/>
      <c r="AE802" s="187"/>
      <c r="AF802" s="185"/>
      <c r="AG802" s="185" t="str">
        <f t="shared" si="103"/>
        <v/>
      </c>
      <c r="AH802" s="186" t="str">
        <f t="shared" si="104"/>
        <v/>
      </c>
      <c r="AI802" s="185"/>
      <c r="AJ802" s="188"/>
      <c r="CC802" s="562"/>
      <c r="CD802" s="425"/>
    </row>
    <row r="803" spans="2:82" ht="30" customHeight="1" x14ac:dyDescent="0.3">
      <c r="B803" s="562"/>
      <c r="C803" s="563"/>
      <c r="D803" s="425"/>
      <c r="E803" s="250" t="str">
        <f t="shared" si="98"/>
        <v/>
      </c>
      <c r="F803" s="556"/>
      <c r="G803" s="252" t="str">
        <f>IFERROR(VLOOKUP(F803,'Data (hidden)'!N:O,2,FALSE),"")</f>
        <v/>
      </c>
      <c r="H803" s="557"/>
      <c r="I803" s="558"/>
      <c r="J803" s="123">
        <f t="shared" si="101"/>
        <v>0</v>
      </c>
      <c r="K803" s="123" t="e">
        <f t="shared" si="102"/>
        <v>#VALUE!</v>
      </c>
      <c r="L803" s="123">
        <f t="shared" si="99"/>
        <v>0</v>
      </c>
      <c r="M803" s="124" t="str">
        <f t="shared" si="100"/>
        <v/>
      </c>
      <c r="N803" s="112"/>
      <c r="O803" s="101"/>
      <c r="P803" s="101"/>
      <c r="Q803" s="101"/>
      <c r="R803" s="102"/>
      <c r="S803" s="102"/>
      <c r="T803" s="102"/>
      <c r="U803" s="103"/>
      <c r="V803" s="100"/>
      <c r="W803" s="101"/>
      <c r="X803" s="113"/>
      <c r="Y803" s="114"/>
      <c r="Z803" s="102"/>
      <c r="AA803" s="101"/>
      <c r="AB803" s="111"/>
      <c r="AE803" s="187"/>
      <c r="AF803" s="185"/>
      <c r="AG803" s="185" t="str">
        <f t="shared" si="103"/>
        <v/>
      </c>
      <c r="AH803" s="186" t="str">
        <f t="shared" si="104"/>
        <v/>
      </c>
      <c r="AI803" s="185"/>
      <c r="AJ803" s="188"/>
      <c r="CC803" s="562"/>
      <c r="CD803" s="425"/>
    </row>
    <row r="804" spans="2:82" ht="30" customHeight="1" x14ac:dyDescent="0.3">
      <c r="B804" s="562"/>
      <c r="C804" s="563"/>
      <c r="D804" s="425"/>
      <c r="E804" s="250" t="str">
        <f t="shared" si="98"/>
        <v/>
      </c>
      <c r="F804" s="556"/>
      <c r="G804" s="252" t="str">
        <f>IFERROR(VLOOKUP(F804,'Data (hidden)'!N:O,2,FALSE),"")</f>
        <v/>
      </c>
      <c r="H804" s="557"/>
      <c r="I804" s="558"/>
      <c r="J804" s="123">
        <f t="shared" si="101"/>
        <v>0</v>
      </c>
      <c r="K804" s="123" t="e">
        <f t="shared" si="102"/>
        <v>#VALUE!</v>
      </c>
      <c r="L804" s="123">
        <f t="shared" si="99"/>
        <v>0</v>
      </c>
      <c r="M804" s="124" t="str">
        <f t="shared" si="100"/>
        <v/>
      </c>
      <c r="N804" s="112"/>
      <c r="O804" s="101"/>
      <c r="P804" s="101"/>
      <c r="Q804" s="101"/>
      <c r="R804" s="102"/>
      <c r="S804" s="102"/>
      <c r="T804" s="102"/>
      <c r="U804" s="103"/>
      <c r="V804" s="100"/>
      <c r="W804" s="101"/>
      <c r="X804" s="113"/>
      <c r="Y804" s="114"/>
      <c r="Z804" s="102"/>
      <c r="AA804" s="101"/>
      <c r="AB804" s="111"/>
      <c r="AE804" s="187"/>
      <c r="AF804" s="185"/>
      <c r="AG804" s="185" t="str">
        <f t="shared" si="103"/>
        <v/>
      </c>
      <c r="AH804" s="186" t="str">
        <f t="shared" si="104"/>
        <v/>
      </c>
      <c r="AI804" s="185"/>
      <c r="AJ804" s="188"/>
      <c r="CC804" s="562"/>
      <c r="CD804" s="425"/>
    </row>
    <row r="805" spans="2:82" ht="30" customHeight="1" x14ac:dyDescent="0.3">
      <c r="B805" s="562"/>
      <c r="C805" s="563"/>
      <c r="D805" s="425"/>
      <c r="E805" s="250" t="str">
        <f t="shared" si="98"/>
        <v/>
      </c>
      <c r="F805" s="556"/>
      <c r="G805" s="252" t="str">
        <f>IFERROR(VLOOKUP(F805,'Data (hidden)'!N:O,2,FALSE),"")</f>
        <v/>
      </c>
      <c r="H805" s="557"/>
      <c r="I805" s="558"/>
      <c r="J805" s="123">
        <f t="shared" si="101"/>
        <v>0</v>
      </c>
      <c r="K805" s="123" t="e">
        <f t="shared" si="102"/>
        <v>#VALUE!</v>
      </c>
      <c r="L805" s="123">
        <f t="shared" si="99"/>
        <v>0</v>
      </c>
      <c r="M805" s="124" t="str">
        <f t="shared" si="100"/>
        <v/>
      </c>
      <c r="N805" s="112"/>
      <c r="O805" s="101"/>
      <c r="P805" s="101"/>
      <c r="Q805" s="101"/>
      <c r="R805" s="102"/>
      <c r="S805" s="102"/>
      <c r="T805" s="102"/>
      <c r="U805" s="103"/>
      <c r="V805" s="100"/>
      <c r="W805" s="101"/>
      <c r="X805" s="113"/>
      <c r="Y805" s="114"/>
      <c r="Z805" s="102"/>
      <c r="AA805" s="101"/>
      <c r="AB805" s="111"/>
      <c r="AE805" s="187"/>
      <c r="AF805" s="185"/>
      <c r="AG805" s="185" t="str">
        <f t="shared" si="103"/>
        <v/>
      </c>
      <c r="AH805" s="186" t="str">
        <f t="shared" si="104"/>
        <v/>
      </c>
      <c r="AI805" s="185"/>
      <c r="AJ805" s="188"/>
      <c r="CC805" s="562"/>
      <c r="CD805" s="425"/>
    </row>
    <row r="806" spans="2:82" ht="30" customHeight="1" x14ac:dyDescent="0.3">
      <c r="B806" s="562"/>
      <c r="C806" s="563"/>
      <c r="D806" s="425"/>
      <c r="E806" s="250" t="str">
        <f t="shared" si="98"/>
        <v/>
      </c>
      <c r="F806" s="556"/>
      <c r="G806" s="252" t="str">
        <f>IFERROR(VLOOKUP(F806,'Data (hidden)'!N:O,2,FALSE),"")</f>
        <v/>
      </c>
      <c r="H806" s="557"/>
      <c r="I806" s="558"/>
      <c r="J806" s="123">
        <f t="shared" si="101"/>
        <v>0</v>
      </c>
      <c r="K806" s="123" t="e">
        <f t="shared" si="102"/>
        <v>#VALUE!</v>
      </c>
      <c r="L806" s="123">
        <f t="shared" si="99"/>
        <v>0</v>
      </c>
      <c r="M806" s="124" t="str">
        <f t="shared" si="100"/>
        <v/>
      </c>
      <c r="N806" s="112"/>
      <c r="O806" s="101"/>
      <c r="P806" s="101"/>
      <c r="Q806" s="101"/>
      <c r="R806" s="102"/>
      <c r="S806" s="102"/>
      <c r="T806" s="102"/>
      <c r="U806" s="103"/>
      <c r="V806" s="100"/>
      <c r="W806" s="101"/>
      <c r="X806" s="113"/>
      <c r="Y806" s="114"/>
      <c r="Z806" s="102"/>
      <c r="AA806" s="101"/>
      <c r="AB806" s="111"/>
      <c r="AE806" s="187"/>
      <c r="AF806" s="185"/>
      <c r="AG806" s="185" t="str">
        <f t="shared" si="103"/>
        <v/>
      </c>
      <c r="AH806" s="186" t="str">
        <f t="shared" si="104"/>
        <v/>
      </c>
      <c r="AI806" s="185"/>
      <c r="AJ806" s="188"/>
      <c r="CC806" s="562"/>
      <c r="CD806" s="425"/>
    </row>
    <row r="807" spans="2:82" ht="30" customHeight="1" x14ac:dyDescent="0.3">
      <c r="B807" s="562"/>
      <c r="C807" s="563"/>
      <c r="D807" s="425"/>
      <c r="E807" s="250" t="str">
        <f t="shared" si="98"/>
        <v/>
      </c>
      <c r="F807" s="556"/>
      <c r="G807" s="252" t="str">
        <f>IFERROR(VLOOKUP(F807,'Data (hidden)'!N:O,2,FALSE),"")</f>
        <v/>
      </c>
      <c r="H807" s="557"/>
      <c r="I807" s="558"/>
      <c r="J807" s="123">
        <f t="shared" si="101"/>
        <v>0</v>
      </c>
      <c r="K807" s="123" t="e">
        <f t="shared" si="102"/>
        <v>#VALUE!</v>
      </c>
      <c r="L807" s="123">
        <f t="shared" si="99"/>
        <v>0</v>
      </c>
      <c r="M807" s="124" t="str">
        <f t="shared" si="100"/>
        <v/>
      </c>
      <c r="N807" s="112"/>
      <c r="O807" s="101"/>
      <c r="P807" s="101"/>
      <c r="Q807" s="101"/>
      <c r="R807" s="102"/>
      <c r="S807" s="102"/>
      <c r="T807" s="102"/>
      <c r="U807" s="103"/>
      <c r="V807" s="100"/>
      <c r="W807" s="101"/>
      <c r="X807" s="113"/>
      <c r="Y807" s="114"/>
      <c r="Z807" s="102"/>
      <c r="AA807" s="101"/>
      <c r="AB807" s="111"/>
      <c r="AE807" s="187"/>
      <c r="AF807" s="185"/>
      <c r="AG807" s="185" t="str">
        <f t="shared" si="103"/>
        <v/>
      </c>
      <c r="AH807" s="186" t="str">
        <f t="shared" si="104"/>
        <v/>
      </c>
      <c r="AI807" s="185"/>
      <c r="AJ807" s="188"/>
      <c r="CC807" s="562"/>
      <c r="CD807" s="425"/>
    </row>
    <row r="808" spans="2:82" ht="30" customHeight="1" x14ac:dyDescent="0.3">
      <c r="B808" s="562"/>
      <c r="C808" s="563"/>
      <c r="D808" s="425"/>
      <c r="E808" s="250" t="str">
        <f t="shared" si="98"/>
        <v/>
      </c>
      <c r="F808" s="556"/>
      <c r="G808" s="252" t="str">
        <f>IFERROR(VLOOKUP(F808,'Data (hidden)'!N:O,2,FALSE),"")</f>
        <v/>
      </c>
      <c r="H808" s="557"/>
      <c r="I808" s="558"/>
      <c r="J808" s="123">
        <f t="shared" si="101"/>
        <v>0</v>
      </c>
      <c r="K808" s="123" t="e">
        <f t="shared" si="102"/>
        <v>#VALUE!</v>
      </c>
      <c r="L808" s="123">
        <f t="shared" si="99"/>
        <v>0</v>
      </c>
      <c r="M808" s="124" t="str">
        <f t="shared" si="100"/>
        <v/>
      </c>
      <c r="N808" s="112"/>
      <c r="O808" s="101"/>
      <c r="P808" s="101"/>
      <c r="Q808" s="101"/>
      <c r="R808" s="102"/>
      <c r="S808" s="102"/>
      <c r="T808" s="102"/>
      <c r="U808" s="103"/>
      <c r="V808" s="100"/>
      <c r="W808" s="101"/>
      <c r="X808" s="113"/>
      <c r="Y808" s="114"/>
      <c r="Z808" s="102"/>
      <c r="AA808" s="101"/>
      <c r="AB808" s="111"/>
      <c r="AE808" s="187"/>
      <c r="AF808" s="185"/>
      <c r="AG808" s="185" t="str">
        <f t="shared" si="103"/>
        <v/>
      </c>
      <c r="AH808" s="186" t="str">
        <f t="shared" si="104"/>
        <v/>
      </c>
      <c r="AI808" s="185"/>
      <c r="AJ808" s="188"/>
      <c r="CC808" s="562"/>
      <c r="CD808" s="425"/>
    </row>
    <row r="809" spans="2:82" ht="30" customHeight="1" x14ac:dyDescent="0.3">
      <c r="B809" s="562"/>
      <c r="C809" s="563"/>
      <c r="D809" s="425"/>
      <c r="E809" s="250" t="str">
        <f t="shared" si="98"/>
        <v/>
      </c>
      <c r="F809" s="556"/>
      <c r="G809" s="252" t="str">
        <f>IFERROR(VLOOKUP(F809,'Data (hidden)'!N:O,2,FALSE),"")</f>
        <v/>
      </c>
      <c r="H809" s="557"/>
      <c r="I809" s="558"/>
      <c r="J809" s="123">
        <f t="shared" si="101"/>
        <v>0</v>
      </c>
      <c r="K809" s="123" t="e">
        <f t="shared" si="102"/>
        <v>#VALUE!</v>
      </c>
      <c r="L809" s="123">
        <f t="shared" si="99"/>
        <v>0</v>
      </c>
      <c r="M809" s="124" t="str">
        <f t="shared" si="100"/>
        <v/>
      </c>
      <c r="N809" s="112"/>
      <c r="O809" s="101"/>
      <c r="P809" s="101"/>
      <c r="Q809" s="101"/>
      <c r="R809" s="102"/>
      <c r="S809" s="102"/>
      <c r="T809" s="102"/>
      <c r="U809" s="103"/>
      <c r="V809" s="100"/>
      <c r="W809" s="101"/>
      <c r="X809" s="113"/>
      <c r="Y809" s="114"/>
      <c r="Z809" s="102"/>
      <c r="AA809" s="101"/>
      <c r="AB809" s="111"/>
      <c r="AE809" s="187"/>
      <c r="AF809" s="185"/>
      <c r="AG809" s="185" t="str">
        <f t="shared" si="103"/>
        <v/>
      </c>
      <c r="AH809" s="186" t="str">
        <f t="shared" si="104"/>
        <v/>
      </c>
      <c r="AI809" s="185"/>
      <c r="AJ809" s="188"/>
      <c r="CC809" s="562"/>
      <c r="CD809" s="425"/>
    </row>
    <row r="810" spans="2:82" ht="30" customHeight="1" x14ac:dyDescent="0.3">
      <c r="B810" s="562"/>
      <c r="C810" s="563"/>
      <c r="D810" s="425"/>
      <c r="E810" s="250" t="str">
        <f t="shared" si="98"/>
        <v/>
      </c>
      <c r="F810" s="556"/>
      <c r="G810" s="252" t="str">
        <f>IFERROR(VLOOKUP(F810,'Data (hidden)'!N:O,2,FALSE),"")</f>
        <v/>
      </c>
      <c r="H810" s="557"/>
      <c r="I810" s="558"/>
      <c r="J810" s="123">
        <f t="shared" si="101"/>
        <v>0</v>
      </c>
      <c r="K810" s="123" t="e">
        <f t="shared" si="102"/>
        <v>#VALUE!</v>
      </c>
      <c r="L810" s="123">
        <f t="shared" si="99"/>
        <v>0</v>
      </c>
      <c r="M810" s="124" t="str">
        <f t="shared" si="100"/>
        <v/>
      </c>
      <c r="N810" s="112"/>
      <c r="O810" s="101"/>
      <c r="P810" s="101"/>
      <c r="Q810" s="101"/>
      <c r="R810" s="102"/>
      <c r="S810" s="102"/>
      <c r="T810" s="102"/>
      <c r="U810" s="103"/>
      <c r="V810" s="100"/>
      <c r="W810" s="101"/>
      <c r="X810" s="113"/>
      <c r="Y810" s="114"/>
      <c r="Z810" s="102"/>
      <c r="AA810" s="101"/>
      <c r="AB810" s="111"/>
      <c r="AE810" s="187"/>
      <c r="AF810" s="185"/>
      <c r="AG810" s="185" t="str">
        <f t="shared" si="103"/>
        <v/>
      </c>
      <c r="AH810" s="186" t="str">
        <f t="shared" si="104"/>
        <v/>
      </c>
      <c r="AI810" s="185"/>
      <c r="AJ810" s="188"/>
      <c r="CC810" s="562"/>
      <c r="CD810" s="425"/>
    </row>
    <row r="811" spans="2:82" ht="30" customHeight="1" x14ac:dyDescent="0.3">
      <c r="B811" s="562"/>
      <c r="C811" s="563"/>
      <c r="D811" s="425"/>
      <c r="E811" s="250" t="str">
        <f t="shared" si="98"/>
        <v/>
      </c>
      <c r="F811" s="556"/>
      <c r="G811" s="252" t="str">
        <f>IFERROR(VLOOKUP(F811,'Data (hidden)'!N:O,2,FALSE),"")</f>
        <v/>
      </c>
      <c r="H811" s="557"/>
      <c r="I811" s="558"/>
      <c r="J811" s="123">
        <f t="shared" si="101"/>
        <v>0</v>
      </c>
      <c r="K811" s="123" t="e">
        <f t="shared" si="102"/>
        <v>#VALUE!</v>
      </c>
      <c r="L811" s="123">
        <f t="shared" si="99"/>
        <v>0</v>
      </c>
      <c r="M811" s="124" t="str">
        <f t="shared" si="100"/>
        <v/>
      </c>
      <c r="N811" s="112"/>
      <c r="O811" s="101"/>
      <c r="P811" s="101"/>
      <c r="Q811" s="101"/>
      <c r="R811" s="102"/>
      <c r="S811" s="102"/>
      <c r="T811" s="102"/>
      <c r="U811" s="103"/>
      <c r="V811" s="100"/>
      <c r="W811" s="101"/>
      <c r="X811" s="113"/>
      <c r="Y811" s="114"/>
      <c r="Z811" s="102"/>
      <c r="AA811" s="101"/>
      <c r="AB811" s="111"/>
      <c r="AE811" s="187"/>
      <c r="AF811" s="185"/>
      <c r="AG811" s="185" t="str">
        <f t="shared" si="103"/>
        <v/>
      </c>
      <c r="AH811" s="186" t="str">
        <f t="shared" si="104"/>
        <v/>
      </c>
      <c r="AI811" s="185"/>
      <c r="AJ811" s="188"/>
      <c r="CC811" s="562"/>
      <c r="CD811" s="425"/>
    </row>
    <row r="812" spans="2:82" ht="30" customHeight="1" x14ac:dyDescent="0.3">
      <c r="B812" s="562"/>
      <c r="C812" s="563"/>
      <c r="D812" s="425"/>
      <c r="E812" s="250" t="str">
        <f t="shared" si="98"/>
        <v/>
      </c>
      <c r="F812" s="556"/>
      <c r="G812" s="252" t="str">
        <f>IFERROR(VLOOKUP(F812,'Data (hidden)'!N:O,2,FALSE),"")</f>
        <v/>
      </c>
      <c r="H812" s="557"/>
      <c r="I812" s="558"/>
      <c r="J812" s="123">
        <f t="shared" si="101"/>
        <v>0</v>
      </c>
      <c r="K812" s="123" t="e">
        <f t="shared" si="102"/>
        <v>#VALUE!</v>
      </c>
      <c r="L812" s="123">
        <f t="shared" si="99"/>
        <v>0</v>
      </c>
      <c r="M812" s="124" t="str">
        <f t="shared" si="100"/>
        <v/>
      </c>
      <c r="N812" s="112"/>
      <c r="O812" s="101"/>
      <c r="P812" s="101"/>
      <c r="Q812" s="101"/>
      <c r="R812" s="102"/>
      <c r="S812" s="102"/>
      <c r="T812" s="102"/>
      <c r="U812" s="103"/>
      <c r="V812" s="100"/>
      <c r="W812" s="101"/>
      <c r="X812" s="113"/>
      <c r="Y812" s="114"/>
      <c r="Z812" s="102"/>
      <c r="AA812" s="101"/>
      <c r="AB812" s="111"/>
      <c r="AE812" s="187"/>
      <c r="AF812" s="185"/>
      <c r="AG812" s="185" t="str">
        <f t="shared" si="103"/>
        <v/>
      </c>
      <c r="AH812" s="186" t="str">
        <f t="shared" si="104"/>
        <v/>
      </c>
      <c r="AI812" s="185"/>
      <c r="AJ812" s="188"/>
      <c r="CC812" s="562"/>
      <c r="CD812" s="425"/>
    </row>
    <row r="813" spans="2:82" ht="30" customHeight="1" x14ac:dyDescent="0.3">
      <c r="B813" s="562"/>
      <c r="C813" s="563"/>
      <c r="D813" s="425"/>
      <c r="E813" s="250" t="str">
        <f t="shared" si="98"/>
        <v/>
      </c>
      <c r="F813" s="556"/>
      <c r="G813" s="252" t="str">
        <f>IFERROR(VLOOKUP(F813,'Data (hidden)'!N:O,2,FALSE),"")</f>
        <v/>
      </c>
      <c r="H813" s="557"/>
      <c r="I813" s="558"/>
      <c r="J813" s="123">
        <f t="shared" si="101"/>
        <v>0</v>
      </c>
      <c r="K813" s="123" t="e">
        <f t="shared" si="102"/>
        <v>#VALUE!</v>
      </c>
      <c r="L813" s="123">
        <f t="shared" si="99"/>
        <v>0</v>
      </c>
      <c r="M813" s="124" t="str">
        <f t="shared" si="100"/>
        <v/>
      </c>
      <c r="N813" s="112"/>
      <c r="O813" s="101"/>
      <c r="P813" s="101"/>
      <c r="Q813" s="101"/>
      <c r="R813" s="102"/>
      <c r="S813" s="102"/>
      <c r="T813" s="102"/>
      <c r="U813" s="103"/>
      <c r="V813" s="100"/>
      <c r="W813" s="101"/>
      <c r="X813" s="113"/>
      <c r="Y813" s="114"/>
      <c r="Z813" s="102"/>
      <c r="AA813" s="101"/>
      <c r="AB813" s="111"/>
      <c r="AE813" s="187"/>
      <c r="AF813" s="185"/>
      <c r="AG813" s="185" t="str">
        <f t="shared" si="103"/>
        <v/>
      </c>
      <c r="AH813" s="186" t="str">
        <f t="shared" si="104"/>
        <v/>
      </c>
      <c r="AI813" s="185"/>
      <c r="AJ813" s="188"/>
      <c r="CC813" s="562"/>
      <c r="CD813" s="425"/>
    </row>
    <row r="814" spans="2:82" ht="30" customHeight="1" x14ac:dyDescent="0.3">
      <c r="B814" s="562"/>
      <c r="C814" s="563"/>
      <c r="D814" s="425"/>
      <c r="E814" s="250" t="str">
        <f t="shared" si="98"/>
        <v/>
      </c>
      <c r="F814" s="556"/>
      <c r="G814" s="252" t="str">
        <f>IFERROR(VLOOKUP(F814,'Data (hidden)'!N:O,2,FALSE),"")</f>
        <v/>
      </c>
      <c r="H814" s="557"/>
      <c r="I814" s="558"/>
      <c r="J814" s="123">
        <f t="shared" si="101"/>
        <v>0</v>
      </c>
      <c r="K814" s="123" t="e">
        <f t="shared" si="102"/>
        <v>#VALUE!</v>
      </c>
      <c r="L814" s="123">
        <f t="shared" si="99"/>
        <v>0</v>
      </c>
      <c r="M814" s="124" t="str">
        <f t="shared" si="100"/>
        <v/>
      </c>
      <c r="N814" s="112"/>
      <c r="O814" s="101"/>
      <c r="P814" s="101"/>
      <c r="Q814" s="101"/>
      <c r="R814" s="102"/>
      <c r="S814" s="102"/>
      <c r="T814" s="102"/>
      <c r="U814" s="103"/>
      <c r="V814" s="100"/>
      <c r="W814" s="101"/>
      <c r="X814" s="113"/>
      <c r="Y814" s="114"/>
      <c r="Z814" s="102"/>
      <c r="AA814" s="101"/>
      <c r="AB814" s="111"/>
      <c r="AE814" s="187"/>
      <c r="AF814" s="185"/>
      <c r="AG814" s="185" t="str">
        <f t="shared" si="103"/>
        <v/>
      </c>
      <c r="AH814" s="186" t="str">
        <f t="shared" si="104"/>
        <v/>
      </c>
      <c r="AI814" s="185"/>
      <c r="AJ814" s="188"/>
      <c r="CC814" s="562"/>
      <c r="CD814" s="425"/>
    </row>
    <row r="815" spans="2:82" ht="30" customHeight="1" x14ac:dyDescent="0.3">
      <c r="B815" s="562"/>
      <c r="C815" s="563"/>
      <c r="D815" s="425"/>
      <c r="E815" s="250" t="str">
        <f t="shared" si="98"/>
        <v/>
      </c>
      <c r="F815" s="556"/>
      <c r="G815" s="252" t="str">
        <f>IFERROR(VLOOKUP(F815,'Data (hidden)'!N:O,2,FALSE),"")</f>
        <v/>
      </c>
      <c r="H815" s="557"/>
      <c r="I815" s="558"/>
      <c r="J815" s="123">
        <f t="shared" si="101"/>
        <v>0</v>
      </c>
      <c r="K815" s="123" t="e">
        <f t="shared" si="102"/>
        <v>#VALUE!</v>
      </c>
      <c r="L815" s="123">
        <f t="shared" si="99"/>
        <v>0</v>
      </c>
      <c r="M815" s="124" t="str">
        <f t="shared" si="100"/>
        <v/>
      </c>
      <c r="N815" s="112"/>
      <c r="O815" s="101"/>
      <c r="P815" s="101"/>
      <c r="Q815" s="101"/>
      <c r="R815" s="102"/>
      <c r="S815" s="102"/>
      <c r="T815" s="102"/>
      <c r="U815" s="103"/>
      <c r="V815" s="100"/>
      <c r="W815" s="101"/>
      <c r="X815" s="113"/>
      <c r="Y815" s="114"/>
      <c r="Z815" s="102"/>
      <c r="AA815" s="101"/>
      <c r="AB815" s="111"/>
      <c r="AE815" s="187"/>
      <c r="AF815" s="185"/>
      <c r="AG815" s="185" t="str">
        <f t="shared" si="103"/>
        <v/>
      </c>
      <c r="AH815" s="186" t="str">
        <f t="shared" si="104"/>
        <v/>
      </c>
      <c r="AI815" s="185"/>
      <c r="AJ815" s="188"/>
      <c r="CC815" s="562"/>
      <c r="CD815" s="425"/>
    </row>
    <row r="816" spans="2:82" ht="30" customHeight="1" x14ac:dyDescent="0.3">
      <c r="B816" s="562"/>
      <c r="C816" s="563"/>
      <c r="D816" s="425"/>
      <c r="E816" s="250" t="str">
        <f t="shared" si="98"/>
        <v/>
      </c>
      <c r="F816" s="556"/>
      <c r="G816" s="252" t="str">
        <f>IFERROR(VLOOKUP(F816,'Data (hidden)'!N:O,2,FALSE),"")</f>
        <v/>
      </c>
      <c r="H816" s="557"/>
      <c r="I816" s="558"/>
      <c r="J816" s="123">
        <f t="shared" si="101"/>
        <v>0</v>
      </c>
      <c r="K816" s="123" t="e">
        <f t="shared" si="102"/>
        <v>#VALUE!</v>
      </c>
      <c r="L816" s="123">
        <f t="shared" si="99"/>
        <v>0</v>
      </c>
      <c r="M816" s="124" t="str">
        <f t="shared" si="100"/>
        <v/>
      </c>
      <c r="N816" s="112"/>
      <c r="O816" s="101"/>
      <c r="P816" s="101"/>
      <c r="Q816" s="101"/>
      <c r="R816" s="102"/>
      <c r="S816" s="102"/>
      <c r="T816" s="102"/>
      <c r="U816" s="103"/>
      <c r="V816" s="100"/>
      <c r="W816" s="101"/>
      <c r="X816" s="113"/>
      <c r="Y816" s="114"/>
      <c r="Z816" s="102"/>
      <c r="AA816" s="101"/>
      <c r="AB816" s="111"/>
      <c r="AE816" s="187"/>
      <c r="AF816" s="185"/>
      <c r="AG816" s="185" t="str">
        <f t="shared" si="103"/>
        <v/>
      </c>
      <c r="AH816" s="186" t="str">
        <f t="shared" si="104"/>
        <v/>
      </c>
      <c r="AI816" s="185"/>
      <c r="AJ816" s="188"/>
      <c r="CC816" s="562"/>
      <c r="CD816" s="425"/>
    </row>
    <row r="817" spans="2:82" ht="30" customHeight="1" x14ac:dyDescent="0.3">
      <c r="B817" s="562"/>
      <c r="C817" s="563"/>
      <c r="D817" s="425"/>
      <c r="E817" s="250" t="str">
        <f t="shared" si="98"/>
        <v/>
      </c>
      <c r="F817" s="556"/>
      <c r="G817" s="252" t="str">
        <f>IFERROR(VLOOKUP(F817,'Data (hidden)'!N:O,2,FALSE),"")</f>
        <v/>
      </c>
      <c r="H817" s="557"/>
      <c r="I817" s="558"/>
      <c r="J817" s="123">
        <f t="shared" si="101"/>
        <v>0</v>
      </c>
      <c r="K817" s="123" t="e">
        <f t="shared" si="102"/>
        <v>#VALUE!</v>
      </c>
      <c r="L817" s="123">
        <f t="shared" si="99"/>
        <v>0</v>
      </c>
      <c r="M817" s="124" t="str">
        <f t="shared" si="100"/>
        <v/>
      </c>
      <c r="N817" s="112"/>
      <c r="O817" s="101"/>
      <c r="P817" s="101"/>
      <c r="Q817" s="101"/>
      <c r="R817" s="102"/>
      <c r="S817" s="102"/>
      <c r="T817" s="102"/>
      <c r="U817" s="103"/>
      <c r="V817" s="100"/>
      <c r="W817" s="101"/>
      <c r="X817" s="113"/>
      <c r="Y817" s="114"/>
      <c r="Z817" s="102"/>
      <c r="AA817" s="101"/>
      <c r="AB817" s="111"/>
      <c r="AE817" s="187"/>
      <c r="AF817" s="185"/>
      <c r="AG817" s="185" t="str">
        <f t="shared" si="103"/>
        <v/>
      </c>
      <c r="AH817" s="186" t="str">
        <f t="shared" si="104"/>
        <v/>
      </c>
      <c r="AI817" s="185"/>
      <c r="AJ817" s="188"/>
      <c r="CC817" s="562"/>
      <c r="CD817" s="425"/>
    </row>
    <row r="818" spans="2:82" ht="30" customHeight="1" x14ac:dyDescent="0.3">
      <c r="B818" s="562"/>
      <c r="C818" s="563"/>
      <c r="D818" s="425"/>
      <c r="E818" s="250" t="str">
        <f t="shared" si="98"/>
        <v/>
      </c>
      <c r="F818" s="556"/>
      <c r="G818" s="252" t="str">
        <f>IFERROR(VLOOKUP(F818,'Data (hidden)'!N:O,2,FALSE),"")</f>
        <v/>
      </c>
      <c r="H818" s="557"/>
      <c r="I818" s="558"/>
      <c r="J818" s="123">
        <f t="shared" si="101"/>
        <v>0</v>
      </c>
      <c r="K818" s="123" t="e">
        <f t="shared" si="102"/>
        <v>#VALUE!</v>
      </c>
      <c r="L818" s="123">
        <f t="shared" si="99"/>
        <v>0</v>
      </c>
      <c r="M818" s="124" t="str">
        <f t="shared" si="100"/>
        <v/>
      </c>
      <c r="N818" s="112"/>
      <c r="O818" s="101"/>
      <c r="P818" s="101"/>
      <c r="Q818" s="101"/>
      <c r="R818" s="102"/>
      <c r="S818" s="102"/>
      <c r="T818" s="102"/>
      <c r="U818" s="103"/>
      <c r="V818" s="100"/>
      <c r="W818" s="101"/>
      <c r="X818" s="113"/>
      <c r="Y818" s="114"/>
      <c r="Z818" s="102"/>
      <c r="AA818" s="101"/>
      <c r="AB818" s="111"/>
      <c r="AE818" s="187"/>
      <c r="AF818" s="185"/>
      <c r="AG818" s="185" t="str">
        <f t="shared" si="103"/>
        <v/>
      </c>
      <c r="AH818" s="186" t="str">
        <f t="shared" si="104"/>
        <v/>
      </c>
      <c r="AI818" s="185"/>
      <c r="AJ818" s="188"/>
      <c r="CC818" s="562"/>
      <c r="CD818" s="425"/>
    </row>
    <row r="819" spans="2:82" ht="30" customHeight="1" x14ac:dyDescent="0.3">
      <c r="B819" s="562"/>
      <c r="C819" s="563"/>
      <c r="D819" s="425"/>
      <c r="E819" s="250" t="str">
        <f t="shared" si="98"/>
        <v/>
      </c>
      <c r="F819" s="556"/>
      <c r="G819" s="252" t="str">
        <f>IFERROR(VLOOKUP(F819,'Data (hidden)'!N:O,2,FALSE),"")</f>
        <v/>
      </c>
      <c r="H819" s="557"/>
      <c r="I819" s="558"/>
      <c r="J819" s="123">
        <f t="shared" si="101"/>
        <v>0</v>
      </c>
      <c r="K819" s="123" t="e">
        <f t="shared" si="102"/>
        <v>#VALUE!</v>
      </c>
      <c r="L819" s="123">
        <f t="shared" si="99"/>
        <v>0</v>
      </c>
      <c r="M819" s="124" t="str">
        <f t="shared" si="100"/>
        <v/>
      </c>
      <c r="N819" s="112"/>
      <c r="O819" s="101"/>
      <c r="P819" s="101"/>
      <c r="Q819" s="101"/>
      <c r="R819" s="102"/>
      <c r="S819" s="102"/>
      <c r="T819" s="102"/>
      <c r="U819" s="103"/>
      <c r="V819" s="100"/>
      <c r="W819" s="101"/>
      <c r="X819" s="113"/>
      <c r="Y819" s="114"/>
      <c r="Z819" s="102"/>
      <c r="AA819" s="101"/>
      <c r="AB819" s="111"/>
      <c r="AE819" s="187"/>
      <c r="AF819" s="185"/>
      <c r="AG819" s="185" t="str">
        <f t="shared" si="103"/>
        <v/>
      </c>
      <c r="AH819" s="186" t="str">
        <f t="shared" si="104"/>
        <v/>
      </c>
      <c r="AI819" s="185"/>
      <c r="AJ819" s="188"/>
      <c r="CC819" s="562"/>
      <c r="CD819" s="425"/>
    </row>
    <row r="820" spans="2:82" ht="30" customHeight="1" x14ac:dyDescent="0.3">
      <c r="B820" s="562"/>
      <c r="C820" s="563"/>
      <c r="D820" s="425"/>
      <c r="E820" s="250" t="str">
        <f t="shared" ref="E820:E883" si="105">IF(SUM(C820-(C820*L820))=0,"",SUM(C820-(C820*L820)))</f>
        <v/>
      </c>
      <c r="F820" s="556"/>
      <c r="G820" s="252" t="str">
        <f>IFERROR(VLOOKUP(F820,'Data (hidden)'!N:O,2,FALSE),"")</f>
        <v/>
      </c>
      <c r="H820" s="557"/>
      <c r="I820" s="558"/>
      <c r="J820" s="123">
        <f t="shared" si="101"/>
        <v>0</v>
      </c>
      <c r="K820" s="123" t="e">
        <f t="shared" si="102"/>
        <v>#VALUE!</v>
      </c>
      <c r="L820" s="123">
        <f t="shared" si="99"/>
        <v>0</v>
      </c>
      <c r="M820" s="124" t="str">
        <f t="shared" si="100"/>
        <v/>
      </c>
      <c r="N820" s="112"/>
      <c r="O820" s="101"/>
      <c r="P820" s="101"/>
      <c r="Q820" s="101"/>
      <c r="R820" s="102"/>
      <c r="S820" s="102"/>
      <c r="T820" s="102"/>
      <c r="U820" s="103"/>
      <c r="V820" s="100"/>
      <c r="W820" s="101"/>
      <c r="X820" s="113"/>
      <c r="Y820" s="114"/>
      <c r="Z820" s="102"/>
      <c r="AA820" s="101"/>
      <c r="AB820" s="111"/>
      <c r="AE820" s="187"/>
      <c r="AF820" s="185"/>
      <c r="AG820" s="185" t="str">
        <f t="shared" si="103"/>
        <v/>
      </c>
      <c r="AH820" s="186" t="str">
        <f t="shared" si="104"/>
        <v/>
      </c>
      <c r="AI820" s="185"/>
      <c r="AJ820" s="188"/>
      <c r="CC820" s="562"/>
      <c r="CD820" s="425"/>
    </row>
    <row r="821" spans="2:82" ht="30" customHeight="1" x14ac:dyDescent="0.3">
      <c r="B821" s="562"/>
      <c r="C821" s="563"/>
      <c r="D821" s="425"/>
      <c r="E821" s="250" t="str">
        <f t="shared" si="105"/>
        <v/>
      </c>
      <c r="F821" s="556"/>
      <c r="G821" s="252" t="str">
        <f>IFERROR(VLOOKUP(F821,'Data (hidden)'!N:O,2,FALSE),"")</f>
        <v/>
      </c>
      <c r="H821" s="557"/>
      <c r="I821" s="558"/>
      <c r="J821" s="123">
        <f t="shared" si="101"/>
        <v>0</v>
      </c>
      <c r="K821" s="123" t="e">
        <f t="shared" si="102"/>
        <v>#VALUE!</v>
      </c>
      <c r="L821" s="123">
        <f t="shared" si="99"/>
        <v>0</v>
      </c>
      <c r="M821" s="124" t="str">
        <f t="shared" si="100"/>
        <v/>
      </c>
      <c r="N821" s="112"/>
      <c r="O821" s="101"/>
      <c r="P821" s="101"/>
      <c r="Q821" s="101"/>
      <c r="R821" s="102"/>
      <c r="S821" s="102"/>
      <c r="T821" s="102"/>
      <c r="U821" s="103"/>
      <c r="V821" s="100"/>
      <c r="W821" s="101"/>
      <c r="X821" s="113"/>
      <c r="Y821" s="114"/>
      <c r="Z821" s="102"/>
      <c r="AA821" s="101"/>
      <c r="AB821" s="111"/>
      <c r="AE821" s="187"/>
      <c r="AF821" s="185"/>
      <c r="AG821" s="185" t="str">
        <f t="shared" si="103"/>
        <v/>
      </c>
      <c r="AH821" s="186" t="str">
        <f t="shared" si="104"/>
        <v/>
      </c>
      <c r="AI821" s="185"/>
      <c r="AJ821" s="188"/>
      <c r="CC821" s="562"/>
      <c r="CD821" s="425"/>
    </row>
    <row r="822" spans="2:82" ht="30" customHeight="1" x14ac:dyDescent="0.3">
      <c r="B822" s="562"/>
      <c r="C822" s="563"/>
      <c r="D822" s="425"/>
      <c r="E822" s="250" t="str">
        <f t="shared" si="105"/>
        <v/>
      </c>
      <c r="F822" s="556"/>
      <c r="G822" s="252" t="str">
        <f>IFERROR(VLOOKUP(F822,'Data (hidden)'!N:O,2,FALSE),"")</f>
        <v/>
      </c>
      <c r="H822" s="557"/>
      <c r="I822" s="558"/>
      <c r="J822" s="123">
        <f t="shared" si="101"/>
        <v>0</v>
      </c>
      <c r="K822" s="123" t="e">
        <f t="shared" si="102"/>
        <v>#VALUE!</v>
      </c>
      <c r="L822" s="123">
        <f t="shared" si="99"/>
        <v>0</v>
      </c>
      <c r="M822" s="124" t="str">
        <f t="shared" si="100"/>
        <v/>
      </c>
      <c r="N822" s="112"/>
      <c r="O822" s="101"/>
      <c r="P822" s="101"/>
      <c r="Q822" s="101"/>
      <c r="R822" s="102"/>
      <c r="S822" s="102"/>
      <c r="T822" s="102"/>
      <c r="U822" s="103"/>
      <c r="V822" s="100"/>
      <c r="W822" s="101"/>
      <c r="X822" s="113"/>
      <c r="Y822" s="114"/>
      <c r="Z822" s="102"/>
      <c r="AA822" s="101"/>
      <c r="AB822" s="111"/>
      <c r="AE822" s="187"/>
      <c r="AF822" s="185"/>
      <c r="AG822" s="185" t="str">
        <f t="shared" si="103"/>
        <v/>
      </c>
      <c r="AH822" s="186" t="str">
        <f t="shared" si="104"/>
        <v/>
      </c>
      <c r="AI822" s="185"/>
      <c r="AJ822" s="188"/>
      <c r="CC822" s="562"/>
      <c r="CD822" s="425"/>
    </row>
    <row r="823" spans="2:82" ht="30" customHeight="1" x14ac:dyDescent="0.3">
      <c r="B823" s="562"/>
      <c r="C823" s="563"/>
      <c r="D823" s="425"/>
      <c r="E823" s="250" t="str">
        <f t="shared" si="105"/>
        <v/>
      </c>
      <c r="F823" s="556"/>
      <c r="G823" s="252" t="str">
        <f>IFERROR(VLOOKUP(F823,'Data (hidden)'!N:O,2,FALSE),"")</f>
        <v/>
      </c>
      <c r="H823" s="557"/>
      <c r="I823" s="558"/>
      <c r="J823" s="123">
        <f t="shared" si="101"/>
        <v>0</v>
      </c>
      <c r="K823" s="123" t="e">
        <f t="shared" si="102"/>
        <v>#VALUE!</v>
      </c>
      <c r="L823" s="123">
        <f t="shared" si="99"/>
        <v>0</v>
      </c>
      <c r="M823" s="124" t="str">
        <f t="shared" si="100"/>
        <v/>
      </c>
      <c r="N823" s="112"/>
      <c r="O823" s="101"/>
      <c r="P823" s="101"/>
      <c r="Q823" s="101"/>
      <c r="R823" s="102"/>
      <c r="S823" s="102"/>
      <c r="T823" s="102"/>
      <c r="U823" s="103"/>
      <c r="V823" s="100"/>
      <c r="W823" s="101"/>
      <c r="X823" s="113"/>
      <c r="Y823" s="114"/>
      <c r="Z823" s="102"/>
      <c r="AA823" s="101"/>
      <c r="AB823" s="111"/>
      <c r="AE823" s="187"/>
      <c r="AF823" s="185"/>
      <c r="AG823" s="185" t="str">
        <f t="shared" si="103"/>
        <v/>
      </c>
      <c r="AH823" s="186" t="str">
        <f t="shared" si="104"/>
        <v/>
      </c>
      <c r="AI823" s="185"/>
      <c r="AJ823" s="188"/>
      <c r="CC823" s="562"/>
      <c r="CD823" s="425"/>
    </row>
    <row r="824" spans="2:82" ht="30" customHeight="1" x14ac:dyDescent="0.3">
      <c r="B824" s="562"/>
      <c r="C824" s="563"/>
      <c r="D824" s="425"/>
      <c r="E824" s="250" t="str">
        <f t="shared" si="105"/>
        <v/>
      </c>
      <c r="F824" s="556"/>
      <c r="G824" s="252" t="str">
        <f>IFERROR(VLOOKUP(F824,'Data (hidden)'!N:O,2,FALSE),"")</f>
        <v/>
      </c>
      <c r="H824" s="557"/>
      <c r="I824" s="558"/>
      <c r="J824" s="123">
        <f t="shared" si="101"/>
        <v>0</v>
      </c>
      <c r="K824" s="123" t="e">
        <f t="shared" si="102"/>
        <v>#VALUE!</v>
      </c>
      <c r="L824" s="123">
        <f t="shared" si="99"/>
        <v>0</v>
      </c>
      <c r="M824" s="124" t="str">
        <f t="shared" si="100"/>
        <v/>
      </c>
      <c r="N824" s="112"/>
      <c r="O824" s="101"/>
      <c r="P824" s="101"/>
      <c r="Q824" s="101"/>
      <c r="R824" s="102"/>
      <c r="S824" s="102"/>
      <c r="T824" s="102"/>
      <c r="U824" s="103"/>
      <c r="V824" s="100"/>
      <c r="W824" s="101"/>
      <c r="X824" s="113"/>
      <c r="Y824" s="114"/>
      <c r="Z824" s="102"/>
      <c r="AA824" s="101"/>
      <c r="AB824" s="111"/>
      <c r="AE824" s="187"/>
      <c r="AF824" s="185"/>
      <c r="AG824" s="185" t="str">
        <f t="shared" si="103"/>
        <v/>
      </c>
      <c r="AH824" s="186" t="str">
        <f t="shared" si="104"/>
        <v/>
      </c>
      <c r="AI824" s="185"/>
      <c r="AJ824" s="188"/>
      <c r="CC824" s="562"/>
      <c r="CD824" s="425"/>
    </row>
    <row r="825" spans="2:82" ht="30" customHeight="1" x14ac:dyDescent="0.3">
      <c r="B825" s="562"/>
      <c r="C825" s="563"/>
      <c r="D825" s="425"/>
      <c r="E825" s="250" t="str">
        <f t="shared" si="105"/>
        <v/>
      </c>
      <c r="F825" s="556"/>
      <c r="G825" s="252" t="str">
        <f>IFERROR(VLOOKUP(F825,'Data (hidden)'!N:O,2,FALSE),"")</f>
        <v/>
      </c>
      <c r="H825" s="557"/>
      <c r="I825" s="558"/>
      <c r="J825" s="123">
        <f t="shared" si="101"/>
        <v>0</v>
      </c>
      <c r="K825" s="123" t="e">
        <f t="shared" si="102"/>
        <v>#VALUE!</v>
      </c>
      <c r="L825" s="123">
        <f t="shared" si="99"/>
        <v>0</v>
      </c>
      <c r="M825" s="124" t="str">
        <f t="shared" si="100"/>
        <v/>
      </c>
      <c r="N825" s="112"/>
      <c r="O825" s="101"/>
      <c r="P825" s="101"/>
      <c r="Q825" s="101"/>
      <c r="R825" s="102"/>
      <c r="S825" s="102"/>
      <c r="T825" s="102"/>
      <c r="U825" s="103"/>
      <c r="V825" s="100"/>
      <c r="W825" s="101"/>
      <c r="X825" s="113"/>
      <c r="Y825" s="114"/>
      <c r="Z825" s="102"/>
      <c r="AA825" s="101"/>
      <c r="AB825" s="111"/>
      <c r="AE825" s="187"/>
      <c r="AF825" s="185"/>
      <c r="AG825" s="185" t="str">
        <f t="shared" si="103"/>
        <v/>
      </c>
      <c r="AH825" s="186" t="str">
        <f t="shared" si="104"/>
        <v/>
      </c>
      <c r="AI825" s="185"/>
      <c r="AJ825" s="188"/>
      <c r="CC825" s="562"/>
      <c r="CD825" s="425"/>
    </row>
    <row r="826" spans="2:82" ht="30" customHeight="1" x14ac:dyDescent="0.3">
      <c r="B826" s="562"/>
      <c r="C826" s="563"/>
      <c r="D826" s="425"/>
      <c r="E826" s="250" t="str">
        <f t="shared" si="105"/>
        <v/>
      </c>
      <c r="F826" s="556"/>
      <c r="G826" s="252" t="str">
        <f>IFERROR(VLOOKUP(F826,'Data (hidden)'!N:O,2,FALSE),"")</f>
        <v/>
      </c>
      <c r="H826" s="557"/>
      <c r="I826" s="558"/>
      <c r="J826" s="123">
        <f t="shared" si="101"/>
        <v>0</v>
      </c>
      <c r="K826" s="123" t="e">
        <f t="shared" si="102"/>
        <v>#VALUE!</v>
      </c>
      <c r="L826" s="123">
        <f t="shared" si="99"/>
        <v>0</v>
      </c>
      <c r="M826" s="124" t="str">
        <f t="shared" si="100"/>
        <v/>
      </c>
      <c r="N826" s="112"/>
      <c r="O826" s="101"/>
      <c r="P826" s="101"/>
      <c r="Q826" s="101"/>
      <c r="R826" s="102"/>
      <c r="S826" s="102"/>
      <c r="T826" s="102"/>
      <c r="U826" s="103"/>
      <c r="V826" s="100"/>
      <c r="W826" s="101"/>
      <c r="X826" s="113"/>
      <c r="Y826" s="114"/>
      <c r="Z826" s="102"/>
      <c r="AA826" s="101"/>
      <c r="AB826" s="111"/>
      <c r="AE826" s="187"/>
      <c r="AF826" s="185"/>
      <c r="AG826" s="185" t="str">
        <f t="shared" si="103"/>
        <v/>
      </c>
      <c r="AH826" s="186" t="str">
        <f t="shared" si="104"/>
        <v/>
      </c>
      <c r="AI826" s="185"/>
      <c r="AJ826" s="188"/>
      <c r="CC826" s="562"/>
      <c r="CD826" s="425"/>
    </row>
    <row r="827" spans="2:82" ht="30" customHeight="1" x14ac:dyDescent="0.3">
      <c r="B827" s="562"/>
      <c r="C827" s="563"/>
      <c r="D827" s="425"/>
      <c r="E827" s="250" t="str">
        <f t="shared" si="105"/>
        <v/>
      </c>
      <c r="F827" s="556"/>
      <c r="G827" s="252" t="str">
        <f>IFERROR(VLOOKUP(F827,'Data (hidden)'!N:O,2,FALSE),"")</f>
        <v/>
      </c>
      <c r="H827" s="557"/>
      <c r="I827" s="558"/>
      <c r="J827" s="123">
        <f t="shared" si="101"/>
        <v>0</v>
      </c>
      <c r="K827" s="123" t="e">
        <f t="shared" si="102"/>
        <v>#VALUE!</v>
      </c>
      <c r="L827" s="123">
        <f t="shared" si="99"/>
        <v>0</v>
      </c>
      <c r="M827" s="124" t="str">
        <f t="shared" si="100"/>
        <v/>
      </c>
      <c r="N827" s="112"/>
      <c r="O827" s="101"/>
      <c r="P827" s="101"/>
      <c r="Q827" s="101"/>
      <c r="R827" s="102"/>
      <c r="S827" s="102"/>
      <c r="T827" s="102"/>
      <c r="U827" s="103"/>
      <c r="V827" s="100"/>
      <c r="W827" s="101"/>
      <c r="X827" s="113"/>
      <c r="Y827" s="114"/>
      <c r="Z827" s="102"/>
      <c r="AA827" s="101"/>
      <c r="AB827" s="111"/>
      <c r="AE827" s="187"/>
      <c r="AF827" s="185"/>
      <c r="AG827" s="185" t="str">
        <f t="shared" si="103"/>
        <v/>
      </c>
      <c r="AH827" s="186" t="str">
        <f t="shared" si="104"/>
        <v/>
      </c>
      <c r="AI827" s="185"/>
      <c r="AJ827" s="188"/>
      <c r="CC827" s="562"/>
      <c r="CD827" s="425"/>
    </row>
    <row r="828" spans="2:82" ht="30" customHeight="1" x14ac:dyDescent="0.3">
      <c r="B828" s="562"/>
      <c r="C828" s="563"/>
      <c r="D828" s="425"/>
      <c r="E828" s="250" t="str">
        <f t="shared" si="105"/>
        <v/>
      </c>
      <c r="F828" s="556"/>
      <c r="G828" s="252" t="str">
        <f>IFERROR(VLOOKUP(F828,'Data (hidden)'!N:O,2,FALSE),"")</f>
        <v/>
      </c>
      <c r="H828" s="557"/>
      <c r="I828" s="558"/>
      <c r="J828" s="123">
        <f t="shared" si="101"/>
        <v>0</v>
      </c>
      <c r="K828" s="123" t="e">
        <f t="shared" si="102"/>
        <v>#VALUE!</v>
      </c>
      <c r="L828" s="123">
        <f t="shared" si="99"/>
        <v>0</v>
      </c>
      <c r="M828" s="124" t="str">
        <f t="shared" si="100"/>
        <v/>
      </c>
      <c r="N828" s="112"/>
      <c r="O828" s="101"/>
      <c r="P828" s="101"/>
      <c r="Q828" s="101"/>
      <c r="R828" s="102"/>
      <c r="S828" s="102"/>
      <c r="T828" s="102"/>
      <c r="U828" s="103"/>
      <c r="V828" s="100"/>
      <c r="W828" s="101"/>
      <c r="X828" s="113"/>
      <c r="Y828" s="114"/>
      <c r="Z828" s="102"/>
      <c r="AA828" s="101"/>
      <c r="AB828" s="111"/>
      <c r="AE828" s="187"/>
      <c r="AF828" s="185"/>
      <c r="AG828" s="185" t="str">
        <f t="shared" si="103"/>
        <v/>
      </c>
      <c r="AH828" s="186" t="str">
        <f t="shared" si="104"/>
        <v/>
      </c>
      <c r="AI828" s="185"/>
      <c r="AJ828" s="188"/>
      <c r="CC828" s="562"/>
      <c r="CD828" s="425"/>
    </row>
    <row r="829" spans="2:82" ht="30" customHeight="1" x14ac:dyDescent="0.3">
      <c r="B829" s="562"/>
      <c r="C829" s="563"/>
      <c r="D829" s="425"/>
      <c r="E829" s="250" t="str">
        <f t="shared" si="105"/>
        <v/>
      </c>
      <c r="F829" s="556"/>
      <c r="G829" s="252" t="str">
        <f>IFERROR(VLOOKUP(F829,'Data (hidden)'!N:O,2,FALSE),"")</f>
        <v/>
      </c>
      <c r="H829" s="557"/>
      <c r="I829" s="558"/>
      <c r="J829" s="123">
        <f t="shared" si="101"/>
        <v>0</v>
      </c>
      <c r="K829" s="123" t="e">
        <f t="shared" si="102"/>
        <v>#VALUE!</v>
      </c>
      <c r="L829" s="123">
        <f t="shared" si="99"/>
        <v>0</v>
      </c>
      <c r="M829" s="124" t="str">
        <f t="shared" si="100"/>
        <v/>
      </c>
      <c r="N829" s="112"/>
      <c r="O829" s="101"/>
      <c r="P829" s="101"/>
      <c r="Q829" s="101"/>
      <c r="R829" s="102"/>
      <c r="S829" s="102"/>
      <c r="T829" s="102"/>
      <c r="U829" s="103"/>
      <c r="V829" s="100"/>
      <c r="W829" s="101"/>
      <c r="X829" s="113"/>
      <c r="Y829" s="114"/>
      <c r="Z829" s="102"/>
      <c r="AA829" s="101"/>
      <c r="AB829" s="111"/>
      <c r="AE829" s="187"/>
      <c r="AF829" s="185"/>
      <c r="AG829" s="185" t="str">
        <f t="shared" si="103"/>
        <v/>
      </c>
      <c r="AH829" s="186" t="str">
        <f t="shared" si="104"/>
        <v/>
      </c>
      <c r="AI829" s="185"/>
      <c r="AJ829" s="188"/>
      <c r="CC829" s="562"/>
      <c r="CD829" s="425"/>
    </row>
    <row r="830" spans="2:82" ht="30" customHeight="1" x14ac:dyDescent="0.3">
      <c r="B830" s="562"/>
      <c r="C830" s="563"/>
      <c r="D830" s="425"/>
      <c r="E830" s="250" t="str">
        <f t="shared" si="105"/>
        <v/>
      </c>
      <c r="F830" s="556"/>
      <c r="G830" s="252" t="str">
        <f>IFERROR(VLOOKUP(F830,'Data (hidden)'!N:O,2,FALSE),"")</f>
        <v/>
      </c>
      <c r="H830" s="557"/>
      <c r="I830" s="558"/>
      <c r="J830" s="123">
        <f t="shared" si="101"/>
        <v>0</v>
      </c>
      <c r="K830" s="123" t="e">
        <f t="shared" si="102"/>
        <v>#VALUE!</v>
      </c>
      <c r="L830" s="123">
        <f t="shared" si="99"/>
        <v>0</v>
      </c>
      <c r="M830" s="124" t="str">
        <f t="shared" si="100"/>
        <v/>
      </c>
      <c r="N830" s="112"/>
      <c r="O830" s="101"/>
      <c r="P830" s="101"/>
      <c r="Q830" s="101"/>
      <c r="R830" s="102"/>
      <c r="S830" s="102"/>
      <c r="T830" s="102"/>
      <c r="U830" s="103"/>
      <c r="V830" s="100"/>
      <c r="W830" s="101"/>
      <c r="X830" s="113"/>
      <c r="Y830" s="114"/>
      <c r="Z830" s="102"/>
      <c r="AA830" s="101"/>
      <c r="AB830" s="111"/>
      <c r="AE830" s="187"/>
      <c r="AF830" s="185"/>
      <c r="AG830" s="185" t="str">
        <f t="shared" si="103"/>
        <v/>
      </c>
      <c r="AH830" s="186" t="str">
        <f t="shared" si="104"/>
        <v/>
      </c>
      <c r="AI830" s="185"/>
      <c r="AJ830" s="188"/>
      <c r="CC830" s="562"/>
      <c r="CD830" s="425"/>
    </row>
    <row r="831" spans="2:82" ht="30" customHeight="1" x14ac:dyDescent="0.3">
      <c r="B831" s="562"/>
      <c r="C831" s="563"/>
      <c r="D831" s="425"/>
      <c r="E831" s="250" t="str">
        <f t="shared" si="105"/>
        <v/>
      </c>
      <c r="F831" s="556"/>
      <c r="G831" s="252" t="str">
        <f>IFERROR(VLOOKUP(F831,'Data (hidden)'!N:O,2,FALSE),"")</f>
        <v/>
      </c>
      <c r="H831" s="557"/>
      <c r="I831" s="558"/>
      <c r="J831" s="123">
        <f t="shared" si="101"/>
        <v>0</v>
      </c>
      <c r="K831" s="123" t="e">
        <f t="shared" si="102"/>
        <v>#VALUE!</v>
      </c>
      <c r="L831" s="123">
        <f t="shared" si="99"/>
        <v>0</v>
      </c>
      <c r="M831" s="124" t="str">
        <f t="shared" si="100"/>
        <v/>
      </c>
      <c r="N831" s="112"/>
      <c r="O831" s="101"/>
      <c r="P831" s="101"/>
      <c r="Q831" s="101"/>
      <c r="R831" s="102"/>
      <c r="S831" s="102"/>
      <c r="T831" s="102"/>
      <c r="U831" s="103"/>
      <c r="V831" s="100"/>
      <c r="W831" s="101"/>
      <c r="X831" s="113"/>
      <c r="Y831" s="114"/>
      <c r="Z831" s="102"/>
      <c r="AA831" s="101"/>
      <c r="AB831" s="111"/>
      <c r="AE831" s="187"/>
      <c r="AF831" s="185"/>
      <c r="AG831" s="185" t="str">
        <f t="shared" si="103"/>
        <v/>
      </c>
      <c r="AH831" s="186" t="str">
        <f t="shared" si="104"/>
        <v/>
      </c>
      <c r="AI831" s="185"/>
      <c r="AJ831" s="188"/>
      <c r="CC831" s="562"/>
      <c r="CD831" s="425"/>
    </row>
    <row r="832" spans="2:82" ht="30" customHeight="1" x14ac:dyDescent="0.3">
      <c r="B832" s="562"/>
      <c r="C832" s="563"/>
      <c r="D832" s="425"/>
      <c r="E832" s="250" t="str">
        <f t="shared" si="105"/>
        <v/>
      </c>
      <c r="F832" s="556"/>
      <c r="G832" s="252" t="str">
        <f>IFERROR(VLOOKUP(F832,'Data (hidden)'!N:O,2,FALSE),"")</f>
        <v/>
      </c>
      <c r="H832" s="557"/>
      <c r="I832" s="558"/>
      <c r="J832" s="123">
        <f t="shared" si="101"/>
        <v>0</v>
      </c>
      <c r="K832" s="123" t="e">
        <f t="shared" si="102"/>
        <v>#VALUE!</v>
      </c>
      <c r="L832" s="123">
        <f t="shared" si="99"/>
        <v>0</v>
      </c>
      <c r="M832" s="124" t="str">
        <f t="shared" si="100"/>
        <v/>
      </c>
      <c r="N832" s="112"/>
      <c r="O832" s="101"/>
      <c r="P832" s="101"/>
      <c r="Q832" s="101"/>
      <c r="R832" s="102"/>
      <c r="S832" s="102"/>
      <c r="T832" s="102"/>
      <c r="U832" s="103"/>
      <c r="V832" s="100"/>
      <c r="W832" s="101"/>
      <c r="X832" s="113"/>
      <c r="Y832" s="114"/>
      <c r="Z832" s="102"/>
      <c r="AA832" s="101"/>
      <c r="AB832" s="111"/>
      <c r="AE832" s="187"/>
      <c r="AF832" s="185"/>
      <c r="AG832" s="185" t="str">
        <f t="shared" si="103"/>
        <v/>
      </c>
      <c r="AH832" s="186" t="str">
        <f t="shared" si="104"/>
        <v/>
      </c>
      <c r="AI832" s="185"/>
      <c r="AJ832" s="188"/>
      <c r="CC832" s="562"/>
      <c r="CD832" s="425"/>
    </row>
    <row r="833" spans="2:82" ht="30" customHeight="1" x14ac:dyDescent="0.3">
      <c r="B833" s="562"/>
      <c r="C833" s="563"/>
      <c r="D833" s="425"/>
      <c r="E833" s="250" t="str">
        <f t="shared" si="105"/>
        <v/>
      </c>
      <c r="F833" s="556"/>
      <c r="G833" s="252" t="str">
        <f>IFERROR(VLOOKUP(F833,'Data (hidden)'!N:O,2,FALSE),"")</f>
        <v/>
      </c>
      <c r="H833" s="557"/>
      <c r="I833" s="558"/>
      <c r="J833" s="123">
        <f t="shared" si="101"/>
        <v>0</v>
      </c>
      <c r="K833" s="123" t="e">
        <f t="shared" si="102"/>
        <v>#VALUE!</v>
      </c>
      <c r="L833" s="123">
        <f t="shared" si="99"/>
        <v>0</v>
      </c>
      <c r="M833" s="124" t="str">
        <f t="shared" si="100"/>
        <v/>
      </c>
      <c r="N833" s="112"/>
      <c r="O833" s="101"/>
      <c r="P833" s="101"/>
      <c r="Q833" s="101"/>
      <c r="R833" s="102"/>
      <c r="S833" s="102"/>
      <c r="T833" s="102"/>
      <c r="U833" s="103"/>
      <c r="V833" s="100"/>
      <c r="W833" s="101"/>
      <c r="X833" s="113"/>
      <c r="Y833" s="114"/>
      <c r="Z833" s="102"/>
      <c r="AA833" s="101"/>
      <c r="AB833" s="111"/>
      <c r="AE833" s="187"/>
      <c r="AF833" s="185"/>
      <c r="AG833" s="185" t="str">
        <f t="shared" si="103"/>
        <v/>
      </c>
      <c r="AH833" s="186" t="str">
        <f t="shared" si="104"/>
        <v/>
      </c>
      <c r="AI833" s="185"/>
      <c r="AJ833" s="188"/>
      <c r="CC833" s="562"/>
      <c r="CD833" s="425"/>
    </row>
    <row r="834" spans="2:82" ht="30" customHeight="1" x14ac:dyDescent="0.3">
      <c r="B834" s="562"/>
      <c r="C834" s="563"/>
      <c r="D834" s="425"/>
      <c r="E834" s="250" t="str">
        <f t="shared" si="105"/>
        <v/>
      </c>
      <c r="F834" s="556"/>
      <c r="G834" s="252" t="str">
        <f>IFERROR(VLOOKUP(F834,'Data (hidden)'!N:O,2,FALSE),"")</f>
        <v/>
      </c>
      <c r="H834" s="557"/>
      <c r="I834" s="558"/>
      <c r="J834" s="123">
        <f t="shared" si="101"/>
        <v>0</v>
      </c>
      <c r="K834" s="123" t="e">
        <f t="shared" si="102"/>
        <v>#VALUE!</v>
      </c>
      <c r="L834" s="123">
        <f t="shared" si="99"/>
        <v>0</v>
      </c>
      <c r="M834" s="124" t="str">
        <f t="shared" si="100"/>
        <v/>
      </c>
      <c r="N834" s="112"/>
      <c r="O834" s="101"/>
      <c r="P834" s="101"/>
      <c r="Q834" s="101"/>
      <c r="R834" s="102"/>
      <c r="S834" s="102"/>
      <c r="T834" s="102"/>
      <c r="U834" s="103"/>
      <c r="V834" s="100"/>
      <c r="W834" s="101"/>
      <c r="X834" s="113"/>
      <c r="Y834" s="114"/>
      <c r="Z834" s="102"/>
      <c r="AA834" s="101"/>
      <c r="AB834" s="111"/>
      <c r="AE834" s="187"/>
      <c r="AF834" s="185"/>
      <c r="AG834" s="185" t="str">
        <f t="shared" si="103"/>
        <v/>
      </c>
      <c r="AH834" s="186" t="str">
        <f t="shared" si="104"/>
        <v/>
      </c>
      <c r="AI834" s="185"/>
      <c r="AJ834" s="188"/>
      <c r="CC834" s="562"/>
      <c r="CD834" s="425"/>
    </row>
    <row r="835" spans="2:82" ht="30" customHeight="1" x14ac:dyDescent="0.3">
      <c r="B835" s="562"/>
      <c r="C835" s="563"/>
      <c r="D835" s="425"/>
      <c r="E835" s="250" t="str">
        <f t="shared" si="105"/>
        <v/>
      </c>
      <c r="F835" s="556"/>
      <c r="G835" s="252" t="str">
        <f>IFERROR(VLOOKUP(F835,'Data (hidden)'!N:O,2,FALSE),"")</f>
        <v/>
      </c>
      <c r="H835" s="557"/>
      <c r="I835" s="558"/>
      <c r="J835" s="123">
        <f t="shared" si="101"/>
        <v>0</v>
      </c>
      <c r="K835" s="123" t="e">
        <f t="shared" si="102"/>
        <v>#VALUE!</v>
      </c>
      <c r="L835" s="123">
        <f t="shared" si="99"/>
        <v>0</v>
      </c>
      <c r="M835" s="124" t="str">
        <f t="shared" si="100"/>
        <v/>
      </c>
      <c r="N835" s="112"/>
      <c r="O835" s="101"/>
      <c r="P835" s="101"/>
      <c r="Q835" s="101"/>
      <c r="R835" s="102"/>
      <c r="S835" s="102"/>
      <c r="T835" s="102"/>
      <c r="U835" s="103"/>
      <c r="V835" s="100"/>
      <c r="W835" s="101"/>
      <c r="X835" s="113"/>
      <c r="Y835" s="114"/>
      <c r="Z835" s="102"/>
      <c r="AA835" s="101"/>
      <c r="AB835" s="111"/>
      <c r="AE835" s="187"/>
      <c r="AF835" s="185"/>
      <c r="AG835" s="185" t="str">
        <f t="shared" si="103"/>
        <v/>
      </c>
      <c r="AH835" s="186" t="str">
        <f t="shared" si="104"/>
        <v/>
      </c>
      <c r="AI835" s="185"/>
      <c r="AJ835" s="188"/>
      <c r="CC835" s="562"/>
      <c r="CD835" s="425"/>
    </row>
    <row r="836" spans="2:82" ht="30" customHeight="1" x14ac:dyDescent="0.3">
      <c r="B836" s="562"/>
      <c r="C836" s="563"/>
      <c r="D836" s="425"/>
      <c r="E836" s="250" t="str">
        <f t="shared" si="105"/>
        <v/>
      </c>
      <c r="F836" s="556"/>
      <c r="G836" s="252" t="str">
        <f>IFERROR(VLOOKUP(F836,'Data (hidden)'!N:O,2,FALSE),"")</f>
        <v/>
      </c>
      <c r="H836" s="557"/>
      <c r="I836" s="558"/>
      <c r="J836" s="123">
        <f t="shared" si="101"/>
        <v>0</v>
      </c>
      <c r="K836" s="123" t="e">
        <f t="shared" si="102"/>
        <v>#VALUE!</v>
      </c>
      <c r="L836" s="123">
        <f t="shared" si="99"/>
        <v>0</v>
      </c>
      <c r="M836" s="124" t="str">
        <f t="shared" si="100"/>
        <v/>
      </c>
      <c r="N836" s="112"/>
      <c r="O836" s="101"/>
      <c r="P836" s="101"/>
      <c r="Q836" s="101"/>
      <c r="R836" s="102"/>
      <c r="S836" s="102"/>
      <c r="T836" s="102"/>
      <c r="U836" s="103"/>
      <c r="V836" s="100"/>
      <c r="W836" s="101"/>
      <c r="X836" s="113"/>
      <c r="Y836" s="114"/>
      <c r="Z836" s="102"/>
      <c r="AA836" s="101"/>
      <c r="AB836" s="111"/>
      <c r="AE836" s="187"/>
      <c r="AF836" s="185"/>
      <c r="AG836" s="185" t="str">
        <f t="shared" si="103"/>
        <v/>
      </c>
      <c r="AH836" s="186" t="str">
        <f t="shared" si="104"/>
        <v/>
      </c>
      <c r="AI836" s="185"/>
      <c r="AJ836" s="188"/>
      <c r="CC836" s="562"/>
      <c r="CD836" s="425"/>
    </row>
    <row r="837" spans="2:82" ht="30" customHeight="1" x14ac:dyDescent="0.3">
      <c r="B837" s="562"/>
      <c r="C837" s="563"/>
      <c r="D837" s="425"/>
      <c r="E837" s="250" t="str">
        <f t="shared" si="105"/>
        <v/>
      </c>
      <c r="F837" s="556"/>
      <c r="G837" s="252" t="str">
        <f>IFERROR(VLOOKUP(F837,'Data (hidden)'!N:O,2,FALSE),"")</f>
        <v/>
      </c>
      <c r="H837" s="557"/>
      <c r="I837" s="558"/>
      <c r="J837" s="123">
        <f t="shared" si="101"/>
        <v>0</v>
      </c>
      <c r="K837" s="123" t="e">
        <f t="shared" si="102"/>
        <v>#VALUE!</v>
      </c>
      <c r="L837" s="123">
        <f t="shared" si="99"/>
        <v>0</v>
      </c>
      <c r="M837" s="124" t="str">
        <f t="shared" si="100"/>
        <v/>
      </c>
      <c r="N837" s="112"/>
      <c r="O837" s="101"/>
      <c r="P837" s="101"/>
      <c r="Q837" s="101"/>
      <c r="R837" s="102"/>
      <c r="S837" s="102"/>
      <c r="T837" s="102"/>
      <c r="U837" s="103"/>
      <c r="V837" s="100"/>
      <c r="W837" s="101"/>
      <c r="X837" s="113"/>
      <c r="Y837" s="114"/>
      <c r="Z837" s="102"/>
      <c r="AA837" s="101"/>
      <c r="AB837" s="111"/>
      <c r="AE837" s="187"/>
      <c r="AF837" s="185"/>
      <c r="AG837" s="185" t="str">
        <f t="shared" si="103"/>
        <v/>
      </c>
      <c r="AH837" s="186" t="str">
        <f t="shared" si="104"/>
        <v/>
      </c>
      <c r="AI837" s="185"/>
      <c r="AJ837" s="188"/>
      <c r="CC837" s="562"/>
      <c r="CD837" s="425"/>
    </row>
    <row r="838" spans="2:82" ht="30" customHeight="1" x14ac:dyDescent="0.3">
      <c r="B838" s="562"/>
      <c r="C838" s="563"/>
      <c r="D838" s="425"/>
      <c r="E838" s="250" t="str">
        <f t="shared" si="105"/>
        <v/>
      </c>
      <c r="F838" s="556"/>
      <c r="G838" s="252" t="str">
        <f>IFERROR(VLOOKUP(F838,'Data (hidden)'!N:O,2,FALSE),"")</f>
        <v/>
      </c>
      <c r="H838" s="557"/>
      <c r="I838" s="558"/>
      <c r="J838" s="123">
        <f t="shared" si="101"/>
        <v>0</v>
      </c>
      <c r="K838" s="123" t="e">
        <f t="shared" si="102"/>
        <v>#VALUE!</v>
      </c>
      <c r="L838" s="123">
        <f t="shared" si="99"/>
        <v>0</v>
      </c>
      <c r="M838" s="124" t="str">
        <f t="shared" si="100"/>
        <v/>
      </c>
      <c r="N838" s="112"/>
      <c r="O838" s="101"/>
      <c r="P838" s="101"/>
      <c r="Q838" s="101"/>
      <c r="R838" s="102"/>
      <c r="S838" s="102"/>
      <c r="T838" s="102"/>
      <c r="U838" s="103"/>
      <c r="V838" s="100"/>
      <c r="W838" s="101"/>
      <c r="X838" s="113"/>
      <c r="Y838" s="114"/>
      <c r="Z838" s="102"/>
      <c r="AA838" s="101"/>
      <c r="AB838" s="111"/>
      <c r="AE838" s="187"/>
      <c r="AF838" s="185"/>
      <c r="AG838" s="185" t="str">
        <f t="shared" si="103"/>
        <v/>
      </c>
      <c r="AH838" s="186" t="str">
        <f t="shared" si="104"/>
        <v/>
      </c>
      <c r="AI838" s="185"/>
      <c r="AJ838" s="188"/>
      <c r="CC838" s="562"/>
      <c r="CD838" s="425"/>
    </row>
    <row r="839" spans="2:82" ht="30" customHeight="1" x14ac:dyDescent="0.3">
      <c r="B839" s="562"/>
      <c r="C839" s="563"/>
      <c r="D839" s="425"/>
      <c r="E839" s="250" t="str">
        <f t="shared" si="105"/>
        <v/>
      </c>
      <c r="F839" s="556"/>
      <c r="G839" s="252" t="str">
        <f>IFERROR(VLOOKUP(F839,'Data (hidden)'!N:O,2,FALSE),"")</f>
        <v/>
      </c>
      <c r="H839" s="557"/>
      <c r="I839" s="558"/>
      <c r="J839" s="123">
        <f t="shared" si="101"/>
        <v>0</v>
      </c>
      <c r="K839" s="123" t="e">
        <f t="shared" si="102"/>
        <v>#VALUE!</v>
      </c>
      <c r="L839" s="123">
        <f t="shared" si="99"/>
        <v>0</v>
      </c>
      <c r="M839" s="124" t="str">
        <f t="shared" si="100"/>
        <v/>
      </c>
      <c r="N839" s="112"/>
      <c r="O839" s="101"/>
      <c r="P839" s="101"/>
      <c r="Q839" s="101"/>
      <c r="R839" s="102"/>
      <c r="S839" s="102"/>
      <c r="T839" s="102"/>
      <c r="U839" s="103"/>
      <c r="V839" s="100"/>
      <c r="W839" s="101"/>
      <c r="X839" s="113"/>
      <c r="Y839" s="114"/>
      <c r="Z839" s="102"/>
      <c r="AA839" s="101"/>
      <c r="AB839" s="111"/>
      <c r="AE839" s="187"/>
      <c r="AF839" s="185"/>
      <c r="AG839" s="185" t="str">
        <f t="shared" si="103"/>
        <v/>
      </c>
      <c r="AH839" s="186" t="str">
        <f t="shared" si="104"/>
        <v/>
      </c>
      <c r="AI839" s="185"/>
      <c r="AJ839" s="188"/>
      <c r="CC839" s="562"/>
      <c r="CD839" s="425"/>
    </row>
    <row r="840" spans="2:82" ht="30" customHeight="1" x14ac:dyDescent="0.3">
      <c r="B840" s="562"/>
      <c r="C840" s="563"/>
      <c r="D840" s="425"/>
      <c r="E840" s="250" t="str">
        <f t="shared" si="105"/>
        <v/>
      </c>
      <c r="F840" s="556"/>
      <c r="G840" s="252" t="str">
        <f>IFERROR(VLOOKUP(F840,'Data (hidden)'!N:O,2,FALSE),"")</f>
        <v/>
      </c>
      <c r="H840" s="557"/>
      <c r="I840" s="558"/>
      <c r="J840" s="123">
        <f t="shared" si="101"/>
        <v>0</v>
      </c>
      <c r="K840" s="123" t="e">
        <f t="shared" si="102"/>
        <v>#VALUE!</v>
      </c>
      <c r="L840" s="123">
        <f t="shared" si="99"/>
        <v>0</v>
      </c>
      <c r="M840" s="124" t="str">
        <f t="shared" si="100"/>
        <v/>
      </c>
      <c r="N840" s="112"/>
      <c r="O840" s="101"/>
      <c r="P840" s="101"/>
      <c r="Q840" s="101"/>
      <c r="R840" s="102"/>
      <c r="S840" s="102"/>
      <c r="T840" s="102"/>
      <c r="U840" s="103"/>
      <c r="V840" s="100"/>
      <c r="W840" s="101"/>
      <c r="X840" s="113"/>
      <c r="Y840" s="114"/>
      <c r="Z840" s="102"/>
      <c r="AA840" s="101"/>
      <c r="AB840" s="111"/>
      <c r="AE840" s="187"/>
      <c r="AF840" s="185"/>
      <c r="AG840" s="185" t="str">
        <f t="shared" si="103"/>
        <v/>
      </c>
      <c r="AH840" s="186" t="str">
        <f t="shared" si="104"/>
        <v/>
      </c>
      <c r="AI840" s="185"/>
      <c r="AJ840" s="188"/>
      <c r="CC840" s="562"/>
      <c r="CD840" s="425"/>
    </row>
    <row r="841" spans="2:82" ht="30" customHeight="1" x14ac:dyDescent="0.3">
      <c r="B841" s="562"/>
      <c r="C841" s="563"/>
      <c r="D841" s="425"/>
      <c r="E841" s="250" t="str">
        <f t="shared" si="105"/>
        <v/>
      </c>
      <c r="F841" s="556"/>
      <c r="G841" s="252" t="str">
        <f>IFERROR(VLOOKUP(F841,'Data (hidden)'!N:O,2,FALSE),"")</f>
        <v/>
      </c>
      <c r="H841" s="557"/>
      <c r="I841" s="558"/>
      <c r="J841" s="123">
        <f t="shared" si="101"/>
        <v>0</v>
      </c>
      <c r="K841" s="123" t="e">
        <f t="shared" si="102"/>
        <v>#VALUE!</v>
      </c>
      <c r="L841" s="123">
        <f t="shared" si="99"/>
        <v>0</v>
      </c>
      <c r="M841" s="124" t="str">
        <f t="shared" si="100"/>
        <v/>
      </c>
      <c r="N841" s="112"/>
      <c r="O841" s="101"/>
      <c r="P841" s="101"/>
      <c r="Q841" s="101"/>
      <c r="R841" s="102"/>
      <c r="S841" s="102"/>
      <c r="T841" s="102"/>
      <c r="U841" s="103"/>
      <c r="V841" s="100"/>
      <c r="W841" s="101"/>
      <c r="X841" s="113"/>
      <c r="Y841" s="114"/>
      <c r="Z841" s="102"/>
      <c r="AA841" s="101"/>
      <c r="AB841" s="111"/>
      <c r="AE841" s="187"/>
      <c r="AF841" s="185"/>
      <c r="AG841" s="185" t="str">
        <f t="shared" si="103"/>
        <v/>
      </c>
      <c r="AH841" s="186" t="str">
        <f t="shared" si="104"/>
        <v/>
      </c>
      <c r="AI841" s="185"/>
      <c r="AJ841" s="188"/>
      <c r="CC841" s="562"/>
      <c r="CD841" s="425"/>
    </row>
    <row r="842" spans="2:82" ht="30" customHeight="1" x14ac:dyDescent="0.3">
      <c r="B842" s="562"/>
      <c r="C842" s="563"/>
      <c r="D842" s="425"/>
      <c r="E842" s="250" t="str">
        <f t="shared" si="105"/>
        <v/>
      </c>
      <c r="F842" s="556"/>
      <c r="G842" s="252" t="str">
        <f>IFERROR(VLOOKUP(F842,'Data (hidden)'!N:O,2,FALSE),"")</f>
        <v/>
      </c>
      <c r="H842" s="557"/>
      <c r="I842" s="558"/>
      <c r="J842" s="123">
        <f t="shared" si="101"/>
        <v>0</v>
      </c>
      <c r="K842" s="123" t="e">
        <f t="shared" si="102"/>
        <v>#VALUE!</v>
      </c>
      <c r="L842" s="123">
        <f t="shared" si="99"/>
        <v>0</v>
      </c>
      <c r="M842" s="124" t="str">
        <f t="shared" si="100"/>
        <v/>
      </c>
      <c r="N842" s="112"/>
      <c r="O842" s="101"/>
      <c r="P842" s="101"/>
      <c r="Q842" s="101"/>
      <c r="R842" s="102"/>
      <c r="S842" s="102"/>
      <c r="T842" s="102"/>
      <c r="U842" s="103"/>
      <c r="V842" s="100"/>
      <c r="W842" s="101"/>
      <c r="X842" s="113"/>
      <c r="Y842" s="114"/>
      <c r="Z842" s="102"/>
      <c r="AA842" s="101"/>
      <c r="AB842" s="111"/>
      <c r="AE842" s="187"/>
      <c r="AF842" s="185"/>
      <c r="AG842" s="185" t="str">
        <f t="shared" si="103"/>
        <v/>
      </c>
      <c r="AH842" s="186" t="str">
        <f t="shared" si="104"/>
        <v/>
      </c>
      <c r="AI842" s="185"/>
      <c r="AJ842" s="188"/>
      <c r="CC842" s="562"/>
      <c r="CD842" s="425"/>
    </row>
    <row r="843" spans="2:82" ht="30" customHeight="1" x14ac:dyDescent="0.3">
      <c r="B843" s="562"/>
      <c r="C843" s="563"/>
      <c r="D843" s="425"/>
      <c r="E843" s="250" t="str">
        <f t="shared" si="105"/>
        <v/>
      </c>
      <c r="F843" s="556"/>
      <c r="G843" s="252" t="str">
        <f>IFERROR(VLOOKUP(F843,'Data (hidden)'!N:O,2,FALSE),"")</f>
        <v/>
      </c>
      <c r="H843" s="557"/>
      <c r="I843" s="558"/>
      <c r="J843" s="123">
        <f t="shared" si="101"/>
        <v>0</v>
      </c>
      <c r="K843" s="123" t="e">
        <f t="shared" si="102"/>
        <v>#VALUE!</v>
      </c>
      <c r="L843" s="123">
        <f t="shared" si="99"/>
        <v>0</v>
      </c>
      <c r="M843" s="124" t="str">
        <f t="shared" si="100"/>
        <v/>
      </c>
      <c r="N843" s="112"/>
      <c r="O843" s="101"/>
      <c r="P843" s="101"/>
      <c r="Q843" s="101"/>
      <c r="R843" s="102"/>
      <c r="S843" s="102"/>
      <c r="T843" s="102"/>
      <c r="U843" s="103"/>
      <c r="V843" s="100"/>
      <c r="W843" s="101"/>
      <c r="X843" s="113"/>
      <c r="Y843" s="114"/>
      <c r="Z843" s="102"/>
      <c r="AA843" s="101"/>
      <c r="AB843" s="111"/>
      <c r="AE843" s="187"/>
      <c r="AF843" s="185"/>
      <c r="AG843" s="185" t="str">
        <f t="shared" si="103"/>
        <v/>
      </c>
      <c r="AH843" s="186" t="str">
        <f t="shared" si="104"/>
        <v/>
      </c>
      <c r="AI843" s="185"/>
      <c r="AJ843" s="188"/>
      <c r="CC843" s="562"/>
      <c r="CD843" s="425"/>
    </row>
    <row r="844" spans="2:82" ht="30" customHeight="1" x14ac:dyDescent="0.3">
      <c r="B844" s="562"/>
      <c r="C844" s="563"/>
      <c r="D844" s="425"/>
      <c r="E844" s="250" t="str">
        <f t="shared" si="105"/>
        <v/>
      </c>
      <c r="F844" s="556"/>
      <c r="G844" s="252" t="str">
        <f>IFERROR(VLOOKUP(F844,'Data (hidden)'!N:O,2,FALSE),"")</f>
        <v/>
      </c>
      <c r="H844" s="557"/>
      <c r="I844" s="558"/>
      <c r="J844" s="123">
        <f t="shared" si="101"/>
        <v>0</v>
      </c>
      <c r="K844" s="123" t="e">
        <f t="shared" si="102"/>
        <v>#VALUE!</v>
      </c>
      <c r="L844" s="123">
        <f t="shared" si="99"/>
        <v>0</v>
      </c>
      <c r="M844" s="124" t="str">
        <f t="shared" si="100"/>
        <v/>
      </c>
      <c r="N844" s="112"/>
      <c r="O844" s="101"/>
      <c r="P844" s="101"/>
      <c r="Q844" s="101"/>
      <c r="R844" s="102"/>
      <c r="S844" s="102"/>
      <c r="T844" s="102"/>
      <c r="U844" s="103"/>
      <c r="V844" s="100"/>
      <c r="W844" s="101"/>
      <c r="X844" s="113"/>
      <c r="Y844" s="114"/>
      <c r="Z844" s="102"/>
      <c r="AA844" s="101"/>
      <c r="AB844" s="111"/>
      <c r="AE844" s="187"/>
      <c r="AF844" s="185"/>
      <c r="AG844" s="185" t="str">
        <f t="shared" si="103"/>
        <v/>
      </c>
      <c r="AH844" s="186" t="str">
        <f t="shared" si="104"/>
        <v/>
      </c>
      <c r="AI844" s="185"/>
      <c r="AJ844" s="188"/>
      <c r="CC844" s="562"/>
      <c r="CD844" s="425"/>
    </row>
    <row r="845" spans="2:82" ht="30" customHeight="1" x14ac:dyDescent="0.3">
      <c r="B845" s="562"/>
      <c r="C845" s="563"/>
      <c r="D845" s="425"/>
      <c r="E845" s="250" t="str">
        <f t="shared" si="105"/>
        <v/>
      </c>
      <c r="F845" s="556"/>
      <c r="G845" s="252" t="str">
        <f>IFERROR(VLOOKUP(F845,'Data (hidden)'!N:O,2,FALSE),"")</f>
        <v/>
      </c>
      <c r="H845" s="557"/>
      <c r="I845" s="558"/>
      <c r="J845" s="123">
        <f t="shared" si="101"/>
        <v>0</v>
      </c>
      <c r="K845" s="123" t="e">
        <f t="shared" si="102"/>
        <v>#VALUE!</v>
      </c>
      <c r="L845" s="123">
        <f t="shared" si="99"/>
        <v>0</v>
      </c>
      <c r="M845" s="124" t="str">
        <f t="shared" si="100"/>
        <v/>
      </c>
      <c r="N845" s="112"/>
      <c r="O845" s="101"/>
      <c r="P845" s="101"/>
      <c r="Q845" s="101"/>
      <c r="R845" s="102"/>
      <c r="S845" s="102"/>
      <c r="T845" s="102"/>
      <c r="U845" s="103"/>
      <c r="V845" s="100"/>
      <c r="W845" s="101"/>
      <c r="X845" s="113"/>
      <c r="Y845" s="114"/>
      <c r="Z845" s="102"/>
      <c r="AA845" s="101"/>
      <c r="AB845" s="111"/>
      <c r="AE845" s="187"/>
      <c r="AF845" s="185"/>
      <c r="AG845" s="185" t="str">
        <f t="shared" si="103"/>
        <v/>
      </c>
      <c r="AH845" s="186" t="str">
        <f t="shared" si="104"/>
        <v/>
      </c>
      <c r="AI845" s="185"/>
      <c r="AJ845" s="188"/>
      <c r="CC845" s="562"/>
      <c r="CD845" s="425"/>
    </row>
    <row r="846" spans="2:82" ht="30" customHeight="1" x14ac:dyDescent="0.3">
      <c r="B846" s="562"/>
      <c r="C846" s="563"/>
      <c r="D846" s="425"/>
      <c r="E846" s="250" t="str">
        <f t="shared" si="105"/>
        <v/>
      </c>
      <c r="F846" s="556"/>
      <c r="G846" s="252" t="str">
        <f>IFERROR(VLOOKUP(F846,'Data (hidden)'!N:O,2,FALSE),"")</f>
        <v/>
      </c>
      <c r="H846" s="557"/>
      <c r="I846" s="558"/>
      <c r="J846" s="123">
        <f t="shared" si="101"/>
        <v>0</v>
      </c>
      <c r="K846" s="123" t="e">
        <f t="shared" si="102"/>
        <v>#VALUE!</v>
      </c>
      <c r="L846" s="123">
        <f t="shared" si="99"/>
        <v>0</v>
      </c>
      <c r="M846" s="124" t="str">
        <f t="shared" si="100"/>
        <v/>
      </c>
      <c r="N846" s="112"/>
      <c r="O846" s="101"/>
      <c r="P846" s="101"/>
      <c r="Q846" s="101"/>
      <c r="R846" s="102"/>
      <c r="S846" s="102"/>
      <c r="T846" s="102"/>
      <c r="U846" s="103"/>
      <c r="V846" s="100"/>
      <c r="W846" s="101"/>
      <c r="X846" s="113"/>
      <c r="Y846" s="114"/>
      <c r="Z846" s="102"/>
      <c r="AA846" s="101"/>
      <c r="AB846" s="111"/>
      <c r="AE846" s="187"/>
      <c r="AF846" s="185"/>
      <c r="AG846" s="185" t="str">
        <f t="shared" si="103"/>
        <v/>
      </c>
      <c r="AH846" s="186" t="str">
        <f t="shared" si="104"/>
        <v/>
      </c>
      <c r="AI846" s="185"/>
      <c r="AJ846" s="188"/>
      <c r="CC846" s="562"/>
      <c r="CD846" s="425"/>
    </row>
    <row r="847" spans="2:82" ht="30" customHeight="1" x14ac:dyDescent="0.3">
      <c r="B847" s="562"/>
      <c r="C847" s="563"/>
      <c r="D847" s="425"/>
      <c r="E847" s="250" t="str">
        <f t="shared" si="105"/>
        <v/>
      </c>
      <c r="F847" s="556"/>
      <c r="G847" s="252" t="str">
        <f>IFERROR(VLOOKUP(F847,'Data (hidden)'!N:O,2,FALSE),"")</f>
        <v/>
      </c>
      <c r="H847" s="557"/>
      <c r="I847" s="558"/>
      <c r="J847" s="123">
        <f t="shared" si="101"/>
        <v>0</v>
      </c>
      <c r="K847" s="123" t="e">
        <f t="shared" si="102"/>
        <v>#VALUE!</v>
      </c>
      <c r="L847" s="123">
        <f t="shared" si="99"/>
        <v>0</v>
      </c>
      <c r="M847" s="124" t="str">
        <f t="shared" si="100"/>
        <v/>
      </c>
      <c r="N847" s="112"/>
      <c r="O847" s="101"/>
      <c r="P847" s="101"/>
      <c r="Q847" s="101"/>
      <c r="R847" s="102"/>
      <c r="S847" s="102"/>
      <c r="T847" s="102"/>
      <c r="U847" s="103"/>
      <c r="V847" s="100"/>
      <c r="W847" s="101"/>
      <c r="X847" s="113"/>
      <c r="Y847" s="114"/>
      <c r="Z847" s="102"/>
      <c r="AA847" s="101"/>
      <c r="AB847" s="111"/>
      <c r="AE847" s="187"/>
      <c r="AF847" s="185"/>
      <c r="AG847" s="185" t="str">
        <f t="shared" si="103"/>
        <v/>
      </c>
      <c r="AH847" s="186" t="str">
        <f t="shared" si="104"/>
        <v/>
      </c>
      <c r="AI847" s="185"/>
      <c r="AJ847" s="188"/>
      <c r="CC847" s="562"/>
      <c r="CD847" s="425"/>
    </row>
    <row r="848" spans="2:82" ht="30" customHeight="1" x14ac:dyDescent="0.3">
      <c r="B848" s="562"/>
      <c r="C848" s="563"/>
      <c r="D848" s="425"/>
      <c r="E848" s="250" t="str">
        <f t="shared" si="105"/>
        <v/>
      </c>
      <c r="F848" s="556"/>
      <c r="G848" s="252" t="str">
        <f>IFERROR(VLOOKUP(F848,'Data (hidden)'!N:O,2,FALSE),"")</f>
        <v/>
      </c>
      <c r="H848" s="557"/>
      <c r="I848" s="558"/>
      <c r="J848" s="123">
        <f t="shared" si="101"/>
        <v>0</v>
      </c>
      <c r="K848" s="123" t="e">
        <f t="shared" si="102"/>
        <v>#VALUE!</v>
      </c>
      <c r="L848" s="123">
        <f t="shared" si="99"/>
        <v>0</v>
      </c>
      <c r="M848" s="124" t="str">
        <f t="shared" si="100"/>
        <v/>
      </c>
      <c r="N848" s="112"/>
      <c r="O848" s="101"/>
      <c r="P848" s="101"/>
      <c r="Q848" s="101"/>
      <c r="R848" s="102"/>
      <c r="S848" s="102"/>
      <c r="T848" s="102"/>
      <c r="U848" s="103"/>
      <c r="V848" s="100"/>
      <c r="W848" s="101"/>
      <c r="X848" s="113"/>
      <c r="Y848" s="114"/>
      <c r="Z848" s="102"/>
      <c r="AA848" s="101"/>
      <c r="AB848" s="111"/>
      <c r="AE848" s="187"/>
      <c r="AF848" s="185"/>
      <c r="AG848" s="185" t="str">
        <f t="shared" si="103"/>
        <v/>
      </c>
      <c r="AH848" s="186" t="str">
        <f t="shared" si="104"/>
        <v/>
      </c>
      <c r="AI848" s="185"/>
      <c r="AJ848" s="188"/>
      <c r="CC848" s="562"/>
      <c r="CD848" s="425"/>
    </row>
    <row r="849" spans="2:82" ht="30" customHeight="1" x14ac:dyDescent="0.3">
      <c r="B849" s="562"/>
      <c r="C849" s="563"/>
      <c r="D849" s="425"/>
      <c r="E849" s="250" t="str">
        <f t="shared" si="105"/>
        <v/>
      </c>
      <c r="F849" s="556"/>
      <c r="G849" s="252" t="str">
        <f>IFERROR(VLOOKUP(F849,'Data (hidden)'!N:O,2,FALSE),"")</f>
        <v/>
      </c>
      <c r="H849" s="557"/>
      <c r="I849" s="558"/>
      <c r="J849" s="123">
        <f t="shared" si="101"/>
        <v>0</v>
      </c>
      <c r="K849" s="123" t="e">
        <f t="shared" si="102"/>
        <v>#VALUE!</v>
      </c>
      <c r="L849" s="123">
        <f t="shared" si="99"/>
        <v>0</v>
      </c>
      <c r="M849" s="124" t="str">
        <f t="shared" si="100"/>
        <v/>
      </c>
      <c r="N849" s="112"/>
      <c r="O849" s="101"/>
      <c r="P849" s="101"/>
      <c r="Q849" s="101"/>
      <c r="R849" s="102"/>
      <c r="S849" s="102"/>
      <c r="T849" s="102"/>
      <c r="U849" s="103"/>
      <c r="V849" s="100"/>
      <c r="W849" s="101"/>
      <c r="X849" s="113"/>
      <c r="Y849" s="114"/>
      <c r="Z849" s="102"/>
      <c r="AA849" s="101"/>
      <c r="AB849" s="111"/>
      <c r="AE849" s="187"/>
      <c r="AF849" s="185"/>
      <c r="AG849" s="185" t="str">
        <f t="shared" si="103"/>
        <v/>
      </c>
      <c r="AH849" s="186" t="str">
        <f t="shared" si="104"/>
        <v/>
      </c>
      <c r="AI849" s="185"/>
      <c r="AJ849" s="188"/>
      <c r="CC849" s="562"/>
      <c r="CD849" s="425"/>
    </row>
    <row r="850" spans="2:82" ht="30" customHeight="1" x14ac:dyDescent="0.3">
      <c r="B850" s="562"/>
      <c r="C850" s="563"/>
      <c r="D850" s="425"/>
      <c r="E850" s="250" t="str">
        <f t="shared" si="105"/>
        <v/>
      </c>
      <c r="F850" s="556"/>
      <c r="G850" s="252" t="str">
        <f>IFERROR(VLOOKUP(F850,'Data (hidden)'!N:O,2,FALSE),"")</f>
        <v/>
      </c>
      <c r="H850" s="557"/>
      <c r="I850" s="558"/>
      <c r="J850" s="123">
        <f t="shared" si="101"/>
        <v>0</v>
      </c>
      <c r="K850" s="123" t="e">
        <f t="shared" si="102"/>
        <v>#VALUE!</v>
      </c>
      <c r="L850" s="123">
        <f t="shared" si="99"/>
        <v>0</v>
      </c>
      <c r="M850" s="124" t="str">
        <f t="shared" si="100"/>
        <v/>
      </c>
      <c r="N850" s="112"/>
      <c r="O850" s="101"/>
      <c r="P850" s="101"/>
      <c r="Q850" s="101"/>
      <c r="R850" s="102"/>
      <c r="S850" s="102"/>
      <c r="T850" s="102"/>
      <c r="U850" s="103"/>
      <c r="V850" s="100"/>
      <c r="W850" s="101"/>
      <c r="X850" s="113"/>
      <c r="Y850" s="114"/>
      <c r="Z850" s="102"/>
      <c r="AA850" s="101"/>
      <c r="AB850" s="111"/>
      <c r="AE850" s="187"/>
      <c r="AF850" s="185"/>
      <c r="AG850" s="185" t="str">
        <f t="shared" si="103"/>
        <v/>
      </c>
      <c r="AH850" s="186" t="str">
        <f t="shared" si="104"/>
        <v/>
      </c>
      <c r="AI850" s="185"/>
      <c r="AJ850" s="188"/>
      <c r="CC850" s="562"/>
      <c r="CD850" s="425"/>
    </row>
    <row r="851" spans="2:82" ht="30" customHeight="1" x14ac:dyDescent="0.3">
      <c r="B851" s="562"/>
      <c r="C851" s="563"/>
      <c r="D851" s="425"/>
      <c r="E851" s="250" t="str">
        <f t="shared" si="105"/>
        <v/>
      </c>
      <c r="F851" s="556"/>
      <c r="G851" s="252" t="str">
        <f>IFERROR(VLOOKUP(F851,'Data (hidden)'!N:O,2,FALSE),"")</f>
        <v/>
      </c>
      <c r="H851" s="557"/>
      <c r="I851" s="558"/>
      <c r="J851" s="123">
        <f t="shared" si="101"/>
        <v>0</v>
      </c>
      <c r="K851" s="123" t="e">
        <f t="shared" si="102"/>
        <v>#VALUE!</v>
      </c>
      <c r="L851" s="123">
        <f t="shared" ref="L851:L887" si="106">D851*0.01</f>
        <v>0</v>
      </c>
      <c r="M851" s="124" t="str">
        <f t="shared" ref="M851:M887" si="107">IFERROR(K851*I851,"")</f>
        <v/>
      </c>
      <c r="N851" s="112"/>
      <c r="O851" s="101"/>
      <c r="P851" s="101"/>
      <c r="Q851" s="101"/>
      <c r="R851" s="102"/>
      <c r="S851" s="102"/>
      <c r="T851" s="102"/>
      <c r="U851" s="103"/>
      <c r="V851" s="100"/>
      <c r="W851" s="101"/>
      <c r="X851" s="113"/>
      <c r="Y851" s="114"/>
      <c r="Z851" s="102"/>
      <c r="AA851" s="101"/>
      <c r="AB851" s="111"/>
      <c r="AE851" s="187"/>
      <c r="AF851" s="185"/>
      <c r="AG851" s="185" t="str">
        <f t="shared" si="103"/>
        <v/>
      </c>
      <c r="AH851" s="186" t="str">
        <f t="shared" si="104"/>
        <v/>
      </c>
      <c r="AI851" s="185"/>
      <c r="AJ851" s="188"/>
      <c r="CC851" s="562"/>
      <c r="CD851" s="425"/>
    </row>
    <row r="852" spans="2:82" ht="30" customHeight="1" x14ac:dyDescent="0.3">
      <c r="B852" s="562"/>
      <c r="C852" s="563"/>
      <c r="D852" s="425"/>
      <c r="E852" s="250" t="str">
        <f t="shared" si="105"/>
        <v/>
      </c>
      <c r="F852" s="556"/>
      <c r="G852" s="252" t="str">
        <f>IFERROR(VLOOKUP(F852,'Data (hidden)'!N:O,2,FALSE),"")</f>
        <v/>
      </c>
      <c r="H852" s="557"/>
      <c r="I852" s="558"/>
      <c r="J852" s="123">
        <f t="shared" ref="J852:J887" si="108">H852*0.01</f>
        <v>0</v>
      </c>
      <c r="K852" s="123" t="e">
        <f t="shared" ref="K852:K887" si="109">E852*J852</f>
        <v>#VALUE!</v>
      </c>
      <c r="L852" s="123">
        <f t="shared" si="106"/>
        <v>0</v>
      </c>
      <c r="M852" s="124" t="str">
        <f t="shared" si="107"/>
        <v/>
      </c>
      <c r="N852" s="112"/>
      <c r="O852" s="101"/>
      <c r="P852" s="101"/>
      <c r="Q852" s="101"/>
      <c r="R852" s="102"/>
      <c r="S852" s="102"/>
      <c r="T852" s="102"/>
      <c r="U852" s="103"/>
      <c r="V852" s="100"/>
      <c r="W852" s="101"/>
      <c r="X852" s="113"/>
      <c r="Y852" s="114"/>
      <c r="Z852" s="102"/>
      <c r="AA852" s="101"/>
      <c r="AB852" s="111"/>
      <c r="AE852" s="187"/>
      <c r="AF852" s="185"/>
      <c r="AG852" s="185" t="str">
        <f t="shared" ref="AG852:AG887" si="110">IF(ISNUMBER(B852), B852, "")</f>
        <v/>
      </c>
      <c r="AH852" s="186" t="str">
        <f t="shared" ref="AH852:AH887" si="111">E852</f>
        <v/>
      </c>
      <c r="AI852" s="185"/>
      <c r="AJ852" s="188"/>
      <c r="CC852" s="562"/>
      <c r="CD852" s="425"/>
    </row>
    <row r="853" spans="2:82" ht="30" customHeight="1" x14ac:dyDescent="0.3">
      <c r="B853" s="562"/>
      <c r="C853" s="563"/>
      <c r="D853" s="425"/>
      <c r="E853" s="250" t="str">
        <f t="shared" si="105"/>
        <v/>
      </c>
      <c r="F853" s="556"/>
      <c r="G853" s="252" t="str">
        <f>IFERROR(VLOOKUP(F853,'Data (hidden)'!N:O,2,FALSE),"")</f>
        <v/>
      </c>
      <c r="H853" s="557"/>
      <c r="I853" s="558"/>
      <c r="J853" s="123">
        <f t="shared" si="108"/>
        <v>0</v>
      </c>
      <c r="K853" s="123" t="e">
        <f t="shared" si="109"/>
        <v>#VALUE!</v>
      </c>
      <c r="L853" s="123">
        <f t="shared" si="106"/>
        <v>0</v>
      </c>
      <c r="M853" s="124" t="str">
        <f t="shared" si="107"/>
        <v/>
      </c>
      <c r="N853" s="112"/>
      <c r="O853" s="101"/>
      <c r="P853" s="101"/>
      <c r="Q853" s="101"/>
      <c r="R853" s="102"/>
      <c r="S853" s="102"/>
      <c r="T853" s="102"/>
      <c r="U853" s="103"/>
      <c r="V853" s="100"/>
      <c r="W853" s="101"/>
      <c r="X853" s="113"/>
      <c r="Y853" s="114"/>
      <c r="Z853" s="102"/>
      <c r="AA853" s="101"/>
      <c r="AB853" s="111"/>
      <c r="AE853" s="187"/>
      <c r="AF853" s="185"/>
      <c r="AG853" s="185" t="str">
        <f t="shared" si="110"/>
        <v/>
      </c>
      <c r="AH853" s="186" t="str">
        <f t="shared" si="111"/>
        <v/>
      </c>
      <c r="AI853" s="185"/>
      <c r="AJ853" s="188"/>
      <c r="CC853" s="562"/>
      <c r="CD853" s="425"/>
    </row>
    <row r="854" spans="2:82" ht="30" customHeight="1" x14ac:dyDescent="0.3">
      <c r="B854" s="562"/>
      <c r="C854" s="563"/>
      <c r="D854" s="425"/>
      <c r="E854" s="250" t="str">
        <f t="shared" si="105"/>
        <v/>
      </c>
      <c r="F854" s="556"/>
      <c r="G854" s="252" t="str">
        <f>IFERROR(VLOOKUP(F854,'Data (hidden)'!N:O,2,FALSE),"")</f>
        <v/>
      </c>
      <c r="H854" s="557"/>
      <c r="I854" s="558"/>
      <c r="J854" s="123">
        <f t="shared" si="108"/>
        <v>0</v>
      </c>
      <c r="K854" s="123" t="e">
        <f t="shared" si="109"/>
        <v>#VALUE!</v>
      </c>
      <c r="L854" s="123">
        <f t="shared" si="106"/>
        <v>0</v>
      </c>
      <c r="M854" s="124" t="str">
        <f t="shared" si="107"/>
        <v/>
      </c>
      <c r="N854" s="112"/>
      <c r="O854" s="101"/>
      <c r="P854" s="101"/>
      <c r="Q854" s="101"/>
      <c r="R854" s="102"/>
      <c r="S854" s="102"/>
      <c r="T854" s="102"/>
      <c r="U854" s="103"/>
      <c r="V854" s="100"/>
      <c r="W854" s="101"/>
      <c r="X854" s="113"/>
      <c r="Y854" s="114"/>
      <c r="Z854" s="102"/>
      <c r="AA854" s="101"/>
      <c r="AB854" s="111"/>
      <c r="AE854" s="187"/>
      <c r="AF854" s="185"/>
      <c r="AG854" s="185" t="str">
        <f t="shared" si="110"/>
        <v/>
      </c>
      <c r="AH854" s="186" t="str">
        <f t="shared" si="111"/>
        <v/>
      </c>
      <c r="AI854" s="185"/>
      <c r="AJ854" s="188"/>
      <c r="CC854" s="562"/>
      <c r="CD854" s="425"/>
    </row>
    <row r="855" spans="2:82" ht="30" customHeight="1" x14ac:dyDescent="0.3">
      <c r="B855" s="562"/>
      <c r="C855" s="563"/>
      <c r="D855" s="425"/>
      <c r="E855" s="250" t="str">
        <f t="shared" si="105"/>
        <v/>
      </c>
      <c r="F855" s="556"/>
      <c r="G855" s="252" t="str">
        <f>IFERROR(VLOOKUP(F855,'Data (hidden)'!N:O,2,FALSE),"")</f>
        <v/>
      </c>
      <c r="H855" s="557"/>
      <c r="I855" s="558"/>
      <c r="J855" s="123">
        <f t="shared" si="108"/>
        <v>0</v>
      </c>
      <c r="K855" s="123" t="e">
        <f t="shared" si="109"/>
        <v>#VALUE!</v>
      </c>
      <c r="L855" s="123">
        <f t="shared" si="106"/>
        <v>0</v>
      </c>
      <c r="M855" s="124" t="str">
        <f t="shared" si="107"/>
        <v/>
      </c>
      <c r="N855" s="112"/>
      <c r="O855" s="101"/>
      <c r="P855" s="101"/>
      <c r="Q855" s="101"/>
      <c r="R855" s="102"/>
      <c r="S855" s="102"/>
      <c r="T855" s="102"/>
      <c r="U855" s="103"/>
      <c r="V855" s="100"/>
      <c r="W855" s="101"/>
      <c r="X855" s="113"/>
      <c r="Y855" s="114"/>
      <c r="Z855" s="102"/>
      <c r="AA855" s="101"/>
      <c r="AB855" s="111"/>
      <c r="AE855" s="187"/>
      <c r="AF855" s="185"/>
      <c r="AG855" s="185" t="str">
        <f t="shared" si="110"/>
        <v/>
      </c>
      <c r="AH855" s="186" t="str">
        <f t="shared" si="111"/>
        <v/>
      </c>
      <c r="AI855" s="185"/>
      <c r="AJ855" s="188"/>
      <c r="CC855" s="562"/>
      <c r="CD855" s="425"/>
    </row>
    <row r="856" spans="2:82" ht="30" customHeight="1" x14ac:dyDescent="0.3">
      <c r="B856" s="562"/>
      <c r="C856" s="563"/>
      <c r="D856" s="425"/>
      <c r="E856" s="250" t="str">
        <f t="shared" si="105"/>
        <v/>
      </c>
      <c r="F856" s="556"/>
      <c r="G856" s="252" t="str">
        <f>IFERROR(VLOOKUP(F856,'Data (hidden)'!N:O,2,FALSE),"")</f>
        <v/>
      </c>
      <c r="H856" s="557"/>
      <c r="I856" s="558"/>
      <c r="J856" s="123">
        <f t="shared" si="108"/>
        <v>0</v>
      </c>
      <c r="K856" s="123" t="e">
        <f t="shared" si="109"/>
        <v>#VALUE!</v>
      </c>
      <c r="L856" s="123">
        <f t="shared" si="106"/>
        <v>0</v>
      </c>
      <c r="M856" s="124" t="str">
        <f t="shared" si="107"/>
        <v/>
      </c>
      <c r="N856" s="112"/>
      <c r="O856" s="101"/>
      <c r="P856" s="101"/>
      <c r="Q856" s="101"/>
      <c r="R856" s="102"/>
      <c r="S856" s="102"/>
      <c r="T856" s="102"/>
      <c r="U856" s="103"/>
      <c r="V856" s="100"/>
      <c r="W856" s="101"/>
      <c r="X856" s="113"/>
      <c r="Y856" s="114"/>
      <c r="Z856" s="102"/>
      <c r="AA856" s="101"/>
      <c r="AB856" s="111"/>
      <c r="AE856" s="187"/>
      <c r="AF856" s="185"/>
      <c r="AG856" s="185" t="str">
        <f t="shared" si="110"/>
        <v/>
      </c>
      <c r="AH856" s="186" t="str">
        <f t="shared" si="111"/>
        <v/>
      </c>
      <c r="AI856" s="185"/>
      <c r="AJ856" s="188"/>
      <c r="CC856" s="562"/>
      <c r="CD856" s="425"/>
    </row>
    <row r="857" spans="2:82" ht="30" customHeight="1" x14ac:dyDescent="0.3">
      <c r="B857" s="562"/>
      <c r="C857" s="563"/>
      <c r="D857" s="425"/>
      <c r="E857" s="250" t="str">
        <f t="shared" si="105"/>
        <v/>
      </c>
      <c r="F857" s="556"/>
      <c r="G857" s="252" t="str">
        <f>IFERROR(VLOOKUP(F857,'Data (hidden)'!N:O,2,FALSE),"")</f>
        <v/>
      </c>
      <c r="H857" s="557"/>
      <c r="I857" s="558"/>
      <c r="J857" s="123">
        <f t="shared" si="108"/>
        <v>0</v>
      </c>
      <c r="K857" s="123" t="e">
        <f t="shared" si="109"/>
        <v>#VALUE!</v>
      </c>
      <c r="L857" s="123">
        <f t="shared" si="106"/>
        <v>0</v>
      </c>
      <c r="M857" s="124" t="str">
        <f t="shared" si="107"/>
        <v/>
      </c>
      <c r="N857" s="112"/>
      <c r="O857" s="101"/>
      <c r="P857" s="101"/>
      <c r="Q857" s="101"/>
      <c r="R857" s="102"/>
      <c r="S857" s="102"/>
      <c r="T857" s="102"/>
      <c r="U857" s="103"/>
      <c r="V857" s="100"/>
      <c r="W857" s="101"/>
      <c r="X857" s="113"/>
      <c r="Y857" s="114"/>
      <c r="Z857" s="102"/>
      <c r="AA857" s="101"/>
      <c r="AB857" s="111"/>
      <c r="AE857" s="187"/>
      <c r="AF857" s="185"/>
      <c r="AG857" s="185" t="str">
        <f t="shared" si="110"/>
        <v/>
      </c>
      <c r="AH857" s="186" t="str">
        <f t="shared" si="111"/>
        <v/>
      </c>
      <c r="AI857" s="185"/>
      <c r="AJ857" s="188"/>
      <c r="CC857" s="562"/>
      <c r="CD857" s="425"/>
    </row>
    <row r="858" spans="2:82" ht="30" customHeight="1" x14ac:dyDescent="0.3">
      <c r="B858" s="562"/>
      <c r="C858" s="563"/>
      <c r="D858" s="425"/>
      <c r="E858" s="250" t="str">
        <f t="shared" si="105"/>
        <v/>
      </c>
      <c r="F858" s="556"/>
      <c r="G858" s="252" t="str">
        <f>IFERROR(VLOOKUP(F858,'Data (hidden)'!N:O,2,FALSE),"")</f>
        <v/>
      </c>
      <c r="H858" s="557"/>
      <c r="I858" s="558"/>
      <c r="J858" s="123">
        <f t="shared" si="108"/>
        <v>0</v>
      </c>
      <c r="K858" s="123" t="e">
        <f t="shared" si="109"/>
        <v>#VALUE!</v>
      </c>
      <c r="L858" s="123">
        <f t="shared" si="106"/>
        <v>0</v>
      </c>
      <c r="M858" s="124" t="str">
        <f t="shared" si="107"/>
        <v/>
      </c>
      <c r="N858" s="112"/>
      <c r="O858" s="101"/>
      <c r="P858" s="101"/>
      <c r="Q858" s="101"/>
      <c r="R858" s="102"/>
      <c r="S858" s="102"/>
      <c r="T858" s="102"/>
      <c r="U858" s="103"/>
      <c r="V858" s="100"/>
      <c r="W858" s="101"/>
      <c r="X858" s="113"/>
      <c r="Y858" s="114"/>
      <c r="Z858" s="102"/>
      <c r="AA858" s="101"/>
      <c r="AB858" s="111"/>
      <c r="AE858" s="187"/>
      <c r="AF858" s="185"/>
      <c r="AG858" s="185" t="str">
        <f t="shared" si="110"/>
        <v/>
      </c>
      <c r="AH858" s="186" t="str">
        <f t="shared" si="111"/>
        <v/>
      </c>
      <c r="AI858" s="185"/>
      <c r="AJ858" s="188"/>
      <c r="CC858" s="562"/>
      <c r="CD858" s="425"/>
    </row>
    <row r="859" spans="2:82" ht="30" customHeight="1" x14ac:dyDescent="0.3">
      <c r="B859" s="562"/>
      <c r="C859" s="563"/>
      <c r="D859" s="425"/>
      <c r="E859" s="250" t="str">
        <f t="shared" si="105"/>
        <v/>
      </c>
      <c r="F859" s="556"/>
      <c r="G859" s="252" t="str">
        <f>IFERROR(VLOOKUP(F859,'Data (hidden)'!N:O,2,FALSE),"")</f>
        <v/>
      </c>
      <c r="H859" s="557"/>
      <c r="I859" s="558"/>
      <c r="J859" s="123">
        <f t="shared" si="108"/>
        <v>0</v>
      </c>
      <c r="K859" s="123" t="e">
        <f t="shared" si="109"/>
        <v>#VALUE!</v>
      </c>
      <c r="L859" s="123">
        <f t="shared" si="106"/>
        <v>0</v>
      </c>
      <c r="M859" s="124" t="str">
        <f t="shared" si="107"/>
        <v/>
      </c>
      <c r="N859" s="112"/>
      <c r="O859" s="101"/>
      <c r="P859" s="101"/>
      <c r="Q859" s="101"/>
      <c r="R859" s="102"/>
      <c r="S859" s="102"/>
      <c r="T859" s="102"/>
      <c r="U859" s="103"/>
      <c r="V859" s="100"/>
      <c r="W859" s="101"/>
      <c r="X859" s="113"/>
      <c r="Y859" s="114"/>
      <c r="Z859" s="102"/>
      <c r="AA859" s="101"/>
      <c r="AB859" s="111"/>
      <c r="AE859" s="187"/>
      <c r="AF859" s="185"/>
      <c r="AG859" s="185" t="str">
        <f t="shared" si="110"/>
        <v/>
      </c>
      <c r="AH859" s="186" t="str">
        <f t="shared" si="111"/>
        <v/>
      </c>
      <c r="AI859" s="185"/>
      <c r="AJ859" s="188"/>
      <c r="CC859" s="562"/>
      <c r="CD859" s="425"/>
    </row>
    <row r="860" spans="2:82" ht="30" customHeight="1" x14ac:dyDescent="0.3">
      <c r="B860" s="562"/>
      <c r="C860" s="563"/>
      <c r="D860" s="425"/>
      <c r="E860" s="250" t="str">
        <f t="shared" si="105"/>
        <v/>
      </c>
      <c r="F860" s="556"/>
      <c r="G860" s="252" t="str">
        <f>IFERROR(VLOOKUP(F860,'Data (hidden)'!N:O,2,FALSE),"")</f>
        <v/>
      </c>
      <c r="H860" s="557"/>
      <c r="I860" s="558"/>
      <c r="J860" s="123">
        <f t="shared" si="108"/>
        <v>0</v>
      </c>
      <c r="K860" s="123" t="e">
        <f t="shared" si="109"/>
        <v>#VALUE!</v>
      </c>
      <c r="L860" s="123">
        <f t="shared" si="106"/>
        <v>0</v>
      </c>
      <c r="M860" s="124" t="str">
        <f t="shared" si="107"/>
        <v/>
      </c>
      <c r="N860" s="112"/>
      <c r="O860" s="101"/>
      <c r="P860" s="101"/>
      <c r="Q860" s="101"/>
      <c r="R860" s="102"/>
      <c r="S860" s="102"/>
      <c r="T860" s="102"/>
      <c r="U860" s="103"/>
      <c r="V860" s="100"/>
      <c r="W860" s="101"/>
      <c r="X860" s="113"/>
      <c r="Y860" s="114"/>
      <c r="Z860" s="102"/>
      <c r="AA860" s="101"/>
      <c r="AB860" s="111"/>
      <c r="AE860" s="187"/>
      <c r="AF860" s="185"/>
      <c r="AG860" s="185" t="str">
        <f t="shared" si="110"/>
        <v/>
      </c>
      <c r="AH860" s="186" t="str">
        <f t="shared" si="111"/>
        <v/>
      </c>
      <c r="AI860" s="185"/>
      <c r="AJ860" s="188"/>
      <c r="CC860" s="562"/>
      <c r="CD860" s="425"/>
    </row>
    <row r="861" spans="2:82" ht="30" customHeight="1" x14ac:dyDescent="0.3">
      <c r="B861" s="562"/>
      <c r="C861" s="563"/>
      <c r="D861" s="425"/>
      <c r="E861" s="250" t="str">
        <f t="shared" si="105"/>
        <v/>
      </c>
      <c r="F861" s="556"/>
      <c r="G861" s="252" t="str">
        <f>IFERROR(VLOOKUP(F861,'Data (hidden)'!N:O,2,FALSE),"")</f>
        <v/>
      </c>
      <c r="H861" s="557"/>
      <c r="I861" s="558"/>
      <c r="J861" s="123">
        <f t="shared" si="108"/>
        <v>0</v>
      </c>
      <c r="K861" s="123" t="e">
        <f t="shared" si="109"/>
        <v>#VALUE!</v>
      </c>
      <c r="L861" s="123">
        <f t="shared" si="106"/>
        <v>0</v>
      </c>
      <c r="M861" s="124" t="str">
        <f t="shared" si="107"/>
        <v/>
      </c>
      <c r="N861" s="112"/>
      <c r="O861" s="101"/>
      <c r="P861" s="101"/>
      <c r="Q861" s="101"/>
      <c r="R861" s="102"/>
      <c r="S861" s="102"/>
      <c r="T861" s="102"/>
      <c r="U861" s="103"/>
      <c r="V861" s="100"/>
      <c r="W861" s="101"/>
      <c r="X861" s="113"/>
      <c r="Y861" s="114"/>
      <c r="Z861" s="102"/>
      <c r="AA861" s="101"/>
      <c r="AB861" s="111"/>
      <c r="AE861" s="187"/>
      <c r="AF861" s="185"/>
      <c r="AG861" s="185" t="str">
        <f t="shared" si="110"/>
        <v/>
      </c>
      <c r="AH861" s="186" t="str">
        <f t="shared" si="111"/>
        <v/>
      </c>
      <c r="AI861" s="185"/>
      <c r="AJ861" s="188"/>
      <c r="CC861" s="562"/>
      <c r="CD861" s="425"/>
    </row>
    <row r="862" spans="2:82" ht="30" customHeight="1" x14ac:dyDescent="0.3">
      <c r="B862" s="562"/>
      <c r="C862" s="563"/>
      <c r="D862" s="425"/>
      <c r="E862" s="250" t="str">
        <f t="shared" si="105"/>
        <v/>
      </c>
      <c r="F862" s="556"/>
      <c r="G862" s="252" t="str">
        <f>IFERROR(VLOOKUP(F862,'Data (hidden)'!N:O,2,FALSE),"")</f>
        <v/>
      </c>
      <c r="H862" s="557"/>
      <c r="I862" s="558"/>
      <c r="J862" s="123">
        <f t="shared" si="108"/>
        <v>0</v>
      </c>
      <c r="K862" s="123" t="e">
        <f t="shared" si="109"/>
        <v>#VALUE!</v>
      </c>
      <c r="L862" s="123">
        <f t="shared" si="106"/>
        <v>0</v>
      </c>
      <c r="M862" s="124" t="str">
        <f t="shared" si="107"/>
        <v/>
      </c>
      <c r="N862" s="112"/>
      <c r="O862" s="101"/>
      <c r="P862" s="101"/>
      <c r="Q862" s="101"/>
      <c r="R862" s="102"/>
      <c r="S862" s="102"/>
      <c r="T862" s="102"/>
      <c r="U862" s="103"/>
      <c r="V862" s="100"/>
      <c r="W862" s="101"/>
      <c r="X862" s="113"/>
      <c r="Y862" s="114"/>
      <c r="Z862" s="102"/>
      <c r="AA862" s="101"/>
      <c r="AB862" s="111"/>
      <c r="AE862" s="187"/>
      <c r="AF862" s="185"/>
      <c r="AG862" s="185" t="str">
        <f t="shared" si="110"/>
        <v/>
      </c>
      <c r="AH862" s="186" t="str">
        <f t="shared" si="111"/>
        <v/>
      </c>
      <c r="AI862" s="185"/>
      <c r="AJ862" s="188"/>
      <c r="CC862" s="562"/>
      <c r="CD862" s="425"/>
    </row>
    <row r="863" spans="2:82" ht="30" customHeight="1" x14ac:dyDescent="0.3">
      <c r="B863" s="562"/>
      <c r="C863" s="563"/>
      <c r="D863" s="425"/>
      <c r="E863" s="250" t="str">
        <f t="shared" si="105"/>
        <v/>
      </c>
      <c r="F863" s="556"/>
      <c r="G863" s="252" t="str">
        <f>IFERROR(VLOOKUP(F863,'Data (hidden)'!N:O,2,FALSE),"")</f>
        <v/>
      </c>
      <c r="H863" s="557"/>
      <c r="I863" s="558"/>
      <c r="J863" s="123">
        <f t="shared" si="108"/>
        <v>0</v>
      </c>
      <c r="K863" s="123" t="e">
        <f t="shared" si="109"/>
        <v>#VALUE!</v>
      </c>
      <c r="L863" s="123">
        <f t="shared" si="106"/>
        <v>0</v>
      </c>
      <c r="M863" s="124" t="str">
        <f t="shared" si="107"/>
        <v/>
      </c>
      <c r="N863" s="112"/>
      <c r="O863" s="101"/>
      <c r="P863" s="101"/>
      <c r="Q863" s="101"/>
      <c r="R863" s="102"/>
      <c r="S863" s="102"/>
      <c r="T863" s="102"/>
      <c r="U863" s="103"/>
      <c r="V863" s="100"/>
      <c r="W863" s="101"/>
      <c r="X863" s="113"/>
      <c r="Y863" s="114"/>
      <c r="Z863" s="102"/>
      <c r="AA863" s="101"/>
      <c r="AB863" s="111"/>
      <c r="AE863" s="187"/>
      <c r="AF863" s="185"/>
      <c r="AG863" s="185" t="str">
        <f t="shared" si="110"/>
        <v/>
      </c>
      <c r="AH863" s="186" t="str">
        <f t="shared" si="111"/>
        <v/>
      </c>
      <c r="AI863" s="185"/>
      <c r="AJ863" s="188"/>
      <c r="CC863" s="562"/>
      <c r="CD863" s="425"/>
    </row>
    <row r="864" spans="2:82" ht="30" customHeight="1" x14ac:dyDescent="0.3">
      <c r="B864" s="562"/>
      <c r="C864" s="563"/>
      <c r="D864" s="425"/>
      <c r="E864" s="250" t="str">
        <f t="shared" si="105"/>
        <v/>
      </c>
      <c r="F864" s="556"/>
      <c r="G864" s="252" t="str">
        <f>IFERROR(VLOOKUP(F864,'Data (hidden)'!N:O,2,FALSE),"")</f>
        <v/>
      </c>
      <c r="H864" s="557"/>
      <c r="I864" s="558"/>
      <c r="J864" s="123">
        <f t="shared" si="108"/>
        <v>0</v>
      </c>
      <c r="K864" s="123" t="e">
        <f t="shared" si="109"/>
        <v>#VALUE!</v>
      </c>
      <c r="L864" s="123">
        <f t="shared" si="106"/>
        <v>0</v>
      </c>
      <c r="M864" s="124" t="str">
        <f t="shared" si="107"/>
        <v/>
      </c>
      <c r="N864" s="112"/>
      <c r="O864" s="101"/>
      <c r="P864" s="101"/>
      <c r="Q864" s="101"/>
      <c r="R864" s="102"/>
      <c r="S864" s="102"/>
      <c r="T864" s="102"/>
      <c r="U864" s="103"/>
      <c r="V864" s="100"/>
      <c r="W864" s="101"/>
      <c r="X864" s="113"/>
      <c r="Y864" s="114"/>
      <c r="Z864" s="102"/>
      <c r="AA864" s="101"/>
      <c r="AB864" s="111"/>
      <c r="AE864" s="187"/>
      <c r="AF864" s="185"/>
      <c r="AG864" s="185" t="str">
        <f t="shared" si="110"/>
        <v/>
      </c>
      <c r="AH864" s="186" t="str">
        <f t="shared" si="111"/>
        <v/>
      </c>
      <c r="AI864" s="185"/>
      <c r="AJ864" s="188"/>
      <c r="CC864" s="562"/>
      <c r="CD864" s="425"/>
    </row>
    <row r="865" spans="2:82" ht="30" customHeight="1" x14ac:dyDescent="0.3">
      <c r="B865" s="562"/>
      <c r="C865" s="563"/>
      <c r="D865" s="425"/>
      <c r="E865" s="250" t="str">
        <f t="shared" si="105"/>
        <v/>
      </c>
      <c r="F865" s="556"/>
      <c r="G865" s="252" t="str">
        <f>IFERROR(VLOOKUP(F865,'Data (hidden)'!N:O,2,FALSE),"")</f>
        <v/>
      </c>
      <c r="H865" s="557"/>
      <c r="I865" s="558"/>
      <c r="J865" s="123">
        <f t="shared" si="108"/>
        <v>0</v>
      </c>
      <c r="K865" s="123" t="e">
        <f t="shared" si="109"/>
        <v>#VALUE!</v>
      </c>
      <c r="L865" s="123">
        <f t="shared" si="106"/>
        <v>0</v>
      </c>
      <c r="M865" s="124" t="str">
        <f t="shared" si="107"/>
        <v/>
      </c>
      <c r="N865" s="112"/>
      <c r="O865" s="101"/>
      <c r="P865" s="101"/>
      <c r="Q865" s="101"/>
      <c r="R865" s="102"/>
      <c r="S865" s="102"/>
      <c r="T865" s="102"/>
      <c r="U865" s="103"/>
      <c r="V865" s="100"/>
      <c r="W865" s="101"/>
      <c r="X865" s="113"/>
      <c r="Y865" s="114"/>
      <c r="Z865" s="102"/>
      <c r="AA865" s="101"/>
      <c r="AB865" s="111"/>
      <c r="AE865" s="187"/>
      <c r="AF865" s="185"/>
      <c r="AG865" s="185" t="str">
        <f t="shared" si="110"/>
        <v/>
      </c>
      <c r="AH865" s="186" t="str">
        <f t="shared" si="111"/>
        <v/>
      </c>
      <c r="AI865" s="185"/>
      <c r="AJ865" s="188"/>
      <c r="CC865" s="562"/>
      <c r="CD865" s="425"/>
    </row>
    <row r="866" spans="2:82" ht="30" customHeight="1" x14ac:dyDescent="0.3">
      <c r="B866" s="562"/>
      <c r="C866" s="563"/>
      <c r="D866" s="425"/>
      <c r="E866" s="250" t="str">
        <f t="shared" si="105"/>
        <v/>
      </c>
      <c r="F866" s="556"/>
      <c r="G866" s="252" t="str">
        <f>IFERROR(VLOOKUP(F866,'Data (hidden)'!N:O,2,FALSE),"")</f>
        <v/>
      </c>
      <c r="H866" s="557"/>
      <c r="I866" s="558"/>
      <c r="J866" s="123">
        <f t="shared" si="108"/>
        <v>0</v>
      </c>
      <c r="K866" s="123" t="e">
        <f t="shared" si="109"/>
        <v>#VALUE!</v>
      </c>
      <c r="L866" s="123">
        <f t="shared" si="106"/>
        <v>0</v>
      </c>
      <c r="M866" s="124" t="str">
        <f t="shared" si="107"/>
        <v/>
      </c>
      <c r="N866" s="112"/>
      <c r="O866" s="101"/>
      <c r="P866" s="101"/>
      <c r="Q866" s="101"/>
      <c r="R866" s="102"/>
      <c r="S866" s="102"/>
      <c r="T866" s="102"/>
      <c r="U866" s="103"/>
      <c r="V866" s="100"/>
      <c r="W866" s="101"/>
      <c r="X866" s="113"/>
      <c r="Y866" s="114"/>
      <c r="Z866" s="102"/>
      <c r="AA866" s="101"/>
      <c r="AB866" s="111"/>
      <c r="AE866" s="187"/>
      <c r="AF866" s="185"/>
      <c r="AG866" s="185" t="str">
        <f t="shared" si="110"/>
        <v/>
      </c>
      <c r="AH866" s="186" t="str">
        <f t="shared" si="111"/>
        <v/>
      </c>
      <c r="AI866" s="185"/>
      <c r="AJ866" s="188"/>
      <c r="CC866" s="562"/>
      <c r="CD866" s="425"/>
    </row>
    <row r="867" spans="2:82" ht="30" customHeight="1" x14ac:dyDescent="0.3">
      <c r="B867" s="562"/>
      <c r="C867" s="563"/>
      <c r="D867" s="425"/>
      <c r="E867" s="250" t="str">
        <f t="shared" si="105"/>
        <v/>
      </c>
      <c r="F867" s="556"/>
      <c r="G867" s="252" t="str">
        <f>IFERROR(VLOOKUP(F867,'Data (hidden)'!N:O,2,FALSE),"")</f>
        <v/>
      </c>
      <c r="H867" s="557"/>
      <c r="I867" s="558"/>
      <c r="J867" s="123">
        <f t="shared" si="108"/>
        <v>0</v>
      </c>
      <c r="K867" s="123" t="e">
        <f t="shared" si="109"/>
        <v>#VALUE!</v>
      </c>
      <c r="L867" s="123">
        <f t="shared" si="106"/>
        <v>0</v>
      </c>
      <c r="M867" s="124" t="str">
        <f t="shared" si="107"/>
        <v/>
      </c>
      <c r="N867" s="112"/>
      <c r="O867" s="101"/>
      <c r="P867" s="101"/>
      <c r="Q867" s="101"/>
      <c r="R867" s="102"/>
      <c r="S867" s="102"/>
      <c r="T867" s="102"/>
      <c r="U867" s="103"/>
      <c r="V867" s="100"/>
      <c r="W867" s="101"/>
      <c r="X867" s="113"/>
      <c r="Y867" s="114"/>
      <c r="Z867" s="102"/>
      <c r="AA867" s="101"/>
      <c r="AB867" s="111"/>
      <c r="AE867" s="187"/>
      <c r="AF867" s="185"/>
      <c r="AG867" s="185" t="str">
        <f t="shared" si="110"/>
        <v/>
      </c>
      <c r="AH867" s="186" t="str">
        <f t="shared" si="111"/>
        <v/>
      </c>
      <c r="AI867" s="185"/>
      <c r="AJ867" s="188"/>
      <c r="CC867" s="562"/>
      <c r="CD867" s="425"/>
    </row>
    <row r="868" spans="2:82" ht="30" customHeight="1" x14ac:dyDescent="0.3">
      <c r="B868" s="562"/>
      <c r="C868" s="563"/>
      <c r="D868" s="425"/>
      <c r="E868" s="250" t="str">
        <f t="shared" si="105"/>
        <v/>
      </c>
      <c r="F868" s="556"/>
      <c r="G868" s="252" t="str">
        <f>IFERROR(VLOOKUP(F868,'Data (hidden)'!N:O,2,FALSE),"")</f>
        <v/>
      </c>
      <c r="H868" s="557"/>
      <c r="I868" s="558"/>
      <c r="J868" s="123">
        <f t="shared" si="108"/>
        <v>0</v>
      </c>
      <c r="K868" s="123" t="e">
        <f t="shared" si="109"/>
        <v>#VALUE!</v>
      </c>
      <c r="L868" s="123">
        <f t="shared" si="106"/>
        <v>0</v>
      </c>
      <c r="M868" s="124" t="str">
        <f t="shared" si="107"/>
        <v/>
      </c>
      <c r="N868" s="112"/>
      <c r="O868" s="101"/>
      <c r="P868" s="101"/>
      <c r="Q868" s="101"/>
      <c r="R868" s="102"/>
      <c r="S868" s="102"/>
      <c r="T868" s="102"/>
      <c r="U868" s="103"/>
      <c r="V868" s="100"/>
      <c r="W868" s="101"/>
      <c r="X868" s="113"/>
      <c r="Y868" s="114"/>
      <c r="Z868" s="102"/>
      <c r="AA868" s="101"/>
      <c r="AB868" s="111"/>
      <c r="AE868" s="187"/>
      <c r="AF868" s="185"/>
      <c r="AG868" s="185" t="str">
        <f t="shared" si="110"/>
        <v/>
      </c>
      <c r="AH868" s="186" t="str">
        <f t="shared" si="111"/>
        <v/>
      </c>
      <c r="AI868" s="185"/>
      <c r="AJ868" s="188"/>
      <c r="CC868" s="562"/>
      <c r="CD868" s="425"/>
    </row>
    <row r="869" spans="2:82" ht="30" customHeight="1" x14ac:dyDescent="0.3">
      <c r="B869" s="562"/>
      <c r="C869" s="563"/>
      <c r="D869" s="425"/>
      <c r="E869" s="250" t="str">
        <f t="shared" si="105"/>
        <v/>
      </c>
      <c r="F869" s="556"/>
      <c r="G869" s="252" t="str">
        <f>IFERROR(VLOOKUP(F869,'Data (hidden)'!N:O,2,FALSE),"")</f>
        <v/>
      </c>
      <c r="H869" s="557"/>
      <c r="I869" s="558"/>
      <c r="J869" s="123">
        <f t="shared" si="108"/>
        <v>0</v>
      </c>
      <c r="K869" s="123" t="e">
        <f t="shared" si="109"/>
        <v>#VALUE!</v>
      </c>
      <c r="L869" s="123">
        <f t="shared" si="106"/>
        <v>0</v>
      </c>
      <c r="M869" s="124" t="str">
        <f t="shared" si="107"/>
        <v/>
      </c>
      <c r="N869" s="112"/>
      <c r="O869" s="101"/>
      <c r="P869" s="101"/>
      <c r="Q869" s="101"/>
      <c r="R869" s="102"/>
      <c r="S869" s="102"/>
      <c r="T869" s="102"/>
      <c r="U869" s="103"/>
      <c r="V869" s="100"/>
      <c r="W869" s="101"/>
      <c r="X869" s="113"/>
      <c r="Y869" s="114"/>
      <c r="Z869" s="102"/>
      <c r="AA869" s="101"/>
      <c r="AB869" s="111"/>
      <c r="AE869" s="187"/>
      <c r="AF869" s="185"/>
      <c r="AG869" s="185" t="str">
        <f t="shared" si="110"/>
        <v/>
      </c>
      <c r="AH869" s="186" t="str">
        <f t="shared" si="111"/>
        <v/>
      </c>
      <c r="AI869" s="185"/>
      <c r="AJ869" s="188"/>
      <c r="CC869" s="562"/>
      <c r="CD869" s="425"/>
    </row>
    <row r="870" spans="2:82" ht="30" customHeight="1" x14ac:dyDescent="0.3">
      <c r="B870" s="562"/>
      <c r="C870" s="563"/>
      <c r="D870" s="425"/>
      <c r="E870" s="250" t="str">
        <f t="shared" si="105"/>
        <v/>
      </c>
      <c r="F870" s="556"/>
      <c r="G870" s="252" t="str">
        <f>IFERROR(VLOOKUP(F870,'Data (hidden)'!N:O,2,FALSE),"")</f>
        <v/>
      </c>
      <c r="H870" s="557"/>
      <c r="I870" s="558"/>
      <c r="J870" s="123">
        <f t="shared" si="108"/>
        <v>0</v>
      </c>
      <c r="K870" s="123" t="e">
        <f t="shared" si="109"/>
        <v>#VALUE!</v>
      </c>
      <c r="L870" s="123">
        <f t="shared" si="106"/>
        <v>0</v>
      </c>
      <c r="M870" s="124" t="str">
        <f t="shared" si="107"/>
        <v/>
      </c>
      <c r="N870" s="112"/>
      <c r="O870" s="101"/>
      <c r="P870" s="101"/>
      <c r="Q870" s="101"/>
      <c r="R870" s="102"/>
      <c r="S870" s="102"/>
      <c r="T870" s="102"/>
      <c r="U870" s="103"/>
      <c r="V870" s="100"/>
      <c r="W870" s="101"/>
      <c r="X870" s="113"/>
      <c r="Y870" s="114"/>
      <c r="Z870" s="102"/>
      <c r="AA870" s="101"/>
      <c r="AB870" s="111"/>
      <c r="AE870" s="187"/>
      <c r="AF870" s="185"/>
      <c r="AG870" s="185" t="str">
        <f t="shared" si="110"/>
        <v/>
      </c>
      <c r="AH870" s="186" t="str">
        <f t="shared" si="111"/>
        <v/>
      </c>
      <c r="AI870" s="185"/>
      <c r="AJ870" s="188"/>
      <c r="CC870" s="562"/>
      <c r="CD870" s="425"/>
    </row>
    <row r="871" spans="2:82" ht="30" customHeight="1" x14ac:dyDescent="0.3">
      <c r="B871" s="562"/>
      <c r="C871" s="563"/>
      <c r="D871" s="425"/>
      <c r="E871" s="250" t="str">
        <f t="shared" si="105"/>
        <v/>
      </c>
      <c r="F871" s="556"/>
      <c r="G871" s="252" t="str">
        <f>IFERROR(VLOOKUP(F871,'Data (hidden)'!N:O,2,FALSE),"")</f>
        <v/>
      </c>
      <c r="H871" s="557"/>
      <c r="I871" s="558"/>
      <c r="J871" s="123">
        <f t="shared" si="108"/>
        <v>0</v>
      </c>
      <c r="K871" s="123" t="e">
        <f t="shared" si="109"/>
        <v>#VALUE!</v>
      </c>
      <c r="L871" s="123">
        <f t="shared" si="106"/>
        <v>0</v>
      </c>
      <c r="M871" s="124" t="str">
        <f t="shared" si="107"/>
        <v/>
      </c>
      <c r="N871" s="112"/>
      <c r="O871" s="101"/>
      <c r="P871" s="101"/>
      <c r="Q871" s="101"/>
      <c r="R871" s="102"/>
      <c r="S871" s="102"/>
      <c r="T871" s="102"/>
      <c r="U871" s="103"/>
      <c r="V871" s="100"/>
      <c r="W871" s="101"/>
      <c r="X871" s="113"/>
      <c r="Y871" s="114"/>
      <c r="Z871" s="102"/>
      <c r="AA871" s="101"/>
      <c r="AB871" s="111"/>
      <c r="AE871" s="187"/>
      <c r="AF871" s="185"/>
      <c r="AG871" s="185" t="str">
        <f t="shared" si="110"/>
        <v/>
      </c>
      <c r="AH871" s="186" t="str">
        <f t="shared" si="111"/>
        <v/>
      </c>
      <c r="AI871" s="185"/>
      <c r="AJ871" s="188"/>
      <c r="CC871" s="562"/>
      <c r="CD871" s="425"/>
    </row>
    <row r="872" spans="2:82" ht="30" customHeight="1" x14ac:dyDescent="0.3">
      <c r="B872" s="562"/>
      <c r="C872" s="563"/>
      <c r="D872" s="425"/>
      <c r="E872" s="250" t="str">
        <f t="shared" si="105"/>
        <v/>
      </c>
      <c r="F872" s="556"/>
      <c r="G872" s="252" t="str">
        <f>IFERROR(VLOOKUP(F872,'Data (hidden)'!N:O,2,FALSE),"")</f>
        <v/>
      </c>
      <c r="H872" s="557"/>
      <c r="I872" s="558"/>
      <c r="J872" s="123">
        <f t="shared" si="108"/>
        <v>0</v>
      </c>
      <c r="K872" s="123" t="e">
        <f t="shared" si="109"/>
        <v>#VALUE!</v>
      </c>
      <c r="L872" s="123">
        <f t="shared" si="106"/>
        <v>0</v>
      </c>
      <c r="M872" s="124" t="str">
        <f t="shared" si="107"/>
        <v/>
      </c>
      <c r="N872" s="112"/>
      <c r="O872" s="101"/>
      <c r="P872" s="101"/>
      <c r="Q872" s="101"/>
      <c r="R872" s="102"/>
      <c r="S872" s="102"/>
      <c r="T872" s="102"/>
      <c r="U872" s="103"/>
      <c r="V872" s="100"/>
      <c r="W872" s="101"/>
      <c r="X872" s="113"/>
      <c r="Y872" s="114"/>
      <c r="Z872" s="102"/>
      <c r="AA872" s="101"/>
      <c r="AB872" s="111"/>
      <c r="AE872" s="187"/>
      <c r="AF872" s="185"/>
      <c r="AG872" s="185" t="str">
        <f t="shared" si="110"/>
        <v/>
      </c>
      <c r="AH872" s="186" t="str">
        <f t="shared" si="111"/>
        <v/>
      </c>
      <c r="AI872" s="185"/>
      <c r="AJ872" s="188"/>
      <c r="CC872" s="562"/>
      <c r="CD872" s="425"/>
    </row>
    <row r="873" spans="2:82" ht="30" customHeight="1" x14ac:dyDescent="0.3">
      <c r="B873" s="562"/>
      <c r="C873" s="563"/>
      <c r="D873" s="425"/>
      <c r="E873" s="250" t="str">
        <f t="shared" si="105"/>
        <v/>
      </c>
      <c r="F873" s="556"/>
      <c r="G873" s="252" t="str">
        <f>IFERROR(VLOOKUP(F873,'Data (hidden)'!N:O,2,FALSE),"")</f>
        <v/>
      </c>
      <c r="H873" s="557"/>
      <c r="I873" s="558"/>
      <c r="J873" s="123">
        <f t="shared" si="108"/>
        <v>0</v>
      </c>
      <c r="K873" s="123" t="e">
        <f t="shared" si="109"/>
        <v>#VALUE!</v>
      </c>
      <c r="L873" s="123">
        <f t="shared" si="106"/>
        <v>0</v>
      </c>
      <c r="M873" s="124" t="str">
        <f t="shared" si="107"/>
        <v/>
      </c>
      <c r="N873" s="112"/>
      <c r="O873" s="101"/>
      <c r="P873" s="101"/>
      <c r="Q873" s="101"/>
      <c r="R873" s="102"/>
      <c r="S873" s="102"/>
      <c r="T873" s="102"/>
      <c r="U873" s="103"/>
      <c r="V873" s="100"/>
      <c r="W873" s="101"/>
      <c r="X873" s="113"/>
      <c r="Y873" s="114"/>
      <c r="Z873" s="102"/>
      <c r="AA873" s="101"/>
      <c r="AB873" s="111"/>
      <c r="AE873" s="187"/>
      <c r="AF873" s="185"/>
      <c r="AG873" s="185" t="str">
        <f t="shared" si="110"/>
        <v/>
      </c>
      <c r="AH873" s="186" t="str">
        <f t="shared" si="111"/>
        <v/>
      </c>
      <c r="AI873" s="185"/>
      <c r="AJ873" s="188"/>
      <c r="CC873" s="562"/>
      <c r="CD873" s="425"/>
    </row>
    <row r="874" spans="2:82" ht="30" customHeight="1" x14ac:dyDescent="0.3">
      <c r="B874" s="562"/>
      <c r="C874" s="563"/>
      <c r="D874" s="425"/>
      <c r="E874" s="250" t="str">
        <f t="shared" si="105"/>
        <v/>
      </c>
      <c r="F874" s="556"/>
      <c r="G874" s="252" t="str">
        <f>IFERROR(VLOOKUP(F874,'Data (hidden)'!N:O,2,FALSE),"")</f>
        <v/>
      </c>
      <c r="H874" s="557"/>
      <c r="I874" s="558"/>
      <c r="J874" s="123">
        <f t="shared" si="108"/>
        <v>0</v>
      </c>
      <c r="K874" s="123" t="e">
        <f t="shared" si="109"/>
        <v>#VALUE!</v>
      </c>
      <c r="L874" s="123">
        <f t="shared" si="106"/>
        <v>0</v>
      </c>
      <c r="M874" s="124" t="str">
        <f t="shared" si="107"/>
        <v/>
      </c>
      <c r="N874" s="112"/>
      <c r="O874" s="101"/>
      <c r="P874" s="101"/>
      <c r="Q874" s="101"/>
      <c r="R874" s="102"/>
      <c r="S874" s="102"/>
      <c r="T874" s="102"/>
      <c r="U874" s="103"/>
      <c r="V874" s="100"/>
      <c r="W874" s="101"/>
      <c r="X874" s="113"/>
      <c r="Y874" s="114"/>
      <c r="Z874" s="102"/>
      <c r="AA874" s="101"/>
      <c r="AB874" s="111"/>
      <c r="AE874" s="187"/>
      <c r="AF874" s="185"/>
      <c r="AG874" s="185" t="str">
        <f t="shared" si="110"/>
        <v/>
      </c>
      <c r="AH874" s="186" t="str">
        <f t="shared" si="111"/>
        <v/>
      </c>
      <c r="AI874" s="185"/>
      <c r="AJ874" s="188"/>
      <c r="CC874" s="562"/>
      <c r="CD874" s="425"/>
    </row>
    <row r="875" spans="2:82" ht="30" customHeight="1" x14ac:dyDescent="0.3">
      <c r="B875" s="562"/>
      <c r="C875" s="563"/>
      <c r="D875" s="425"/>
      <c r="E875" s="250" t="str">
        <f t="shared" si="105"/>
        <v/>
      </c>
      <c r="F875" s="556"/>
      <c r="G875" s="252" t="str">
        <f>IFERROR(VLOOKUP(F875,'Data (hidden)'!N:O,2,FALSE),"")</f>
        <v/>
      </c>
      <c r="H875" s="557"/>
      <c r="I875" s="558"/>
      <c r="J875" s="123">
        <f t="shared" si="108"/>
        <v>0</v>
      </c>
      <c r="K875" s="123" t="e">
        <f t="shared" si="109"/>
        <v>#VALUE!</v>
      </c>
      <c r="L875" s="123">
        <f t="shared" si="106"/>
        <v>0</v>
      </c>
      <c r="M875" s="124" t="str">
        <f t="shared" si="107"/>
        <v/>
      </c>
      <c r="N875" s="112"/>
      <c r="O875" s="101"/>
      <c r="P875" s="101"/>
      <c r="Q875" s="101"/>
      <c r="R875" s="102"/>
      <c r="S875" s="102"/>
      <c r="T875" s="102"/>
      <c r="U875" s="103"/>
      <c r="V875" s="100"/>
      <c r="W875" s="101"/>
      <c r="X875" s="113"/>
      <c r="Y875" s="114"/>
      <c r="Z875" s="102"/>
      <c r="AA875" s="101"/>
      <c r="AB875" s="111"/>
      <c r="AE875" s="187"/>
      <c r="AF875" s="185"/>
      <c r="AG875" s="185" t="str">
        <f t="shared" si="110"/>
        <v/>
      </c>
      <c r="AH875" s="186" t="str">
        <f t="shared" si="111"/>
        <v/>
      </c>
      <c r="AI875" s="185"/>
      <c r="AJ875" s="188"/>
      <c r="CC875" s="562"/>
      <c r="CD875" s="425"/>
    </row>
    <row r="876" spans="2:82" ht="30" customHeight="1" x14ac:dyDescent="0.3">
      <c r="B876" s="562"/>
      <c r="C876" s="563"/>
      <c r="D876" s="425"/>
      <c r="E876" s="250" t="str">
        <f t="shared" si="105"/>
        <v/>
      </c>
      <c r="F876" s="556"/>
      <c r="G876" s="252" t="str">
        <f>IFERROR(VLOOKUP(F876,'Data (hidden)'!N:O,2,FALSE),"")</f>
        <v/>
      </c>
      <c r="H876" s="557"/>
      <c r="I876" s="558"/>
      <c r="J876" s="123">
        <f t="shared" si="108"/>
        <v>0</v>
      </c>
      <c r="K876" s="123" t="e">
        <f t="shared" si="109"/>
        <v>#VALUE!</v>
      </c>
      <c r="L876" s="123">
        <f t="shared" si="106"/>
        <v>0</v>
      </c>
      <c r="M876" s="124" t="str">
        <f t="shared" si="107"/>
        <v/>
      </c>
      <c r="N876" s="112"/>
      <c r="O876" s="101"/>
      <c r="P876" s="101"/>
      <c r="Q876" s="101"/>
      <c r="R876" s="102"/>
      <c r="S876" s="102"/>
      <c r="T876" s="102"/>
      <c r="U876" s="103"/>
      <c r="V876" s="100"/>
      <c r="W876" s="101"/>
      <c r="X876" s="113"/>
      <c r="Y876" s="114"/>
      <c r="Z876" s="102"/>
      <c r="AA876" s="101"/>
      <c r="AB876" s="111"/>
      <c r="AE876" s="187"/>
      <c r="AF876" s="185"/>
      <c r="AG876" s="185" t="str">
        <f t="shared" si="110"/>
        <v/>
      </c>
      <c r="AH876" s="186" t="str">
        <f t="shared" si="111"/>
        <v/>
      </c>
      <c r="AI876" s="185"/>
      <c r="AJ876" s="188"/>
      <c r="CC876" s="562"/>
      <c r="CD876" s="425"/>
    </row>
    <row r="877" spans="2:82" ht="30" customHeight="1" x14ac:dyDescent="0.3">
      <c r="B877" s="562"/>
      <c r="C877" s="563"/>
      <c r="D877" s="425"/>
      <c r="E877" s="250" t="str">
        <f t="shared" si="105"/>
        <v/>
      </c>
      <c r="F877" s="556"/>
      <c r="G877" s="252" t="str">
        <f>IFERROR(VLOOKUP(F877,'Data (hidden)'!N:O,2,FALSE),"")</f>
        <v/>
      </c>
      <c r="H877" s="557"/>
      <c r="I877" s="558"/>
      <c r="J877" s="123">
        <f t="shared" si="108"/>
        <v>0</v>
      </c>
      <c r="K877" s="123" t="e">
        <f t="shared" si="109"/>
        <v>#VALUE!</v>
      </c>
      <c r="L877" s="123">
        <f t="shared" si="106"/>
        <v>0</v>
      </c>
      <c r="M877" s="124" t="str">
        <f t="shared" si="107"/>
        <v/>
      </c>
      <c r="N877" s="112"/>
      <c r="O877" s="101"/>
      <c r="P877" s="101"/>
      <c r="Q877" s="101"/>
      <c r="R877" s="102"/>
      <c r="S877" s="102"/>
      <c r="T877" s="102"/>
      <c r="U877" s="103"/>
      <c r="V877" s="100"/>
      <c r="W877" s="101"/>
      <c r="X877" s="113"/>
      <c r="Y877" s="114"/>
      <c r="Z877" s="102"/>
      <c r="AA877" s="101"/>
      <c r="AB877" s="111"/>
      <c r="AE877" s="187"/>
      <c r="AF877" s="185"/>
      <c r="AG877" s="185" t="str">
        <f t="shared" si="110"/>
        <v/>
      </c>
      <c r="AH877" s="186" t="str">
        <f t="shared" si="111"/>
        <v/>
      </c>
      <c r="AI877" s="185"/>
      <c r="AJ877" s="188"/>
      <c r="CC877" s="562"/>
      <c r="CD877" s="425"/>
    </row>
    <row r="878" spans="2:82" ht="30" customHeight="1" x14ac:dyDescent="0.3">
      <c r="B878" s="562"/>
      <c r="C878" s="563"/>
      <c r="D878" s="425"/>
      <c r="E878" s="250" t="str">
        <f t="shared" si="105"/>
        <v/>
      </c>
      <c r="F878" s="556"/>
      <c r="G878" s="252" t="str">
        <f>IFERROR(VLOOKUP(F878,'Data (hidden)'!N:O,2,FALSE),"")</f>
        <v/>
      </c>
      <c r="H878" s="557"/>
      <c r="I878" s="558"/>
      <c r="J878" s="123">
        <f t="shared" si="108"/>
        <v>0</v>
      </c>
      <c r="K878" s="123" t="e">
        <f t="shared" si="109"/>
        <v>#VALUE!</v>
      </c>
      <c r="L878" s="123">
        <f t="shared" si="106"/>
        <v>0</v>
      </c>
      <c r="M878" s="124" t="str">
        <f t="shared" si="107"/>
        <v/>
      </c>
      <c r="N878" s="112"/>
      <c r="O878" s="101"/>
      <c r="P878" s="101"/>
      <c r="Q878" s="101"/>
      <c r="R878" s="102"/>
      <c r="S878" s="102"/>
      <c r="T878" s="102"/>
      <c r="U878" s="103"/>
      <c r="V878" s="100"/>
      <c r="W878" s="101"/>
      <c r="X878" s="113"/>
      <c r="Y878" s="114"/>
      <c r="Z878" s="102"/>
      <c r="AA878" s="101"/>
      <c r="AB878" s="111"/>
      <c r="AE878" s="187"/>
      <c r="AF878" s="185"/>
      <c r="AG878" s="185" t="str">
        <f t="shared" si="110"/>
        <v/>
      </c>
      <c r="AH878" s="186" t="str">
        <f t="shared" si="111"/>
        <v/>
      </c>
      <c r="AI878" s="185"/>
      <c r="AJ878" s="188"/>
      <c r="CC878" s="562"/>
      <c r="CD878" s="425"/>
    </row>
    <row r="879" spans="2:82" ht="30" customHeight="1" x14ac:dyDescent="0.3">
      <c r="B879" s="562"/>
      <c r="C879" s="563"/>
      <c r="D879" s="425"/>
      <c r="E879" s="250" t="str">
        <f t="shared" si="105"/>
        <v/>
      </c>
      <c r="F879" s="556"/>
      <c r="G879" s="252" t="str">
        <f>IFERROR(VLOOKUP(F879,'Data (hidden)'!N:O,2,FALSE),"")</f>
        <v/>
      </c>
      <c r="H879" s="557"/>
      <c r="I879" s="558"/>
      <c r="J879" s="123">
        <f t="shared" si="108"/>
        <v>0</v>
      </c>
      <c r="K879" s="123" t="e">
        <f t="shared" si="109"/>
        <v>#VALUE!</v>
      </c>
      <c r="L879" s="123">
        <f t="shared" si="106"/>
        <v>0</v>
      </c>
      <c r="M879" s="124" t="str">
        <f t="shared" si="107"/>
        <v/>
      </c>
      <c r="N879" s="112"/>
      <c r="O879" s="101"/>
      <c r="P879" s="101"/>
      <c r="Q879" s="101"/>
      <c r="R879" s="102"/>
      <c r="S879" s="102"/>
      <c r="T879" s="102"/>
      <c r="U879" s="103"/>
      <c r="V879" s="100"/>
      <c r="W879" s="101"/>
      <c r="X879" s="113"/>
      <c r="Y879" s="114"/>
      <c r="Z879" s="102"/>
      <c r="AA879" s="101"/>
      <c r="AB879" s="111"/>
      <c r="AE879" s="187"/>
      <c r="AF879" s="185"/>
      <c r="AG879" s="185" t="str">
        <f t="shared" si="110"/>
        <v/>
      </c>
      <c r="AH879" s="186" t="str">
        <f t="shared" si="111"/>
        <v/>
      </c>
      <c r="AI879" s="185"/>
      <c r="AJ879" s="188"/>
      <c r="CC879" s="562"/>
      <c r="CD879" s="425"/>
    </row>
    <row r="880" spans="2:82" ht="30" customHeight="1" x14ac:dyDescent="0.3">
      <c r="B880" s="562"/>
      <c r="C880" s="563"/>
      <c r="D880" s="425"/>
      <c r="E880" s="250" t="str">
        <f t="shared" si="105"/>
        <v/>
      </c>
      <c r="F880" s="556"/>
      <c r="G880" s="252" t="str">
        <f>IFERROR(VLOOKUP(F880,'Data (hidden)'!N:O,2,FALSE),"")</f>
        <v/>
      </c>
      <c r="H880" s="557"/>
      <c r="I880" s="558"/>
      <c r="J880" s="123">
        <f t="shared" si="108"/>
        <v>0</v>
      </c>
      <c r="K880" s="123" t="e">
        <f t="shared" si="109"/>
        <v>#VALUE!</v>
      </c>
      <c r="L880" s="123">
        <f t="shared" si="106"/>
        <v>0</v>
      </c>
      <c r="M880" s="124" t="str">
        <f t="shared" si="107"/>
        <v/>
      </c>
      <c r="N880" s="112"/>
      <c r="O880" s="101"/>
      <c r="P880" s="101"/>
      <c r="Q880" s="101"/>
      <c r="R880" s="102"/>
      <c r="S880" s="102"/>
      <c r="T880" s="102"/>
      <c r="U880" s="103"/>
      <c r="V880" s="100"/>
      <c r="W880" s="101"/>
      <c r="X880" s="113"/>
      <c r="Y880" s="114"/>
      <c r="Z880" s="102"/>
      <c r="AA880" s="101"/>
      <c r="AB880" s="111"/>
      <c r="AE880" s="187"/>
      <c r="AF880" s="185"/>
      <c r="AG880" s="185" t="str">
        <f t="shared" si="110"/>
        <v/>
      </c>
      <c r="AH880" s="186" t="str">
        <f t="shared" si="111"/>
        <v/>
      </c>
      <c r="AI880" s="185"/>
      <c r="AJ880" s="188"/>
      <c r="CC880" s="562"/>
      <c r="CD880" s="425"/>
    </row>
    <row r="881" spans="2:82" ht="30" customHeight="1" x14ac:dyDescent="0.3">
      <c r="B881" s="562"/>
      <c r="C881" s="563"/>
      <c r="D881" s="425"/>
      <c r="E881" s="250" t="str">
        <f t="shared" si="105"/>
        <v/>
      </c>
      <c r="F881" s="556"/>
      <c r="G881" s="252" t="str">
        <f>IFERROR(VLOOKUP(F881,'Data (hidden)'!N:O,2,FALSE),"")</f>
        <v/>
      </c>
      <c r="H881" s="557"/>
      <c r="I881" s="558"/>
      <c r="J881" s="123">
        <f t="shared" si="108"/>
        <v>0</v>
      </c>
      <c r="K881" s="123" t="e">
        <f t="shared" si="109"/>
        <v>#VALUE!</v>
      </c>
      <c r="L881" s="123">
        <f t="shared" si="106"/>
        <v>0</v>
      </c>
      <c r="M881" s="124" t="str">
        <f t="shared" si="107"/>
        <v/>
      </c>
      <c r="N881" s="112"/>
      <c r="O881" s="101"/>
      <c r="P881" s="101"/>
      <c r="Q881" s="101"/>
      <c r="R881" s="102"/>
      <c r="S881" s="102"/>
      <c r="T881" s="102"/>
      <c r="U881" s="103"/>
      <c r="V881" s="100"/>
      <c r="W881" s="101"/>
      <c r="X881" s="113"/>
      <c r="Y881" s="114"/>
      <c r="Z881" s="102"/>
      <c r="AA881" s="101"/>
      <c r="AB881" s="111"/>
      <c r="AE881" s="187"/>
      <c r="AF881" s="185"/>
      <c r="AG881" s="185" t="str">
        <f t="shared" si="110"/>
        <v/>
      </c>
      <c r="AH881" s="186" t="str">
        <f t="shared" si="111"/>
        <v/>
      </c>
      <c r="AI881" s="185"/>
      <c r="AJ881" s="188"/>
      <c r="CC881" s="562"/>
      <c r="CD881" s="425"/>
    </row>
    <row r="882" spans="2:82" ht="30" customHeight="1" x14ac:dyDescent="0.3">
      <c r="B882" s="562"/>
      <c r="C882" s="563"/>
      <c r="D882" s="425"/>
      <c r="E882" s="250" t="str">
        <f t="shared" si="105"/>
        <v/>
      </c>
      <c r="F882" s="556"/>
      <c r="G882" s="252" t="str">
        <f>IFERROR(VLOOKUP(F882,'Data (hidden)'!N:O,2,FALSE),"")</f>
        <v/>
      </c>
      <c r="H882" s="557"/>
      <c r="I882" s="558"/>
      <c r="J882" s="123">
        <f t="shared" si="108"/>
        <v>0</v>
      </c>
      <c r="K882" s="123" t="e">
        <f t="shared" si="109"/>
        <v>#VALUE!</v>
      </c>
      <c r="L882" s="123">
        <f t="shared" si="106"/>
        <v>0</v>
      </c>
      <c r="M882" s="124" t="str">
        <f t="shared" si="107"/>
        <v/>
      </c>
      <c r="N882" s="112"/>
      <c r="O882" s="101"/>
      <c r="P882" s="101"/>
      <c r="Q882" s="101"/>
      <c r="R882" s="102"/>
      <c r="S882" s="102"/>
      <c r="T882" s="102"/>
      <c r="U882" s="103"/>
      <c r="V882" s="100"/>
      <c r="W882" s="101"/>
      <c r="X882" s="113"/>
      <c r="Y882" s="114"/>
      <c r="Z882" s="102"/>
      <c r="AA882" s="101"/>
      <c r="AB882" s="111"/>
      <c r="AE882" s="187"/>
      <c r="AF882" s="185"/>
      <c r="AG882" s="185" t="str">
        <f t="shared" si="110"/>
        <v/>
      </c>
      <c r="AH882" s="186" t="str">
        <f t="shared" si="111"/>
        <v/>
      </c>
      <c r="AI882" s="185"/>
      <c r="AJ882" s="188"/>
      <c r="CC882" s="562"/>
      <c r="CD882" s="425"/>
    </row>
    <row r="883" spans="2:82" ht="30" customHeight="1" x14ac:dyDescent="0.3">
      <c r="B883" s="562"/>
      <c r="C883" s="563"/>
      <c r="D883" s="425"/>
      <c r="E883" s="250" t="str">
        <f t="shared" si="105"/>
        <v/>
      </c>
      <c r="F883" s="556"/>
      <c r="G883" s="252" t="str">
        <f>IFERROR(VLOOKUP(F883,'Data (hidden)'!N:O,2,FALSE),"")</f>
        <v/>
      </c>
      <c r="H883" s="557"/>
      <c r="I883" s="558"/>
      <c r="J883" s="123">
        <f t="shared" si="108"/>
        <v>0</v>
      </c>
      <c r="K883" s="123" t="e">
        <f t="shared" si="109"/>
        <v>#VALUE!</v>
      </c>
      <c r="L883" s="123">
        <f t="shared" si="106"/>
        <v>0</v>
      </c>
      <c r="M883" s="124" t="str">
        <f t="shared" si="107"/>
        <v/>
      </c>
      <c r="N883" s="112"/>
      <c r="O883" s="101"/>
      <c r="P883" s="101"/>
      <c r="Q883" s="101"/>
      <c r="R883" s="102"/>
      <c r="S883" s="102"/>
      <c r="T883" s="102"/>
      <c r="U883" s="103"/>
      <c r="V883" s="100"/>
      <c r="W883" s="101"/>
      <c r="X883" s="113"/>
      <c r="Y883" s="114"/>
      <c r="Z883" s="102"/>
      <c r="AA883" s="101"/>
      <c r="AB883" s="111"/>
      <c r="AE883" s="187"/>
      <c r="AF883" s="185"/>
      <c r="AG883" s="185" t="str">
        <f t="shared" si="110"/>
        <v/>
      </c>
      <c r="AH883" s="186" t="str">
        <f t="shared" si="111"/>
        <v/>
      </c>
      <c r="AI883" s="185"/>
      <c r="AJ883" s="188"/>
      <c r="CC883" s="562"/>
      <c r="CD883" s="425"/>
    </row>
    <row r="884" spans="2:82" ht="30" customHeight="1" x14ac:dyDescent="0.3">
      <c r="B884" s="562"/>
      <c r="C884" s="563"/>
      <c r="D884" s="425"/>
      <c r="E884" s="250" t="str">
        <f t="shared" ref="E884:E887" si="112">IF(SUM(C884-(C884*L884))=0,"",SUM(C884-(C884*L884)))</f>
        <v/>
      </c>
      <c r="F884" s="556"/>
      <c r="G884" s="252" t="str">
        <f>IFERROR(VLOOKUP(F884,'Data (hidden)'!N:O,2,FALSE),"")</f>
        <v/>
      </c>
      <c r="H884" s="557"/>
      <c r="I884" s="558"/>
      <c r="J884" s="123">
        <f t="shared" si="108"/>
        <v>0</v>
      </c>
      <c r="K884" s="123" t="e">
        <f t="shared" si="109"/>
        <v>#VALUE!</v>
      </c>
      <c r="L884" s="123">
        <f t="shared" si="106"/>
        <v>0</v>
      </c>
      <c r="M884" s="124" t="str">
        <f t="shared" si="107"/>
        <v/>
      </c>
      <c r="N884" s="112"/>
      <c r="O884" s="101"/>
      <c r="P884" s="101"/>
      <c r="Q884" s="101"/>
      <c r="R884" s="102"/>
      <c r="S884" s="102"/>
      <c r="T884" s="102"/>
      <c r="U884" s="103"/>
      <c r="V884" s="100"/>
      <c r="W884" s="101"/>
      <c r="X884" s="113"/>
      <c r="Y884" s="114"/>
      <c r="Z884" s="102"/>
      <c r="AA884" s="101"/>
      <c r="AB884" s="111"/>
      <c r="AE884" s="187"/>
      <c r="AF884" s="185"/>
      <c r="AG884" s="185" t="str">
        <f t="shared" si="110"/>
        <v/>
      </c>
      <c r="AH884" s="186" t="str">
        <f t="shared" si="111"/>
        <v/>
      </c>
      <c r="AI884" s="185"/>
      <c r="AJ884" s="188"/>
      <c r="CC884" s="562"/>
      <c r="CD884" s="425"/>
    </row>
    <row r="885" spans="2:82" ht="30" customHeight="1" x14ac:dyDescent="0.3">
      <c r="B885" s="562"/>
      <c r="C885" s="563"/>
      <c r="D885" s="425"/>
      <c r="E885" s="250" t="str">
        <f t="shared" si="112"/>
        <v/>
      </c>
      <c r="F885" s="556"/>
      <c r="G885" s="252" t="str">
        <f>IFERROR(VLOOKUP(F885,'Data (hidden)'!N:O,2,FALSE),"")</f>
        <v/>
      </c>
      <c r="H885" s="557"/>
      <c r="I885" s="558"/>
      <c r="J885" s="123">
        <f t="shared" si="108"/>
        <v>0</v>
      </c>
      <c r="K885" s="123" t="e">
        <f t="shared" si="109"/>
        <v>#VALUE!</v>
      </c>
      <c r="L885" s="123">
        <f t="shared" si="106"/>
        <v>0</v>
      </c>
      <c r="M885" s="124" t="str">
        <f t="shared" si="107"/>
        <v/>
      </c>
      <c r="N885" s="112"/>
      <c r="O885" s="101"/>
      <c r="P885" s="101"/>
      <c r="Q885" s="101"/>
      <c r="R885" s="102"/>
      <c r="S885" s="102"/>
      <c r="T885" s="102"/>
      <c r="U885" s="103"/>
      <c r="V885" s="100"/>
      <c r="W885" s="101"/>
      <c r="X885" s="113"/>
      <c r="Y885" s="114"/>
      <c r="Z885" s="102"/>
      <c r="AA885" s="101"/>
      <c r="AB885" s="111"/>
      <c r="AE885" s="187"/>
      <c r="AF885" s="185"/>
      <c r="AG885" s="185" t="str">
        <f t="shared" si="110"/>
        <v/>
      </c>
      <c r="AH885" s="186" t="str">
        <f t="shared" si="111"/>
        <v/>
      </c>
      <c r="AI885" s="185"/>
      <c r="AJ885" s="188"/>
      <c r="CC885" s="562"/>
      <c r="CD885" s="425"/>
    </row>
    <row r="886" spans="2:82" ht="30" customHeight="1" x14ac:dyDescent="0.3">
      <c r="B886" s="562"/>
      <c r="C886" s="563"/>
      <c r="D886" s="425"/>
      <c r="E886" s="250" t="str">
        <f t="shared" si="112"/>
        <v/>
      </c>
      <c r="F886" s="556"/>
      <c r="G886" s="252" t="str">
        <f>IFERROR(VLOOKUP(F886,'Data (hidden)'!N:O,2,FALSE),"")</f>
        <v/>
      </c>
      <c r="H886" s="557"/>
      <c r="I886" s="558"/>
      <c r="J886" s="123">
        <f t="shared" si="108"/>
        <v>0</v>
      </c>
      <c r="K886" s="123" t="e">
        <f t="shared" si="109"/>
        <v>#VALUE!</v>
      </c>
      <c r="L886" s="123">
        <f t="shared" si="106"/>
        <v>0</v>
      </c>
      <c r="M886" s="124" t="str">
        <f t="shared" si="107"/>
        <v/>
      </c>
      <c r="N886" s="112"/>
      <c r="O886" s="101"/>
      <c r="P886" s="101"/>
      <c r="Q886" s="101"/>
      <c r="R886" s="102"/>
      <c r="S886" s="102"/>
      <c r="T886" s="102"/>
      <c r="U886" s="103"/>
      <c r="V886" s="100"/>
      <c r="W886" s="101"/>
      <c r="X886" s="113"/>
      <c r="Y886" s="114"/>
      <c r="Z886" s="102"/>
      <c r="AA886" s="101"/>
      <c r="AB886" s="111"/>
      <c r="AE886" s="187"/>
      <c r="AF886" s="185"/>
      <c r="AG886" s="185" t="str">
        <f t="shared" si="110"/>
        <v/>
      </c>
      <c r="AH886" s="186" t="str">
        <f t="shared" si="111"/>
        <v/>
      </c>
      <c r="AI886" s="185"/>
      <c r="AJ886" s="188"/>
      <c r="CC886" s="562"/>
      <c r="CD886" s="425"/>
    </row>
    <row r="887" spans="2:82" ht="30" customHeight="1" thickBot="1" x14ac:dyDescent="0.35">
      <c r="B887" s="565"/>
      <c r="C887" s="566"/>
      <c r="D887" s="567"/>
      <c r="E887" s="251" t="str">
        <f t="shared" si="112"/>
        <v/>
      </c>
      <c r="F887" s="556"/>
      <c r="G887" s="252" t="str">
        <f>IFERROR(VLOOKUP(F887,'Data (hidden)'!N:O,2,FALSE),"")</f>
        <v/>
      </c>
      <c r="H887" s="568"/>
      <c r="I887" s="569"/>
      <c r="J887" s="125">
        <f t="shared" si="108"/>
        <v>0</v>
      </c>
      <c r="K887" s="125" t="e">
        <f t="shared" si="109"/>
        <v>#VALUE!</v>
      </c>
      <c r="L887" s="125">
        <f t="shared" si="106"/>
        <v>0</v>
      </c>
      <c r="M887" s="126" t="str">
        <f t="shared" si="107"/>
        <v/>
      </c>
      <c r="N887" s="112"/>
      <c r="O887" s="101"/>
      <c r="P887" s="101"/>
      <c r="Q887" s="101"/>
      <c r="R887" s="102"/>
      <c r="S887" s="102"/>
      <c r="T887" s="102"/>
      <c r="U887" s="103"/>
      <c r="V887" s="100"/>
      <c r="W887" s="101"/>
      <c r="X887" s="113"/>
      <c r="Y887" s="114"/>
      <c r="Z887" s="102"/>
      <c r="AA887" s="101"/>
      <c r="AB887" s="111"/>
      <c r="AE887" s="189"/>
      <c r="AF887" s="190"/>
      <c r="AG887" s="190" t="str">
        <f t="shared" si="110"/>
        <v/>
      </c>
      <c r="AH887" s="191" t="str">
        <f t="shared" si="111"/>
        <v/>
      </c>
      <c r="AI887" s="190"/>
      <c r="AJ887" s="192"/>
      <c r="CC887" s="562"/>
      <c r="CD887" s="425"/>
    </row>
    <row r="888" spans="2:82" ht="30" customHeight="1" x14ac:dyDescent="0.35">
      <c r="B888"/>
      <c r="C888"/>
      <c r="D888"/>
      <c r="E888"/>
      <c r="F888" s="570"/>
      <c r="G888"/>
      <c r="H888" s="571"/>
      <c r="I888"/>
      <c r="J888"/>
      <c r="K888"/>
      <c r="L888"/>
      <c r="M888"/>
      <c r="N888" s="570"/>
      <c r="O888" s="570"/>
      <c r="P888" s="572"/>
      <c r="Q888" s="118"/>
      <c r="R888" s="118"/>
      <c r="S888" s="118"/>
      <c r="T888" s="118"/>
      <c r="U888" s="118"/>
      <c r="V888" s="118"/>
      <c r="W888" s="118"/>
      <c r="X888" s="118"/>
      <c r="Z888" s="119"/>
      <c r="AA888" s="119"/>
    </row>
    <row r="889" spans="2:82" ht="30" hidden="1" customHeight="1" x14ac:dyDescent="0.3">
      <c r="B889" s="115"/>
      <c r="C889" s="573"/>
      <c r="D889" s="573"/>
      <c r="E889" s="574"/>
      <c r="F889" s="570"/>
      <c r="G889" s="570"/>
      <c r="H889" s="575"/>
      <c r="I889" s="576"/>
      <c r="J889" s="116"/>
      <c r="K889" s="117"/>
      <c r="L889" s="116"/>
      <c r="M889" s="116"/>
      <c r="N889" s="570"/>
      <c r="O889" s="570"/>
      <c r="P889" s="572"/>
      <c r="Q889" s="118"/>
      <c r="R889" s="118"/>
      <c r="S889" s="118"/>
      <c r="T889" s="118"/>
      <c r="U889" s="118"/>
      <c r="V889" s="118"/>
      <c r="W889" s="118"/>
      <c r="X889" s="118"/>
      <c r="Z889" s="119"/>
      <c r="AA889" s="119"/>
    </row>
    <row r="890" spans="2:82" ht="30" hidden="1" customHeight="1" x14ac:dyDescent="0.3">
      <c r="B890" s="115"/>
      <c r="C890" s="573"/>
      <c r="D890" s="573"/>
      <c r="E890" s="574"/>
      <c r="F890" s="570"/>
      <c r="G890" s="570"/>
      <c r="H890" s="575"/>
      <c r="I890" s="576"/>
      <c r="J890" s="116"/>
      <c r="K890" s="117"/>
      <c r="L890" s="116"/>
      <c r="M890" s="116"/>
      <c r="N890" s="570"/>
      <c r="O890" s="570"/>
      <c r="P890" s="572"/>
      <c r="Q890" s="118"/>
      <c r="R890" s="118"/>
      <c r="S890" s="118"/>
      <c r="T890" s="118"/>
      <c r="U890" s="118"/>
      <c r="V890" s="118"/>
      <c r="W890" s="118"/>
      <c r="X890" s="118"/>
      <c r="Z890" s="119"/>
      <c r="AA890" s="119"/>
    </row>
    <row r="891" spans="2:82" ht="30" hidden="1" customHeight="1" x14ac:dyDescent="0.3">
      <c r="B891" s="115"/>
      <c r="C891" s="573"/>
      <c r="D891" s="573"/>
      <c r="E891" s="574"/>
      <c r="F891" s="570"/>
      <c r="G891" s="570"/>
      <c r="H891" s="575"/>
      <c r="I891" s="576"/>
      <c r="J891" s="116"/>
      <c r="K891" s="117"/>
      <c r="L891" s="116"/>
      <c r="M891" s="116"/>
      <c r="N891" s="570"/>
      <c r="O891" s="570"/>
      <c r="P891" s="572"/>
      <c r="Q891" s="118"/>
      <c r="R891" s="118"/>
      <c r="S891" s="118"/>
      <c r="T891" s="118"/>
      <c r="U891" s="118"/>
      <c r="V891" s="118"/>
      <c r="W891" s="118"/>
      <c r="X891" s="118"/>
      <c r="Z891" s="119"/>
      <c r="AA891" s="119"/>
    </row>
    <row r="892" spans="2:82" ht="30" hidden="1" customHeight="1" x14ac:dyDescent="0.3">
      <c r="B892" s="115"/>
      <c r="C892" s="573"/>
      <c r="D892" s="573"/>
      <c r="E892" s="574"/>
      <c r="F892" s="570"/>
      <c r="G892" s="570"/>
      <c r="H892" s="575"/>
      <c r="I892" s="576"/>
      <c r="J892" s="116"/>
      <c r="K892" s="117"/>
      <c r="L892" s="116"/>
      <c r="M892" s="116"/>
      <c r="N892" s="570"/>
      <c r="O892" s="570"/>
      <c r="P892" s="572"/>
      <c r="Q892" s="118"/>
      <c r="R892" s="118"/>
      <c r="S892" s="118"/>
      <c r="T892" s="118"/>
      <c r="U892" s="118"/>
      <c r="V892" s="118"/>
      <c r="W892" s="118"/>
      <c r="X892" s="118"/>
      <c r="Z892" s="119"/>
      <c r="AA892" s="119"/>
    </row>
    <row r="893" spans="2:82" ht="30" hidden="1" customHeight="1" x14ac:dyDescent="0.3">
      <c r="B893" s="115"/>
      <c r="C893" s="573"/>
      <c r="D893" s="573"/>
      <c r="E893" s="574"/>
      <c r="F893" s="570"/>
      <c r="G893" s="570"/>
      <c r="H893" s="575"/>
      <c r="I893" s="576"/>
      <c r="J893" s="116"/>
      <c r="K893" s="117"/>
      <c r="L893" s="116"/>
      <c r="M893" s="116"/>
      <c r="N893" s="570"/>
      <c r="O893" s="570"/>
      <c r="P893" s="572"/>
      <c r="Q893" s="118"/>
      <c r="R893" s="118"/>
      <c r="S893" s="118"/>
      <c r="T893" s="118"/>
      <c r="U893" s="118"/>
      <c r="V893" s="118"/>
      <c r="W893" s="118"/>
      <c r="X893" s="118"/>
      <c r="Z893" s="119"/>
      <c r="AA893" s="119"/>
    </row>
    <row r="894" spans="2:82" ht="30" hidden="1" customHeight="1" x14ac:dyDescent="0.3">
      <c r="B894" s="115"/>
      <c r="C894" s="573"/>
      <c r="D894" s="573"/>
      <c r="E894" s="574"/>
      <c r="F894" s="570"/>
      <c r="G894" s="570"/>
      <c r="H894" s="575"/>
      <c r="I894" s="576"/>
      <c r="J894" s="116"/>
      <c r="K894" s="117"/>
      <c r="L894" s="116"/>
      <c r="M894" s="116"/>
      <c r="N894" s="570"/>
      <c r="O894" s="570"/>
      <c r="P894" s="572"/>
      <c r="Q894" s="118"/>
      <c r="R894" s="118"/>
      <c r="S894" s="118"/>
      <c r="T894" s="118"/>
      <c r="U894" s="118"/>
      <c r="V894" s="118"/>
      <c r="W894" s="118"/>
      <c r="X894" s="118"/>
      <c r="Z894" s="119"/>
      <c r="AA894" s="119"/>
    </row>
    <row r="895" spans="2:82" ht="30" hidden="1" customHeight="1" x14ac:dyDescent="0.3">
      <c r="B895" s="115"/>
      <c r="C895" s="573"/>
      <c r="D895" s="573"/>
      <c r="E895" s="574"/>
      <c r="F895" s="570"/>
      <c r="G895" s="570"/>
      <c r="H895" s="575"/>
      <c r="I895" s="576"/>
      <c r="J895" s="116"/>
      <c r="K895" s="117"/>
      <c r="L895" s="116"/>
      <c r="M895" s="116"/>
      <c r="N895" s="570"/>
      <c r="O895" s="570"/>
      <c r="P895" s="572"/>
      <c r="Q895" s="118"/>
      <c r="R895" s="118"/>
      <c r="S895" s="118"/>
      <c r="T895" s="118"/>
      <c r="U895" s="118"/>
      <c r="V895" s="118"/>
      <c r="W895" s="118"/>
      <c r="X895" s="118"/>
      <c r="Z895" s="119"/>
      <c r="AA895" s="119"/>
    </row>
    <row r="896" spans="2:82" ht="30" hidden="1" customHeight="1" x14ac:dyDescent="0.3">
      <c r="B896" s="115"/>
      <c r="C896" s="573"/>
      <c r="D896" s="573"/>
      <c r="E896" s="574"/>
      <c r="F896" s="570"/>
      <c r="G896" s="570"/>
      <c r="H896" s="575"/>
      <c r="I896" s="576"/>
      <c r="J896" s="116"/>
      <c r="K896" s="117"/>
      <c r="L896" s="116"/>
      <c r="M896" s="116"/>
      <c r="N896" s="570"/>
      <c r="O896" s="570"/>
      <c r="P896" s="572"/>
      <c r="Q896" s="118"/>
      <c r="R896" s="118"/>
      <c r="S896" s="118"/>
      <c r="T896" s="118"/>
      <c r="U896" s="118"/>
      <c r="V896" s="118"/>
      <c r="W896" s="118"/>
      <c r="X896" s="118"/>
      <c r="Z896" s="119"/>
      <c r="AA896" s="119"/>
    </row>
    <row r="897" spans="2:27" ht="30" hidden="1" customHeight="1" x14ac:dyDescent="0.3">
      <c r="B897" s="115"/>
      <c r="C897" s="573"/>
      <c r="D897" s="573"/>
      <c r="E897" s="574"/>
      <c r="F897" s="570"/>
      <c r="G897" s="570"/>
      <c r="H897" s="575"/>
      <c r="I897" s="576"/>
      <c r="J897" s="116"/>
      <c r="K897" s="117"/>
      <c r="L897" s="116"/>
      <c r="M897" s="116"/>
      <c r="N897" s="570"/>
      <c r="O897" s="570"/>
      <c r="P897" s="572"/>
      <c r="Q897" s="118"/>
      <c r="R897" s="118"/>
      <c r="S897" s="118"/>
      <c r="T897" s="118"/>
      <c r="U897" s="118"/>
      <c r="V897" s="118"/>
      <c r="W897" s="118"/>
      <c r="X897" s="118"/>
      <c r="Z897" s="119"/>
      <c r="AA897" s="119"/>
    </row>
    <row r="898" spans="2:27" ht="30" hidden="1" customHeight="1" x14ac:dyDescent="0.3">
      <c r="B898" s="115"/>
      <c r="C898" s="573"/>
      <c r="D898" s="573"/>
      <c r="E898" s="574"/>
      <c r="F898" s="570"/>
      <c r="G898" s="570"/>
      <c r="H898" s="575"/>
      <c r="I898" s="576"/>
      <c r="J898" s="116"/>
      <c r="K898" s="117"/>
      <c r="L898" s="116"/>
      <c r="M898" s="116"/>
      <c r="N898" s="570"/>
      <c r="O898" s="570"/>
      <c r="P898" s="572"/>
      <c r="Q898" s="118"/>
      <c r="R898" s="118"/>
      <c r="S898" s="118"/>
      <c r="T898" s="118"/>
      <c r="U898" s="118"/>
      <c r="V898" s="118"/>
      <c r="W898" s="118"/>
      <c r="X898" s="118"/>
      <c r="Z898" s="119"/>
      <c r="AA898" s="119"/>
    </row>
    <row r="899" spans="2:27" ht="30" hidden="1" customHeight="1" x14ac:dyDescent="0.3">
      <c r="B899" s="115"/>
      <c r="C899" s="573"/>
      <c r="D899" s="573"/>
      <c r="E899" s="574"/>
      <c r="F899" s="570"/>
      <c r="G899" s="570"/>
      <c r="H899" s="575"/>
      <c r="I899" s="576"/>
      <c r="J899" s="116"/>
      <c r="K899" s="117"/>
      <c r="L899" s="116"/>
      <c r="M899" s="116"/>
      <c r="N899" s="570"/>
      <c r="O899" s="570"/>
      <c r="P899" s="572"/>
      <c r="Q899" s="118"/>
      <c r="R899" s="118"/>
      <c r="S899" s="118"/>
      <c r="T899" s="118"/>
      <c r="U899" s="118"/>
      <c r="V899" s="118"/>
      <c r="W899" s="118"/>
      <c r="X899" s="118"/>
      <c r="Z899" s="119"/>
      <c r="AA899" s="119"/>
    </row>
    <row r="900" spans="2:27" ht="30" hidden="1" customHeight="1" x14ac:dyDescent="0.3">
      <c r="B900" s="115"/>
      <c r="C900" s="573"/>
      <c r="D900" s="573"/>
      <c r="E900" s="574"/>
      <c r="F900" s="570"/>
      <c r="G900" s="570"/>
      <c r="H900" s="575"/>
      <c r="I900" s="576"/>
      <c r="J900" s="116"/>
      <c r="K900" s="117"/>
      <c r="L900" s="116"/>
      <c r="M900" s="116"/>
      <c r="N900" s="570"/>
      <c r="O900" s="570"/>
      <c r="P900" s="572"/>
      <c r="Q900" s="118"/>
      <c r="R900" s="118"/>
      <c r="S900" s="118"/>
      <c r="T900" s="118"/>
      <c r="U900" s="118"/>
      <c r="V900" s="118"/>
      <c r="W900" s="118"/>
      <c r="X900" s="118"/>
      <c r="Z900" s="119"/>
      <c r="AA900" s="119"/>
    </row>
    <row r="901" spans="2:27" ht="30" hidden="1" customHeight="1" x14ac:dyDescent="0.3">
      <c r="B901" s="115"/>
      <c r="C901" s="573"/>
      <c r="D901" s="573"/>
      <c r="E901" s="574"/>
      <c r="F901" s="570"/>
      <c r="G901" s="570"/>
      <c r="H901" s="575"/>
      <c r="I901" s="576"/>
      <c r="J901" s="116"/>
      <c r="K901" s="117"/>
      <c r="L901" s="116"/>
      <c r="M901" s="116"/>
      <c r="N901" s="570"/>
      <c r="O901" s="570"/>
      <c r="P901" s="572"/>
      <c r="Q901" s="118"/>
      <c r="R901" s="118"/>
      <c r="S901" s="118"/>
      <c r="T901" s="118"/>
      <c r="U901" s="118"/>
      <c r="V901" s="118"/>
      <c r="W901" s="118"/>
      <c r="X901" s="118"/>
      <c r="Z901" s="119"/>
      <c r="AA901" s="119"/>
    </row>
    <row r="902" spans="2:27" ht="30" hidden="1" customHeight="1" x14ac:dyDescent="0.3">
      <c r="B902" s="115"/>
      <c r="C902" s="573"/>
      <c r="D902" s="573"/>
      <c r="E902" s="574"/>
      <c r="F902" s="570"/>
      <c r="G902" s="570"/>
      <c r="H902" s="575"/>
      <c r="I902" s="576"/>
      <c r="J902" s="116"/>
      <c r="K902" s="117"/>
      <c r="L902" s="116"/>
      <c r="M902" s="116"/>
      <c r="N902" s="570"/>
      <c r="O902" s="570"/>
      <c r="P902" s="572"/>
      <c r="Q902" s="118"/>
      <c r="R902" s="118"/>
      <c r="S902" s="118"/>
      <c r="T902" s="118"/>
      <c r="U902" s="118"/>
      <c r="V902" s="118"/>
      <c r="W902" s="118"/>
      <c r="X902" s="118"/>
      <c r="Z902" s="119"/>
      <c r="AA902" s="119"/>
    </row>
    <row r="903" spans="2:27" ht="30" hidden="1" customHeight="1" x14ac:dyDescent="0.3">
      <c r="B903" s="115"/>
      <c r="C903" s="573"/>
      <c r="D903" s="573"/>
      <c r="E903" s="574"/>
      <c r="F903" s="570"/>
      <c r="G903" s="570"/>
      <c r="H903" s="575"/>
      <c r="I903" s="576"/>
      <c r="J903" s="116"/>
      <c r="K903" s="117"/>
      <c r="L903" s="116"/>
      <c r="M903" s="116"/>
      <c r="N903" s="570"/>
      <c r="O903" s="570"/>
      <c r="P903" s="572"/>
      <c r="Q903" s="118"/>
      <c r="R903" s="118"/>
      <c r="S903" s="118"/>
      <c r="T903" s="118"/>
      <c r="U903" s="118"/>
      <c r="V903" s="118"/>
      <c r="W903" s="118"/>
      <c r="X903" s="118"/>
      <c r="Z903" s="119"/>
      <c r="AA903" s="119"/>
    </row>
    <row r="904" spans="2:27" ht="30" hidden="1" customHeight="1" x14ac:dyDescent="0.3">
      <c r="B904" s="115"/>
      <c r="C904" s="573"/>
      <c r="D904" s="573"/>
      <c r="E904" s="574"/>
      <c r="F904" s="570"/>
      <c r="G904" s="570"/>
      <c r="H904" s="575"/>
      <c r="I904" s="576"/>
      <c r="J904" s="116"/>
      <c r="K904" s="117"/>
      <c r="L904" s="116"/>
      <c r="M904" s="116"/>
      <c r="N904" s="570"/>
      <c r="O904" s="570"/>
      <c r="P904" s="572"/>
      <c r="Q904" s="118"/>
      <c r="R904" s="118"/>
      <c r="S904" s="118"/>
      <c r="T904" s="118"/>
      <c r="U904" s="118"/>
      <c r="V904" s="118"/>
      <c r="W904" s="118"/>
      <c r="X904" s="118"/>
      <c r="Z904" s="119"/>
      <c r="AA904" s="119"/>
    </row>
    <row r="905" spans="2:27" ht="30" hidden="1" customHeight="1" x14ac:dyDescent="0.3">
      <c r="B905" s="115"/>
      <c r="C905" s="573"/>
      <c r="D905" s="573"/>
      <c r="E905" s="574"/>
      <c r="F905" s="570"/>
      <c r="G905" s="570"/>
      <c r="H905" s="575"/>
      <c r="I905" s="576"/>
      <c r="J905" s="116"/>
      <c r="K905" s="117"/>
      <c r="L905" s="116"/>
      <c r="M905" s="116"/>
      <c r="N905" s="570"/>
      <c r="O905" s="570"/>
      <c r="P905" s="572"/>
      <c r="Q905" s="118"/>
      <c r="R905" s="118"/>
      <c r="S905" s="118"/>
      <c r="T905" s="118"/>
      <c r="U905" s="118"/>
      <c r="V905" s="118"/>
      <c r="W905" s="118"/>
      <c r="X905" s="118"/>
      <c r="Z905" s="119"/>
      <c r="AA905" s="119"/>
    </row>
    <row r="906" spans="2:27" ht="30" hidden="1" customHeight="1" x14ac:dyDescent="0.3">
      <c r="B906" s="115"/>
      <c r="C906" s="573"/>
      <c r="D906" s="573"/>
      <c r="E906" s="574"/>
      <c r="F906" s="570"/>
      <c r="G906" s="570"/>
      <c r="H906" s="575"/>
      <c r="I906" s="576"/>
      <c r="J906" s="116"/>
      <c r="K906" s="117"/>
      <c r="L906" s="116"/>
      <c r="M906" s="116"/>
      <c r="N906" s="570"/>
      <c r="O906" s="570"/>
      <c r="P906" s="572"/>
      <c r="Q906" s="118"/>
      <c r="R906" s="118"/>
      <c r="S906" s="118"/>
      <c r="T906" s="118"/>
      <c r="U906" s="118"/>
      <c r="V906" s="118"/>
      <c r="W906" s="118"/>
      <c r="X906" s="118"/>
      <c r="Z906" s="119"/>
      <c r="AA906" s="119"/>
    </row>
    <row r="907" spans="2:27" ht="30" hidden="1" customHeight="1" x14ac:dyDescent="0.3">
      <c r="B907" s="115"/>
      <c r="C907" s="573"/>
      <c r="D907" s="573"/>
      <c r="E907" s="574"/>
      <c r="F907" s="570"/>
      <c r="G907" s="570"/>
      <c r="H907" s="575"/>
      <c r="I907" s="576"/>
      <c r="J907" s="116"/>
      <c r="K907" s="117"/>
      <c r="L907" s="116"/>
      <c r="M907" s="116"/>
      <c r="N907" s="570"/>
      <c r="O907" s="570"/>
      <c r="P907" s="572"/>
      <c r="Q907" s="118"/>
      <c r="R907" s="118"/>
      <c r="S907" s="118"/>
      <c r="T907" s="118"/>
      <c r="U907" s="118"/>
      <c r="V907" s="118"/>
      <c r="W907" s="118"/>
      <c r="X907" s="118"/>
      <c r="Z907" s="119"/>
      <c r="AA907" s="119"/>
    </row>
    <row r="908" spans="2:27" ht="30" hidden="1" customHeight="1" x14ac:dyDescent="0.3">
      <c r="B908" s="115"/>
      <c r="C908" s="573"/>
      <c r="D908" s="573"/>
      <c r="E908" s="574"/>
      <c r="F908" s="570"/>
      <c r="G908" s="570"/>
      <c r="H908" s="575"/>
      <c r="I908" s="576"/>
      <c r="J908" s="116"/>
      <c r="K908" s="117"/>
      <c r="L908" s="116"/>
      <c r="M908" s="116"/>
      <c r="N908" s="570"/>
      <c r="O908" s="570"/>
      <c r="P908" s="572"/>
      <c r="Q908" s="118"/>
      <c r="R908" s="118"/>
      <c r="S908" s="118"/>
      <c r="T908" s="118"/>
      <c r="U908" s="118"/>
      <c r="V908" s="118"/>
      <c r="W908" s="118"/>
      <c r="X908" s="118"/>
      <c r="Z908" s="119"/>
      <c r="AA908" s="119"/>
    </row>
    <row r="909" spans="2:27" ht="30" hidden="1" customHeight="1" x14ac:dyDescent="0.3">
      <c r="B909" s="115"/>
      <c r="C909" s="573"/>
      <c r="D909" s="573"/>
      <c r="E909" s="574"/>
      <c r="F909" s="570"/>
      <c r="G909" s="570"/>
      <c r="H909" s="575"/>
      <c r="I909" s="576"/>
      <c r="J909" s="116"/>
      <c r="K909" s="117"/>
      <c r="L909" s="116"/>
      <c r="M909" s="116"/>
      <c r="N909" s="570"/>
      <c r="O909" s="570"/>
      <c r="P909" s="572"/>
      <c r="Q909" s="118"/>
      <c r="R909" s="118"/>
      <c r="S909" s="118"/>
      <c r="T909" s="118"/>
      <c r="U909" s="118"/>
      <c r="V909" s="118"/>
      <c r="W909" s="118"/>
      <c r="X909" s="118"/>
      <c r="Z909" s="119"/>
      <c r="AA909" s="119"/>
    </row>
    <row r="910" spans="2:27" ht="30" hidden="1" customHeight="1" x14ac:dyDescent="0.3">
      <c r="B910" s="115"/>
      <c r="C910" s="573"/>
      <c r="D910" s="573"/>
      <c r="E910" s="574"/>
      <c r="F910" s="570"/>
      <c r="G910" s="570"/>
      <c r="H910" s="575"/>
      <c r="I910" s="576"/>
      <c r="J910" s="116"/>
      <c r="K910" s="117"/>
      <c r="L910" s="116"/>
      <c r="M910" s="116"/>
      <c r="N910" s="570"/>
      <c r="O910" s="570"/>
      <c r="P910" s="572"/>
      <c r="Q910" s="118"/>
      <c r="R910" s="118"/>
      <c r="S910" s="118"/>
      <c r="T910" s="118"/>
      <c r="U910" s="118"/>
      <c r="V910" s="118"/>
      <c r="W910" s="118"/>
      <c r="X910" s="118"/>
      <c r="Z910" s="119"/>
      <c r="AA910" s="119"/>
    </row>
    <row r="911" spans="2:27" ht="30" hidden="1" customHeight="1" x14ac:dyDescent="0.3">
      <c r="B911" s="115"/>
      <c r="C911" s="573"/>
      <c r="D911" s="573"/>
      <c r="E911" s="574"/>
      <c r="F911" s="570"/>
      <c r="G911" s="570"/>
      <c r="H911" s="575"/>
      <c r="I911" s="576"/>
      <c r="J911" s="116"/>
      <c r="K911" s="117"/>
      <c r="L911" s="116"/>
      <c r="M911" s="116"/>
      <c r="N911" s="570"/>
      <c r="O911" s="570"/>
      <c r="P911" s="572"/>
      <c r="Q911" s="118"/>
      <c r="R911" s="118"/>
      <c r="S911" s="118"/>
      <c r="T911" s="118"/>
      <c r="U911" s="118"/>
      <c r="V911" s="118"/>
      <c r="W911" s="118"/>
      <c r="X911" s="118"/>
      <c r="Z911" s="119"/>
      <c r="AA911" s="119"/>
    </row>
    <row r="912" spans="2:27" ht="30" hidden="1" customHeight="1" x14ac:dyDescent="0.3">
      <c r="B912" s="115"/>
      <c r="C912" s="573"/>
      <c r="D912" s="573"/>
      <c r="E912" s="574"/>
      <c r="F912" s="570"/>
      <c r="G912" s="570"/>
      <c r="H912" s="575"/>
      <c r="I912" s="576"/>
      <c r="J912" s="116"/>
      <c r="K912" s="117"/>
      <c r="L912" s="116"/>
      <c r="M912" s="116"/>
      <c r="N912" s="570"/>
      <c r="O912" s="570"/>
      <c r="P912" s="572"/>
      <c r="Q912" s="118"/>
      <c r="R912" s="118"/>
      <c r="S912" s="118"/>
      <c r="T912" s="118"/>
      <c r="U912" s="118"/>
      <c r="V912" s="118"/>
      <c r="W912" s="118"/>
      <c r="X912" s="118"/>
      <c r="Z912" s="119"/>
      <c r="AA912" s="119"/>
    </row>
    <row r="913" spans="2:27" ht="30" hidden="1" customHeight="1" x14ac:dyDescent="0.3">
      <c r="B913" s="115"/>
      <c r="C913" s="573"/>
      <c r="D913" s="573"/>
      <c r="E913" s="574"/>
      <c r="F913" s="570"/>
      <c r="G913" s="570"/>
      <c r="H913" s="575"/>
      <c r="I913" s="576"/>
      <c r="J913" s="116"/>
      <c r="K913" s="117"/>
      <c r="L913" s="116"/>
      <c r="M913" s="116"/>
      <c r="N913" s="570"/>
      <c r="O913" s="570"/>
      <c r="P913" s="572"/>
      <c r="Q913" s="118"/>
      <c r="R913" s="118"/>
      <c r="S913" s="118"/>
      <c r="T913" s="118"/>
      <c r="U913" s="118"/>
      <c r="V913" s="118"/>
      <c r="W913" s="118"/>
      <c r="X913" s="118"/>
      <c r="Z913" s="119"/>
      <c r="AA913" s="119"/>
    </row>
    <row r="914" spans="2:27" ht="30" hidden="1" customHeight="1" x14ac:dyDescent="0.3">
      <c r="B914" s="115"/>
      <c r="C914" s="573"/>
      <c r="D914" s="573"/>
      <c r="E914" s="574"/>
      <c r="F914" s="570"/>
      <c r="G914" s="570"/>
      <c r="H914" s="575"/>
      <c r="I914" s="576"/>
      <c r="J914" s="116"/>
      <c r="K914" s="117"/>
      <c r="L914" s="116"/>
      <c r="M914" s="116"/>
      <c r="N914" s="570"/>
      <c r="O914" s="570"/>
      <c r="P914" s="572"/>
      <c r="Q914" s="118"/>
      <c r="R914" s="118"/>
      <c r="S914" s="118"/>
      <c r="T914" s="118"/>
      <c r="U914" s="118"/>
      <c r="V914" s="118"/>
      <c r="W914" s="118"/>
      <c r="X914" s="118"/>
      <c r="Z914" s="119"/>
      <c r="AA914" s="119"/>
    </row>
    <row r="915" spans="2:27" ht="30" hidden="1" customHeight="1" x14ac:dyDescent="0.3">
      <c r="B915" s="115"/>
      <c r="C915" s="573"/>
      <c r="D915" s="573"/>
      <c r="E915" s="574"/>
      <c r="F915" s="570"/>
      <c r="G915" s="570"/>
      <c r="H915" s="575"/>
      <c r="I915" s="576"/>
      <c r="J915" s="116"/>
      <c r="K915" s="117"/>
      <c r="L915" s="116"/>
      <c r="M915" s="116"/>
      <c r="N915" s="570"/>
      <c r="O915" s="570"/>
      <c r="P915" s="572"/>
      <c r="Q915" s="118"/>
      <c r="R915" s="118"/>
      <c r="S915" s="118"/>
      <c r="T915" s="118"/>
      <c r="U915" s="118"/>
      <c r="V915" s="118"/>
      <c r="W915" s="118"/>
      <c r="X915" s="118"/>
      <c r="Z915" s="119"/>
      <c r="AA915" s="119"/>
    </row>
    <row r="916" spans="2:27" ht="30" hidden="1" customHeight="1" x14ac:dyDescent="0.3">
      <c r="B916" s="115"/>
      <c r="C916" s="573"/>
      <c r="D916" s="573"/>
      <c r="E916" s="574"/>
      <c r="F916" s="570"/>
      <c r="G916" s="570"/>
      <c r="H916" s="575"/>
      <c r="I916" s="576"/>
      <c r="J916" s="116"/>
      <c r="K916" s="117"/>
      <c r="L916" s="116"/>
      <c r="M916" s="116"/>
      <c r="N916" s="570"/>
      <c r="O916" s="570"/>
      <c r="P916" s="572"/>
      <c r="Q916" s="118"/>
      <c r="R916" s="118"/>
      <c r="S916" s="118"/>
      <c r="T916" s="118"/>
      <c r="U916" s="118"/>
      <c r="V916" s="118"/>
      <c r="W916" s="118"/>
      <c r="X916" s="118"/>
      <c r="Z916" s="119"/>
      <c r="AA916" s="119"/>
    </row>
    <row r="917" spans="2:27" ht="30" hidden="1" customHeight="1" x14ac:dyDescent="0.3">
      <c r="B917" s="115"/>
      <c r="C917" s="573"/>
      <c r="D917" s="573"/>
      <c r="E917" s="574"/>
      <c r="F917" s="570"/>
      <c r="G917" s="570"/>
      <c r="H917" s="575"/>
      <c r="I917" s="576"/>
      <c r="J917" s="116"/>
      <c r="K917" s="117"/>
      <c r="L917" s="116"/>
      <c r="M917" s="116"/>
      <c r="N917" s="570"/>
      <c r="O917" s="570"/>
      <c r="P917" s="572"/>
      <c r="Q917" s="118"/>
      <c r="R917" s="118"/>
      <c r="S917" s="118"/>
      <c r="T917" s="118"/>
      <c r="U917" s="118"/>
      <c r="V917" s="118"/>
      <c r="W917" s="118"/>
      <c r="X917" s="118"/>
      <c r="Z917" s="119"/>
      <c r="AA917" s="119"/>
    </row>
    <row r="918" spans="2:27" ht="30" hidden="1" customHeight="1" x14ac:dyDescent="0.3">
      <c r="B918" s="115"/>
      <c r="C918" s="573"/>
      <c r="D918" s="573"/>
      <c r="E918" s="574"/>
      <c r="F918" s="570"/>
      <c r="G918" s="570"/>
      <c r="H918" s="575"/>
      <c r="I918" s="576"/>
      <c r="J918" s="116"/>
      <c r="K918" s="117"/>
      <c r="L918" s="116"/>
      <c r="M918" s="116"/>
      <c r="N918" s="570"/>
      <c r="O918" s="570"/>
      <c r="P918" s="572"/>
      <c r="Q918" s="118"/>
      <c r="R918" s="118"/>
      <c r="S918" s="118"/>
      <c r="T918" s="118"/>
      <c r="U918" s="118"/>
      <c r="V918" s="118"/>
      <c r="W918" s="118"/>
      <c r="X918" s="118"/>
      <c r="Z918" s="119"/>
      <c r="AA918" s="119"/>
    </row>
    <row r="919" spans="2:27" ht="30" hidden="1" customHeight="1" x14ac:dyDescent="0.3">
      <c r="B919" s="115"/>
      <c r="C919" s="573"/>
      <c r="D919" s="573"/>
      <c r="E919" s="574"/>
      <c r="F919" s="570"/>
      <c r="G919" s="570"/>
      <c r="H919" s="575"/>
      <c r="I919" s="576"/>
      <c r="J919" s="116"/>
      <c r="K919" s="117"/>
      <c r="L919" s="116"/>
      <c r="M919" s="116"/>
      <c r="N919" s="570"/>
      <c r="O919" s="570"/>
      <c r="P919" s="572"/>
      <c r="Q919" s="118"/>
      <c r="R919" s="118"/>
      <c r="S919" s="118"/>
      <c r="T919" s="118"/>
      <c r="U919" s="118"/>
      <c r="V919" s="118"/>
      <c r="W919" s="118"/>
      <c r="X919" s="118"/>
      <c r="Z919" s="119"/>
      <c r="AA919" s="119"/>
    </row>
    <row r="920" spans="2:27" ht="30" hidden="1" customHeight="1" x14ac:dyDescent="0.3">
      <c r="B920" s="115"/>
      <c r="C920" s="573"/>
      <c r="D920" s="573"/>
      <c r="E920" s="574"/>
      <c r="F920" s="570"/>
      <c r="G920" s="570"/>
      <c r="H920" s="575"/>
      <c r="I920" s="576"/>
      <c r="J920" s="116"/>
      <c r="K920" s="117"/>
      <c r="L920" s="116"/>
      <c r="M920" s="116"/>
      <c r="N920" s="570"/>
      <c r="O920" s="570"/>
      <c r="P920" s="572"/>
      <c r="Q920" s="118"/>
      <c r="R920" s="118"/>
      <c r="S920" s="118"/>
      <c r="T920" s="118"/>
      <c r="U920" s="118"/>
      <c r="V920" s="118"/>
      <c r="W920" s="118"/>
      <c r="X920" s="118"/>
      <c r="Z920" s="119"/>
      <c r="AA920" s="119"/>
    </row>
    <row r="921" spans="2:27" ht="30" hidden="1" customHeight="1" x14ac:dyDescent="0.3">
      <c r="B921" s="115"/>
      <c r="C921" s="573"/>
      <c r="D921" s="573"/>
      <c r="E921" s="574"/>
      <c r="F921" s="570"/>
      <c r="G921" s="570"/>
      <c r="H921" s="575"/>
      <c r="I921" s="576"/>
      <c r="J921" s="116"/>
      <c r="K921" s="117"/>
      <c r="L921" s="116"/>
      <c r="M921" s="116"/>
      <c r="N921" s="570"/>
      <c r="O921" s="570"/>
      <c r="P921" s="572"/>
      <c r="Q921" s="118"/>
      <c r="R921" s="118"/>
      <c r="S921" s="118"/>
      <c r="T921" s="118"/>
      <c r="U921" s="118"/>
      <c r="V921" s="118"/>
      <c r="W921" s="118"/>
      <c r="X921" s="118"/>
      <c r="Z921" s="119"/>
      <c r="AA921" s="119"/>
    </row>
    <row r="922" spans="2:27" ht="30" hidden="1" customHeight="1" x14ac:dyDescent="0.3">
      <c r="B922" s="115"/>
      <c r="C922" s="573"/>
      <c r="D922" s="573"/>
      <c r="E922" s="574"/>
      <c r="F922" s="570"/>
      <c r="G922" s="570"/>
      <c r="H922" s="575"/>
      <c r="I922" s="576"/>
      <c r="J922" s="116"/>
      <c r="K922" s="117"/>
      <c r="L922" s="116"/>
      <c r="M922" s="116"/>
      <c r="N922" s="570"/>
      <c r="O922" s="570"/>
      <c r="P922" s="572"/>
      <c r="Q922" s="118"/>
      <c r="R922" s="118"/>
      <c r="S922" s="118"/>
      <c r="T922" s="118"/>
      <c r="U922" s="118"/>
      <c r="V922" s="118"/>
      <c r="W922" s="118"/>
      <c r="X922" s="118"/>
      <c r="Z922" s="119"/>
      <c r="AA922" s="119"/>
    </row>
    <row r="923" spans="2:27" ht="30" hidden="1" customHeight="1" x14ac:dyDescent="0.3">
      <c r="B923" s="115"/>
      <c r="C923" s="573"/>
      <c r="D923" s="573"/>
      <c r="E923" s="574"/>
      <c r="F923" s="570"/>
      <c r="G923" s="570"/>
      <c r="H923" s="575"/>
      <c r="I923" s="576"/>
      <c r="J923" s="116"/>
      <c r="K923" s="117"/>
      <c r="L923" s="116"/>
      <c r="M923" s="116"/>
      <c r="N923" s="570"/>
      <c r="O923" s="570"/>
      <c r="P923" s="572"/>
      <c r="Q923" s="118"/>
      <c r="R923" s="118"/>
      <c r="S923" s="118"/>
      <c r="T923" s="118"/>
      <c r="U923" s="118"/>
      <c r="V923" s="118"/>
      <c r="W923" s="118"/>
      <c r="X923" s="118"/>
      <c r="Z923" s="119"/>
      <c r="AA923" s="119"/>
    </row>
    <row r="924" spans="2:27" ht="30" hidden="1" customHeight="1" x14ac:dyDescent="0.3">
      <c r="B924" s="115"/>
      <c r="C924" s="573"/>
      <c r="D924" s="573"/>
      <c r="E924" s="574"/>
      <c r="F924" s="570"/>
      <c r="G924" s="570"/>
      <c r="H924" s="575"/>
      <c r="I924" s="576"/>
      <c r="J924" s="116"/>
      <c r="K924" s="117"/>
      <c r="L924" s="116"/>
      <c r="M924" s="116"/>
      <c r="N924" s="570"/>
      <c r="O924" s="570"/>
      <c r="P924" s="572"/>
      <c r="Q924" s="118"/>
      <c r="R924" s="118"/>
      <c r="S924" s="118"/>
      <c r="T924" s="118"/>
      <c r="U924" s="118"/>
      <c r="V924" s="118"/>
      <c r="W924" s="118"/>
      <c r="X924" s="118"/>
      <c r="Z924" s="119"/>
      <c r="AA924" s="119"/>
    </row>
    <row r="925" spans="2:27" ht="30" hidden="1" customHeight="1" x14ac:dyDescent="0.3">
      <c r="B925" s="115"/>
      <c r="C925" s="573"/>
      <c r="D925" s="573"/>
      <c r="E925" s="574"/>
      <c r="F925" s="570"/>
      <c r="G925" s="570"/>
      <c r="H925" s="575"/>
      <c r="I925" s="576"/>
      <c r="J925" s="116"/>
      <c r="K925" s="117"/>
      <c r="L925" s="116"/>
      <c r="M925" s="116"/>
      <c r="N925" s="570"/>
      <c r="O925" s="570"/>
      <c r="P925" s="572"/>
      <c r="Q925" s="118"/>
      <c r="R925" s="118"/>
      <c r="S925" s="118"/>
      <c r="T925" s="118"/>
      <c r="U925" s="118"/>
      <c r="V925" s="118"/>
      <c r="W925" s="118"/>
      <c r="X925" s="118"/>
      <c r="Z925" s="119"/>
      <c r="AA925" s="119"/>
    </row>
    <row r="926" spans="2:27" ht="30" hidden="1" customHeight="1" x14ac:dyDescent="0.3">
      <c r="B926" s="115"/>
      <c r="C926" s="573"/>
      <c r="D926" s="573"/>
      <c r="E926" s="574"/>
      <c r="F926" s="570"/>
      <c r="G926" s="570"/>
      <c r="H926" s="575"/>
      <c r="I926" s="576"/>
      <c r="J926" s="116"/>
      <c r="K926" s="117"/>
      <c r="L926" s="116"/>
      <c r="M926" s="116"/>
      <c r="N926" s="570"/>
      <c r="O926" s="570"/>
      <c r="P926" s="572"/>
      <c r="Q926" s="118"/>
      <c r="R926" s="118"/>
      <c r="S926" s="118"/>
      <c r="T926" s="118"/>
      <c r="U926" s="118"/>
      <c r="V926" s="118"/>
      <c r="W926" s="118"/>
      <c r="X926" s="118"/>
      <c r="Z926" s="119"/>
      <c r="AA926" s="119"/>
    </row>
    <row r="927" spans="2:27" ht="30" hidden="1" customHeight="1" x14ac:dyDescent="0.3">
      <c r="B927" s="115"/>
      <c r="C927" s="573"/>
      <c r="D927" s="573"/>
      <c r="E927" s="574"/>
      <c r="F927" s="570"/>
      <c r="G927" s="570"/>
      <c r="H927" s="575"/>
      <c r="I927" s="576"/>
      <c r="J927" s="116"/>
      <c r="K927" s="117"/>
      <c r="L927" s="116"/>
      <c r="M927" s="116"/>
      <c r="N927" s="570"/>
      <c r="O927" s="570"/>
      <c r="P927" s="572"/>
      <c r="Q927" s="118"/>
      <c r="R927" s="118"/>
      <c r="S927" s="118"/>
      <c r="T927" s="118"/>
      <c r="U927" s="118"/>
      <c r="V927" s="118"/>
      <c r="W927" s="118"/>
      <c r="X927" s="118"/>
      <c r="Z927" s="119"/>
      <c r="AA927" s="119"/>
    </row>
    <row r="928" spans="2:27" ht="30" hidden="1" customHeight="1" x14ac:dyDescent="0.3">
      <c r="B928" s="115"/>
      <c r="C928" s="573"/>
      <c r="D928" s="573"/>
      <c r="E928" s="574"/>
      <c r="F928" s="570"/>
      <c r="G928" s="570"/>
      <c r="H928" s="575"/>
      <c r="I928" s="576"/>
      <c r="J928" s="116"/>
      <c r="K928" s="117"/>
      <c r="L928" s="116"/>
      <c r="M928" s="116"/>
      <c r="N928" s="570"/>
      <c r="O928" s="570"/>
      <c r="P928" s="572"/>
      <c r="Q928" s="118"/>
      <c r="R928" s="118"/>
      <c r="S928" s="118"/>
      <c r="T928" s="118"/>
      <c r="U928" s="118"/>
      <c r="V928" s="118"/>
      <c r="W928" s="118"/>
      <c r="X928" s="118"/>
      <c r="Z928" s="119"/>
      <c r="AA928" s="119"/>
    </row>
    <row r="929" spans="2:27" ht="30" hidden="1" customHeight="1" x14ac:dyDescent="0.3">
      <c r="B929" s="115"/>
      <c r="C929" s="573"/>
      <c r="D929" s="573"/>
      <c r="E929" s="574"/>
      <c r="F929" s="570"/>
      <c r="G929" s="570"/>
      <c r="H929" s="575"/>
      <c r="I929" s="576"/>
      <c r="J929" s="116"/>
      <c r="K929" s="117"/>
      <c r="L929" s="116"/>
      <c r="M929" s="116"/>
      <c r="N929" s="570"/>
      <c r="O929" s="570"/>
      <c r="P929" s="572"/>
      <c r="Q929" s="118"/>
      <c r="R929" s="118"/>
      <c r="S929" s="118"/>
      <c r="T929" s="118"/>
      <c r="U929" s="118"/>
      <c r="V929" s="118"/>
      <c r="W929" s="118"/>
      <c r="X929" s="118"/>
      <c r="Z929" s="119"/>
      <c r="AA929" s="119"/>
    </row>
    <row r="930" spans="2:27" ht="30" hidden="1" customHeight="1" x14ac:dyDescent="0.3">
      <c r="B930" s="115"/>
      <c r="C930" s="573"/>
      <c r="D930" s="573"/>
      <c r="E930" s="574"/>
      <c r="F930" s="570"/>
      <c r="G930" s="570"/>
      <c r="H930" s="575"/>
      <c r="I930" s="576"/>
      <c r="J930" s="116"/>
      <c r="K930" s="117"/>
      <c r="L930" s="116"/>
      <c r="M930" s="116"/>
      <c r="N930" s="570"/>
      <c r="O930" s="570"/>
      <c r="P930" s="572"/>
      <c r="Q930" s="118"/>
      <c r="R930" s="118"/>
      <c r="S930" s="118"/>
      <c r="T930" s="118"/>
      <c r="U930" s="118"/>
      <c r="V930" s="118"/>
      <c r="W930" s="118"/>
      <c r="X930" s="118"/>
      <c r="Z930" s="119"/>
      <c r="AA930" s="119"/>
    </row>
    <row r="931" spans="2:27" ht="30" hidden="1" customHeight="1" x14ac:dyDescent="0.3">
      <c r="B931" s="115"/>
      <c r="C931" s="573"/>
      <c r="D931" s="573"/>
      <c r="E931" s="574"/>
      <c r="F931" s="570"/>
      <c r="G931" s="570"/>
      <c r="H931" s="575"/>
      <c r="I931" s="576"/>
      <c r="J931" s="116"/>
      <c r="K931" s="117"/>
      <c r="L931" s="116"/>
      <c r="M931" s="116"/>
      <c r="N931" s="570"/>
      <c r="O931" s="570"/>
      <c r="P931" s="572"/>
      <c r="Q931" s="118"/>
      <c r="R931" s="118"/>
      <c r="S931" s="118"/>
      <c r="T931" s="118"/>
      <c r="U931" s="118"/>
      <c r="V931" s="118"/>
      <c r="W931" s="118"/>
      <c r="X931" s="118"/>
      <c r="Z931" s="119"/>
      <c r="AA931" s="119"/>
    </row>
    <row r="932" spans="2:27" ht="30" hidden="1" customHeight="1" x14ac:dyDescent="0.3">
      <c r="B932" s="115"/>
      <c r="C932" s="573"/>
      <c r="D932" s="573"/>
      <c r="E932" s="574"/>
      <c r="F932" s="570"/>
      <c r="G932" s="570"/>
      <c r="H932" s="575"/>
      <c r="I932" s="576"/>
      <c r="J932" s="116"/>
      <c r="K932" s="117"/>
      <c r="L932" s="116"/>
      <c r="M932" s="116"/>
      <c r="N932" s="570"/>
      <c r="O932" s="570"/>
      <c r="P932" s="572"/>
      <c r="Q932" s="118"/>
      <c r="R932" s="118"/>
      <c r="S932" s="118"/>
      <c r="T932" s="118"/>
      <c r="U932" s="118"/>
      <c r="V932" s="118"/>
      <c r="W932" s="118"/>
      <c r="X932" s="118"/>
      <c r="Z932" s="119"/>
      <c r="AA932" s="119"/>
    </row>
    <row r="933" spans="2:27" ht="30" hidden="1" customHeight="1" x14ac:dyDescent="0.3">
      <c r="B933" s="115"/>
      <c r="C933" s="573"/>
      <c r="D933" s="573"/>
      <c r="E933" s="574"/>
      <c r="F933" s="570"/>
      <c r="G933" s="570"/>
      <c r="H933" s="575"/>
      <c r="I933" s="576"/>
      <c r="J933" s="116"/>
      <c r="K933" s="117"/>
      <c r="L933" s="116"/>
      <c r="M933" s="116"/>
      <c r="N933" s="570"/>
      <c r="O933" s="570"/>
      <c r="P933" s="572"/>
      <c r="Q933" s="118"/>
      <c r="R933" s="118"/>
      <c r="S933" s="118"/>
      <c r="T933" s="118"/>
      <c r="U933" s="118"/>
      <c r="V933" s="118"/>
      <c r="W933" s="118"/>
      <c r="X933" s="118"/>
      <c r="Z933" s="119"/>
      <c r="AA933" s="119"/>
    </row>
    <row r="934" spans="2:27" ht="30" hidden="1" customHeight="1" x14ac:dyDescent="0.3">
      <c r="B934" s="115"/>
      <c r="C934" s="573"/>
      <c r="D934" s="573"/>
      <c r="E934" s="574"/>
      <c r="F934" s="570"/>
      <c r="G934" s="570"/>
      <c r="H934" s="575"/>
      <c r="I934" s="576"/>
      <c r="J934" s="116"/>
      <c r="K934" s="117"/>
      <c r="L934" s="116"/>
      <c r="M934" s="116"/>
      <c r="N934" s="570"/>
      <c r="O934" s="570"/>
      <c r="P934" s="572"/>
      <c r="Q934" s="118"/>
      <c r="R934" s="118"/>
      <c r="S934" s="118"/>
      <c r="T934" s="118"/>
      <c r="U934" s="118"/>
      <c r="V934" s="118"/>
      <c r="W934" s="118"/>
      <c r="X934" s="118"/>
      <c r="Z934" s="119"/>
      <c r="AA934" s="119"/>
    </row>
    <row r="935" spans="2:27" ht="30" hidden="1" customHeight="1" x14ac:dyDescent="0.3">
      <c r="B935" s="115"/>
      <c r="C935" s="573"/>
      <c r="D935" s="573"/>
      <c r="E935" s="574"/>
      <c r="F935" s="570"/>
      <c r="G935" s="570"/>
      <c r="H935" s="575"/>
      <c r="I935" s="576"/>
      <c r="J935" s="116"/>
      <c r="K935" s="117"/>
      <c r="L935" s="116"/>
      <c r="M935" s="116"/>
      <c r="N935" s="570"/>
      <c r="O935" s="570"/>
      <c r="P935" s="572"/>
      <c r="Q935" s="118"/>
      <c r="R935" s="118"/>
      <c r="S935" s="118"/>
      <c r="T935" s="118"/>
      <c r="U935" s="118"/>
      <c r="V935" s="118"/>
      <c r="W935" s="118"/>
      <c r="X935" s="118"/>
      <c r="Z935" s="119"/>
      <c r="AA935" s="119"/>
    </row>
    <row r="936" spans="2:27" ht="30" hidden="1" customHeight="1" x14ac:dyDescent="0.3">
      <c r="B936" s="115"/>
      <c r="C936" s="573"/>
      <c r="D936" s="573"/>
      <c r="E936" s="574"/>
      <c r="F936" s="570"/>
      <c r="G936" s="570"/>
      <c r="H936" s="575"/>
      <c r="I936" s="576"/>
      <c r="J936" s="116"/>
      <c r="K936" s="117"/>
      <c r="L936" s="116"/>
      <c r="M936" s="116"/>
      <c r="N936" s="570"/>
      <c r="O936" s="570"/>
      <c r="P936" s="572"/>
      <c r="Q936" s="118"/>
      <c r="R936" s="118"/>
      <c r="S936" s="118"/>
      <c r="T936" s="118"/>
      <c r="U936" s="118"/>
      <c r="V936" s="118"/>
      <c r="W936" s="118"/>
      <c r="X936" s="118"/>
      <c r="Z936" s="119"/>
      <c r="AA936" s="119"/>
    </row>
    <row r="937" spans="2:27" ht="30" hidden="1" customHeight="1" x14ac:dyDescent="0.3">
      <c r="B937" s="115"/>
      <c r="C937" s="573"/>
      <c r="D937" s="573"/>
      <c r="E937" s="574"/>
      <c r="F937" s="570"/>
      <c r="G937" s="570"/>
      <c r="H937" s="575"/>
      <c r="I937" s="576"/>
      <c r="J937" s="116"/>
      <c r="K937" s="117"/>
      <c r="L937" s="116"/>
      <c r="M937" s="116"/>
      <c r="N937" s="570"/>
      <c r="O937" s="570"/>
      <c r="P937" s="572"/>
      <c r="Q937" s="118"/>
      <c r="R937" s="118"/>
      <c r="S937" s="118"/>
      <c r="T937" s="118"/>
      <c r="U937" s="118"/>
      <c r="V937" s="118"/>
      <c r="W937" s="118"/>
      <c r="X937" s="118"/>
      <c r="Z937" s="119"/>
      <c r="AA937" s="119"/>
    </row>
    <row r="938" spans="2:27" ht="30" hidden="1" customHeight="1" x14ac:dyDescent="0.3">
      <c r="B938" s="115"/>
      <c r="C938" s="573"/>
      <c r="D938" s="573"/>
      <c r="E938" s="574"/>
      <c r="F938" s="570"/>
      <c r="G938" s="570"/>
      <c r="H938" s="575"/>
      <c r="I938" s="576"/>
      <c r="J938" s="116"/>
      <c r="K938" s="117"/>
      <c r="L938" s="116"/>
      <c r="M938" s="116"/>
      <c r="N938" s="570"/>
      <c r="O938" s="570"/>
      <c r="P938" s="572"/>
      <c r="Q938" s="118"/>
      <c r="R938" s="118"/>
      <c r="S938" s="118"/>
      <c r="T938" s="118"/>
      <c r="U938" s="118"/>
      <c r="V938" s="118"/>
      <c r="W938" s="118"/>
      <c r="X938" s="118"/>
      <c r="Z938" s="119"/>
      <c r="AA938" s="119"/>
    </row>
    <row r="939" spans="2:27" ht="30" hidden="1" customHeight="1" x14ac:dyDescent="0.3">
      <c r="B939" s="115"/>
      <c r="C939" s="573"/>
      <c r="D939" s="573"/>
      <c r="E939" s="574"/>
      <c r="F939" s="570"/>
      <c r="G939" s="570"/>
      <c r="H939" s="575"/>
      <c r="I939" s="576"/>
      <c r="J939" s="116"/>
      <c r="K939" s="117"/>
      <c r="L939" s="116"/>
      <c r="M939" s="116"/>
      <c r="N939" s="570"/>
      <c r="O939" s="570"/>
      <c r="P939" s="572"/>
      <c r="Q939" s="118"/>
      <c r="R939" s="118"/>
      <c r="S939" s="118"/>
      <c r="T939" s="118"/>
      <c r="U939" s="118"/>
      <c r="V939" s="118"/>
      <c r="W939" s="118"/>
      <c r="X939" s="118"/>
      <c r="Z939" s="119"/>
      <c r="AA939" s="119"/>
    </row>
    <row r="940" spans="2:27" ht="30" hidden="1" customHeight="1" x14ac:dyDescent="0.3">
      <c r="B940" s="115"/>
      <c r="C940" s="573"/>
      <c r="D940" s="573"/>
      <c r="E940" s="574"/>
      <c r="F940" s="570"/>
      <c r="G940" s="570"/>
      <c r="H940" s="575"/>
      <c r="I940" s="576"/>
      <c r="J940" s="116"/>
      <c r="K940" s="117"/>
      <c r="L940" s="116"/>
      <c r="M940" s="116"/>
      <c r="N940" s="570"/>
      <c r="O940" s="570"/>
      <c r="P940" s="572"/>
      <c r="Q940" s="118"/>
      <c r="R940" s="118"/>
      <c r="S940" s="118"/>
      <c r="T940" s="118"/>
      <c r="U940" s="118"/>
      <c r="V940" s="118"/>
      <c r="W940" s="118"/>
      <c r="X940" s="118"/>
      <c r="Z940" s="119"/>
      <c r="AA940" s="119"/>
    </row>
    <row r="941" spans="2:27" ht="30" hidden="1" customHeight="1" x14ac:dyDescent="0.3">
      <c r="B941" s="115"/>
      <c r="C941" s="573"/>
      <c r="D941" s="573"/>
      <c r="E941" s="574"/>
      <c r="F941" s="570"/>
      <c r="G941" s="570"/>
      <c r="H941" s="575"/>
      <c r="I941" s="576"/>
      <c r="J941" s="116"/>
      <c r="K941" s="117"/>
      <c r="L941" s="116"/>
      <c r="M941" s="116"/>
      <c r="N941" s="570"/>
      <c r="O941" s="570"/>
      <c r="P941" s="572"/>
      <c r="Q941" s="118"/>
      <c r="R941" s="118"/>
      <c r="S941" s="118"/>
      <c r="T941" s="118"/>
      <c r="U941" s="118"/>
      <c r="V941" s="118"/>
      <c r="W941" s="118"/>
      <c r="X941" s="118"/>
      <c r="Z941" s="119"/>
      <c r="AA941" s="119"/>
    </row>
    <row r="942" spans="2:27" ht="30" hidden="1" customHeight="1" x14ac:dyDescent="0.3">
      <c r="B942" s="115"/>
      <c r="C942" s="573"/>
      <c r="D942" s="573"/>
      <c r="E942" s="574"/>
      <c r="F942" s="570"/>
      <c r="G942" s="570"/>
      <c r="H942" s="575"/>
      <c r="I942" s="576"/>
      <c r="J942" s="116"/>
      <c r="K942" s="117"/>
      <c r="L942" s="116"/>
      <c r="M942" s="116"/>
      <c r="N942" s="570"/>
      <c r="O942" s="570"/>
      <c r="P942" s="572"/>
      <c r="Q942" s="118"/>
      <c r="R942" s="118"/>
      <c r="S942" s="118"/>
      <c r="T942" s="118"/>
      <c r="U942" s="118"/>
      <c r="V942" s="118"/>
      <c r="W942" s="118"/>
      <c r="X942" s="118"/>
      <c r="Z942" s="119"/>
      <c r="AA942" s="119"/>
    </row>
    <row r="943" spans="2:27" ht="30" hidden="1" customHeight="1" x14ac:dyDescent="0.3">
      <c r="B943" s="115"/>
      <c r="C943" s="573"/>
      <c r="D943" s="573"/>
      <c r="E943" s="574"/>
      <c r="F943" s="570"/>
      <c r="G943" s="570"/>
      <c r="H943" s="575"/>
      <c r="I943" s="576"/>
      <c r="J943" s="116"/>
      <c r="K943" s="117"/>
      <c r="L943" s="116"/>
      <c r="M943" s="116"/>
      <c r="N943" s="570"/>
      <c r="O943" s="570"/>
      <c r="P943" s="572"/>
      <c r="Q943" s="118"/>
      <c r="R943" s="118"/>
      <c r="S943" s="118"/>
      <c r="T943" s="118"/>
      <c r="U943" s="118"/>
      <c r="V943" s="118"/>
      <c r="W943" s="118"/>
      <c r="X943" s="118"/>
      <c r="Z943" s="119"/>
      <c r="AA943" s="119"/>
    </row>
    <row r="944" spans="2:27" ht="30" hidden="1" customHeight="1" x14ac:dyDescent="0.3">
      <c r="B944" s="115"/>
      <c r="C944" s="573"/>
      <c r="D944" s="573"/>
      <c r="E944" s="574"/>
      <c r="F944" s="570"/>
      <c r="G944" s="570"/>
      <c r="H944" s="575"/>
      <c r="I944" s="576"/>
      <c r="J944" s="116"/>
      <c r="K944" s="117"/>
      <c r="L944" s="116"/>
      <c r="M944" s="116"/>
      <c r="N944" s="570"/>
      <c r="O944" s="570"/>
      <c r="P944" s="572"/>
      <c r="Q944" s="118"/>
      <c r="R944" s="118"/>
      <c r="S944" s="118"/>
      <c r="T944" s="118"/>
      <c r="U944" s="118"/>
      <c r="V944" s="118"/>
      <c r="W944" s="118"/>
      <c r="X944" s="118"/>
      <c r="Z944" s="119"/>
      <c r="AA944" s="119"/>
    </row>
    <row r="945" spans="2:27" ht="30" hidden="1" customHeight="1" x14ac:dyDescent="0.3">
      <c r="B945" s="115"/>
      <c r="C945" s="573"/>
      <c r="D945" s="573"/>
      <c r="E945" s="574"/>
      <c r="F945" s="570"/>
      <c r="G945" s="570"/>
      <c r="H945" s="575"/>
      <c r="I945" s="576"/>
      <c r="J945" s="116"/>
      <c r="K945" s="117"/>
      <c r="L945" s="116"/>
      <c r="M945" s="116"/>
      <c r="N945" s="570"/>
      <c r="O945" s="570"/>
      <c r="P945" s="572"/>
      <c r="Q945" s="118"/>
      <c r="R945" s="118"/>
      <c r="S945" s="118"/>
      <c r="T945" s="118"/>
      <c r="U945" s="118"/>
      <c r="V945" s="118"/>
      <c r="W945" s="118"/>
      <c r="X945" s="118"/>
      <c r="Z945" s="119"/>
      <c r="AA945" s="119"/>
    </row>
    <row r="946" spans="2:27" ht="30" hidden="1" customHeight="1" x14ac:dyDescent="0.3">
      <c r="B946" s="115"/>
      <c r="C946" s="573"/>
      <c r="D946" s="573"/>
      <c r="E946" s="574"/>
      <c r="F946" s="570"/>
      <c r="G946" s="570"/>
      <c r="H946" s="575"/>
      <c r="I946" s="576"/>
      <c r="J946" s="116"/>
      <c r="K946" s="117"/>
      <c r="L946" s="116"/>
      <c r="M946" s="116"/>
      <c r="N946" s="570"/>
      <c r="O946" s="570"/>
      <c r="P946" s="572"/>
      <c r="Q946" s="118"/>
      <c r="R946" s="118"/>
      <c r="S946" s="118"/>
      <c r="T946" s="118"/>
      <c r="U946" s="118"/>
      <c r="V946" s="118"/>
      <c r="W946" s="118"/>
      <c r="X946" s="118"/>
      <c r="Z946" s="119"/>
      <c r="AA946" s="119"/>
    </row>
    <row r="947" spans="2:27" ht="30" hidden="1" customHeight="1" x14ac:dyDescent="0.3">
      <c r="B947" s="115"/>
      <c r="C947" s="573"/>
      <c r="D947" s="573"/>
      <c r="E947" s="574"/>
      <c r="F947" s="570"/>
      <c r="G947" s="570"/>
      <c r="H947" s="575"/>
      <c r="I947" s="576"/>
      <c r="J947" s="116"/>
      <c r="K947" s="117"/>
      <c r="L947" s="116"/>
      <c r="M947" s="116"/>
      <c r="N947" s="570"/>
      <c r="O947" s="570"/>
      <c r="P947" s="572"/>
      <c r="Q947" s="118"/>
      <c r="R947" s="118"/>
      <c r="S947" s="118"/>
      <c r="T947" s="118"/>
      <c r="U947" s="118"/>
      <c r="V947" s="118"/>
      <c r="W947" s="118"/>
      <c r="X947" s="118"/>
      <c r="Z947" s="119"/>
      <c r="AA947" s="119"/>
    </row>
    <row r="948" spans="2:27" ht="30" hidden="1" customHeight="1" x14ac:dyDescent="0.3">
      <c r="B948" s="115"/>
      <c r="C948" s="573"/>
      <c r="D948" s="573"/>
      <c r="E948" s="574"/>
      <c r="F948" s="570"/>
      <c r="G948" s="570"/>
      <c r="H948" s="575"/>
      <c r="I948" s="576"/>
      <c r="J948" s="116"/>
      <c r="K948" s="117"/>
      <c r="L948" s="116"/>
      <c r="M948" s="116"/>
      <c r="N948" s="570"/>
      <c r="O948" s="570"/>
      <c r="P948" s="572"/>
      <c r="Q948" s="118"/>
      <c r="R948" s="118"/>
      <c r="S948" s="118"/>
      <c r="T948" s="118"/>
      <c r="U948" s="118"/>
      <c r="V948" s="118"/>
      <c r="W948" s="118"/>
      <c r="X948" s="118"/>
      <c r="Z948" s="119"/>
      <c r="AA948" s="119"/>
    </row>
    <row r="949" spans="2:27" ht="30" hidden="1" customHeight="1" x14ac:dyDescent="0.3">
      <c r="B949" s="115"/>
      <c r="C949" s="573"/>
      <c r="D949" s="573"/>
      <c r="E949" s="574"/>
      <c r="F949" s="570"/>
      <c r="G949" s="570"/>
      <c r="H949" s="575"/>
      <c r="I949" s="576"/>
      <c r="J949" s="116"/>
      <c r="K949" s="117"/>
      <c r="L949" s="116"/>
      <c r="M949" s="116"/>
      <c r="N949" s="570"/>
      <c r="O949" s="570"/>
      <c r="P949" s="572"/>
      <c r="Q949" s="118"/>
      <c r="R949" s="118"/>
      <c r="S949" s="118"/>
      <c r="T949" s="118"/>
      <c r="U949" s="118"/>
      <c r="V949" s="118"/>
      <c r="W949" s="118"/>
      <c r="X949" s="118"/>
      <c r="Z949" s="119"/>
      <c r="AA949" s="119"/>
    </row>
    <row r="950" spans="2:27" ht="30" hidden="1" customHeight="1" x14ac:dyDescent="0.3">
      <c r="B950" s="115"/>
      <c r="C950" s="573"/>
      <c r="D950" s="573"/>
      <c r="E950" s="574"/>
      <c r="F950" s="570"/>
      <c r="G950" s="570"/>
      <c r="H950" s="575"/>
      <c r="I950" s="576"/>
      <c r="J950" s="116"/>
      <c r="K950" s="117"/>
      <c r="L950" s="116"/>
      <c r="M950" s="116"/>
      <c r="N950" s="570"/>
      <c r="O950" s="570"/>
      <c r="P950" s="572"/>
      <c r="Q950" s="118"/>
      <c r="R950" s="118"/>
      <c r="S950" s="118"/>
      <c r="T950" s="118"/>
      <c r="U950" s="118"/>
      <c r="V950" s="118"/>
      <c r="W950" s="118"/>
      <c r="X950" s="118"/>
      <c r="Z950" s="119"/>
      <c r="AA950" s="119"/>
    </row>
    <row r="951" spans="2:27" ht="30" hidden="1" customHeight="1" x14ac:dyDescent="0.3">
      <c r="B951" s="115"/>
      <c r="C951" s="573"/>
      <c r="D951" s="573"/>
      <c r="E951" s="574"/>
      <c r="F951" s="570"/>
      <c r="G951" s="570"/>
      <c r="H951" s="575"/>
      <c r="I951" s="576"/>
      <c r="J951" s="116"/>
      <c r="K951" s="117"/>
      <c r="L951" s="116"/>
      <c r="M951" s="116"/>
      <c r="N951" s="570"/>
      <c r="O951" s="570"/>
      <c r="P951" s="572"/>
      <c r="Q951" s="118"/>
      <c r="R951" s="118"/>
      <c r="S951" s="118"/>
      <c r="T951" s="118"/>
      <c r="U951" s="118"/>
      <c r="V951" s="118"/>
      <c r="W951" s="118"/>
      <c r="X951" s="118"/>
      <c r="Z951" s="119"/>
      <c r="AA951" s="119"/>
    </row>
    <row r="952" spans="2:27" ht="30" hidden="1" customHeight="1" x14ac:dyDescent="0.3">
      <c r="B952" s="115"/>
      <c r="C952" s="573"/>
      <c r="D952" s="573"/>
      <c r="E952" s="574"/>
      <c r="F952" s="570"/>
      <c r="G952" s="570"/>
      <c r="H952" s="575"/>
      <c r="I952" s="576"/>
      <c r="J952" s="116"/>
      <c r="K952" s="117"/>
      <c r="L952" s="116"/>
      <c r="M952" s="116"/>
      <c r="N952" s="570"/>
      <c r="O952" s="570"/>
      <c r="P952" s="572"/>
      <c r="Q952" s="118"/>
      <c r="R952" s="118"/>
      <c r="S952" s="118"/>
      <c r="T952" s="118"/>
      <c r="U952" s="118"/>
      <c r="V952" s="118"/>
      <c r="W952" s="118"/>
      <c r="X952" s="118"/>
      <c r="Z952" s="119"/>
      <c r="AA952" s="119"/>
    </row>
    <row r="953" spans="2:27" ht="30" hidden="1" customHeight="1" x14ac:dyDescent="0.3">
      <c r="B953" s="115"/>
      <c r="C953" s="573"/>
      <c r="D953" s="573"/>
      <c r="E953" s="574"/>
      <c r="F953" s="570"/>
      <c r="G953" s="570"/>
      <c r="H953" s="575"/>
      <c r="I953" s="576"/>
      <c r="J953" s="116"/>
      <c r="K953" s="117"/>
      <c r="L953" s="116"/>
      <c r="M953" s="116"/>
      <c r="N953" s="570"/>
      <c r="O953" s="570"/>
      <c r="P953" s="572"/>
      <c r="Q953" s="118"/>
      <c r="R953" s="118"/>
      <c r="S953" s="118"/>
      <c r="T953" s="118"/>
      <c r="U953" s="118"/>
      <c r="V953" s="118"/>
      <c r="W953" s="118"/>
      <c r="X953" s="118"/>
      <c r="Z953" s="119"/>
      <c r="AA953" s="119"/>
    </row>
    <row r="954" spans="2:27" ht="30" hidden="1" customHeight="1" x14ac:dyDescent="0.3">
      <c r="B954" s="115"/>
      <c r="C954" s="573"/>
      <c r="D954" s="573"/>
      <c r="E954" s="574"/>
      <c r="F954" s="570"/>
      <c r="G954" s="570"/>
      <c r="H954" s="575"/>
      <c r="I954" s="576"/>
      <c r="J954" s="116"/>
      <c r="K954" s="117"/>
      <c r="L954" s="116"/>
      <c r="M954" s="116"/>
      <c r="N954" s="570"/>
      <c r="O954" s="570"/>
      <c r="P954" s="572"/>
      <c r="Q954" s="118"/>
      <c r="R954" s="118"/>
      <c r="S954" s="118"/>
      <c r="T954" s="118"/>
      <c r="U954" s="118"/>
      <c r="V954" s="118"/>
      <c r="W954" s="118"/>
      <c r="X954" s="118"/>
      <c r="Z954" s="119"/>
      <c r="AA954" s="119"/>
    </row>
    <row r="955" spans="2:27" ht="30" hidden="1" customHeight="1" x14ac:dyDescent="0.3">
      <c r="B955" s="115"/>
      <c r="C955" s="573"/>
      <c r="D955" s="573"/>
      <c r="E955" s="574"/>
      <c r="F955" s="570"/>
      <c r="G955" s="570"/>
      <c r="H955" s="575"/>
      <c r="I955" s="576"/>
      <c r="J955" s="116"/>
      <c r="K955" s="117"/>
      <c r="L955" s="116"/>
      <c r="M955" s="116"/>
      <c r="N955" s="570"/>
      <c r="O955" s="570"/>
      <c r="P955" s="572"/>
      <c r="Q955" s="118"/>
      <c r="R955" s="118"/>
      <c r="S955" s="118"/>
      <c r="T955" s="118"/>
      <c r="U955" s="118"/>
      <c r="V955" s="118"/>
      <c r="W955" s="118"/>
      <c r="X955" s="118"/>
      <c r="Z955" s="119"/>
      <c r="AA955" s="119"/>
    </row>
    <row r="956" spans="2:27" ht="30" hidden="1" customHeight="1" x14ac:dyDescent="0.3">
      <c r="B956" s="115"/>
      <c r="C956" s="573"/>
      <c r="D956" s="573"/>
      <c r="E956" s="574"/>
      <c r="F956" s="570"/>
      <c r="G956" s="570"/>
      <c r="H956" s="575"/>
      <c r="I956" s="576"/>
      <c r="J956" s="116"/>
      <c r="K956" s="117"/>
      <c r="L956" s="116"/>
      <c r="M956" s="116"/>
      <c r="N956" s="570"/>
      <c r="O956" s="570"/>
      <c r="P956" s="572"/>
      <c r="Q956" s="118"/>
      <c r="R956" s="118"/>
      <c r="S956" s="118"/>
      <c r="T956" s="118"/>
      <c r="U956" s="118"/>
      <c r="V956" s="118"/>
      <c r="W956" s="118"/>
      <c r="X956" s="118"/>
      <c r="Z956" s="119"/>
      <c r="AA956" s="119"/>
    </row>
    <row r="957" spans="2:27" ht="30" hidden="1" customHeight="1" x14ac:dyDescent="0.3">
      <c r="B957" s="115"/>
      <c r="C957" s="573"/>
      <c r="D957" s="573"/>
      <c r="E957" s="574"/>
      <c r="F957" s="570"/>
      <c r="G957" s="570"/>
      <c r="H957" s="575"/>
      <c r="I957" s="576"/>
      <c r="J957" s="116"/>
      <c r="K957" s="117"/>
      <c r="L957" s="116"/>
      <c r="M957" s="116"/>
      <c r="N957" s="570"/>
      <c r="O957" s="570"/>
      <c r="P957" s="572"/>
      <c r="Q957" s="118"/>
      <c r="R957" s="118"/>
      <c r="S957" s="118"/>
      <c r="T957" s="118"/>
      <c r="U957" s="118"/>
      <c r="V957" s="118"/>
      <c r="W957" s="118"/>
      <c r="X957" s="118"/>
      <c r="Z957" s="119"/>
      <c r="AA957" s="119"/>
    </row>
    <row r="958" spans="2:27" ht="30" hidden="1" customHeight="1" x14ac:dyDescent="0.3">
      <c r="B958" s="115"/>
      <c r="C958" s="573"/>
      <c r="D958" s="573"/>
      <c r="E958" s="574"/>
      <c r="F958" s="570"/>
      <c r="G958" s="570"/>
      <c r="H958" s="575"/>
      <c r="I958" s="576"/>
      <c r="J958" s="116"/>
      <c r="K958" s="117"/>
      <c r="L958" s="116"/>
      <c r="M958" s="116"/>
      <c r="N958" s="570"/>
      <c r="O958" s="570"/>
      <c r="P958" s="572"/>
      <c r="Q958" s="118"/>
      <c r="R958" s="118"/>
      <c r="S958" s="118"/>
      <c r="T958" s="118"/>
      <c r="U958" s="118"/>
      <c r="V958" s="118"/>
      <c r="W958" s="118"/>
      <c r="X958" s="118"/>
      <c r="Z958" s="119"/>
      <c r="AA958" s="119"/>
    </row>
    <row r="959" spans="2:27" ht="30" hidden="1" customHeight="1" x14ac:dyDescent="0.3">
      <c r="B959" s="115"/>
      <c r="C959" s="573"/>
      <c r="D959" s="573"/>
      <c r="E959" s="574"/>
      <c r="F959" s="570"/>
      <c r="G959" s="570"/>
      <c r="H959" s="575"/>
      <c r="I959" s="576"/>
      <c r="J959" s="116"/>
      <c r="K959" s="117"/>
      <c r="L959" s="116"/>
      <c r="M959" s="116"/>
      <c r="N959" s="570"/>
      <c r="O959" s="570"/>
      <c r="P959" s="572"/>
      <c r="Q959" s="118"/>
      <c r="R959" s="118"/>
      <c r="S959" s="118"/>
      <c r="T959" s="118"/>
      <c r="U959" s="118"/>
      <c r="V959" s="118"/>
      <c r="W959" s="118"/>
      <c r="X959" s="118"/>
      <c r="Z959" s="119"/>
      <c r="AA959" s="119"/>
    </row>
    <row r="960" spans="2:27" ht="30" hidden="1" customHeight="1" x14ac:dyDescent="0.3">
      <c r="B960" s="115"/>
      <c r="C960" s="573"/>
      <c r="D960" s="573"/>
      <c r="E960" s="574"/>
      <c r="F960" s="570"/>
      <c r="G960" s="570"/>
      <c r="H960" s="575"/>
      <c r="I960" s="576"/>
      <c r="J960" s="116"/>
      <c r="K960" s="117"/>
      <c r="L960" s="116"/>
      <c r="M960" s="116"/>
      <c r="N960" s="570"/>
      <c r="O960" s="570"/>
      <c r="P960" s="572"/>
      <c r="Q960" s="118"/>
      <c r="R960" s="118"/>
      <c r="S960" s="118"/>
      <c r="T960" s="118"/>
      <c r="U960" s="118"/>
      <c r="V960" s="118"/>
      <c r="W960" s="118"/>
      <c r="X960" s="118"/>
      <c r="Z960" s="119"/>
      <c r="AA960" s="119"/>
    </row>
    <row r="961" spans="2:27" ht="30" hidden="1" customHeight="1" x14ac:dyDescent="0.3">
      <c r="B961" s="115"/>
      <c r="C961" s="573"/>
      <c r="D961" s="573"/>
      <c r="E961" s="574"/>
      <c r="F961" s="570"/>
      <c r="G961" s="570"/>
      <c r="H961" s="575"/>
      <c r="I961" s="576"/>
      <c r="J961" s="116"/>
      <c r="K961" s="117"/>
      <c r="L961" s="116"/>
      <c r="M961" s="116"/>
      <c r="N961" s="570"/>
      <c r="O961" s="570"/>
      <c r="P961" s="572"/>
      <c r="Q961" s="118"/>
      <c r="R961" s="118"/>
      <c r="S961" s="118"/>
      <c r="T961" s="118"/>
      <c r="U961" s="118"/>
      <c r="V961" s="118"/>
      <c r="W961" s="118"/>
      <c r="X961" s="118"/>
      <c r="Z961" s="119"/>
      <c r="AA961" s="119"/>
    </row>
    <row r="962" spans="2:27" ht="30" hidden="1" customHeight="1" x14ac:dyDescent="0.3">
      <c r="B962" s="115"/>
      <c r="C962" s="573"/>
      <c r="D962" s="573"/>
      <c r="E962" s="574"/>
      <c r="F962" s="570"/>
      <c r="G962" s="570"/>
      <c r="H962" s="575"/>
      <c r="I962" s="576"/>
      <c r="J962" s="116"/>
      <c r="K962" s="117"/>
      <c r="L962" s="116"/>
      <c r="M962" s="116"/>
      <c r="N962" s="570"/>
      <c r="O962" s="570"/>
      <c r="P962" s="572"/>
      <c r="Q962" s="118"/>
      <c r="R962" s="118"/>
      <c r="S962" s="118"/>
      <c r="T962" s="118"/>
      <c r="U962" s="118"/>
      <c r="V962" s="118"/>
      <c r="W962" s="118"/>
      <c r="X962" s="118"/>
      <c r="Z962" s="119"/>
      <c r="AA962" s="119"/>
    </row>
    <row r="963" spans="2:27" ht="30" hidden="1" customHeight="1" x14ac:dyDescent="0.3">
      <c r="B963" s="115"/>
      <c r="C963" s="573"/>
      <c r="D963" s="573"/>
      <c r="E963" s="574"/>
      <c r="F963" s="570"/>
      <c r="G963" s="570"/>
      <c r="H963" s="575"/>
      <c r="I963" s="576"/>
      <c r="J963" s="116"/>
      <c r="K963" s="117"/>
      <c r="L963" s="116"/>
      <c r="M963" s="116"/>
      <c r="N963" s="570"/>
      <c r="O963" s="570"/>
      <c r="P963" s="572"/>
      <c r="Q963" s="118"/>
      <c r="R963" s="118"/>
      <c r="S963" s="118"/>
      <c r="T963" s="118"/>
      <c r="U963" s="118"/>
      <c r="V963" s="118"/>
      <c r="W963" s="118"/>
      <c r="X963" s="118"/>
      <c r="Z963" s="119"/>
      <c r="AA963" s="119"/>
    </row>
    <row r="964" spans="2:27" ht="30" hidden="1" customHeight="1" x14ac:dyDescent="0.3">
      <c r="B964" s="115"/>
      <c r="C964" s="573"/>
      <c r="D964" s="573"/>
      <c r="E964" s="574"/>
      <c r="F964" s="570"/>
      <c r="G964" s="570"/>
      <c r="H964" s="575"/>
      <c r="I964" s="576"/>
      <c r="J964" s="116"/>
      <c r="K964" s="117"/>
      <c r="L964" s="116"/>
      <c r="M964" s="116"/>
      <c r="N964" s="570"/>
      <c r="O964" s="570"/>
      <c r="P964" s="572"/>
      <c r="Q964" s="118"/>
      <c r="R964" s="118"/>
      <c r="S964" s="118"/>
      <c r="T964" s="118"/>
      <c r="U964" s="118"/>
      <c r="V964" s="118"/>
      <c r="W964" s="118"/>
      <c r="X964" s="118"/>
      <c r="Z964" s="119"/>
      <c r="AA964" s="119"/>
    </row>
    <row r="965" spans="2:27" ht="30" hidden="1" customHeight="1" x14ac:dyDescent="0.3">
      <c r="B965" s="115"/>
      <c r="C965" s="573"/>
      <c r="D965" s="573"/>
      <c r="E965" s="574"/>
      <c r="F965" s="570"/>
      <c r="G965" s="570"/>
      <c r="H965" s="575"/>
      <c r="I965" s="576"/>
      <c r="J965" s="116"/>
      <c r="K965" s="117"/>
      <c r="L965" s="116"/>
      <c r="M965" s="116"/>
      <c r="N965" s="570"/>
      <c r="O965" s="570"/>
      <c r="P965" s="572"/>
      <c r="Q965" s="118"/>
      <c r="R965" s="118"/>
      <c r="S965" s="118"/>
      <c r="T965" s="118"/>
      <c r="U965" s="118"/>
      <c r="V965" s="118"/>
      <c r="W965" s="118"/>
      <c r="X965" s="118"/>
      <c r="Z965" s="119"/>
      <c r="AA965" s="119"/>
    </row>
    <row r="966" spans="2:27" ht="30" hidden="1" customHeight="1" x14ac:dyDescent="0.3">
      <c r="B966" s="115"/>
      <c r="C966" s="573"/>
      <c r="D966" s="573"/>
      <c r="E966" s="574"/>
      <c r="F966" s="570"/>
      <c r="G966" s="570"/>
      <c r="H966" s="575"/>
      <c r="I966" s="576"/>
      <c r="J966" s="116"/>
      <c r="K966" s="117"/>
      <c r="L966" s="116"/>
      <c r="M966" s="116"/>
      <c r="N966" s="570"/>
      <c r="O966" s="570"/>
      <c r="P966" s="572"/>
      <c r="Q966" s="118"/>
      <c r="R966" s="118"/>
      <c r="S966" s="118"/>
      <c r="T966" s="118"/>
      <c r="U966" s="118"/>
      <c r="V966" s="118"/>
      <c r="W966" s="118"/>
      <c r="X966" s="118"/>
      <c r="Z966" s="119"/>
      <c r="AA966" s="119"/>
    </row>
    <row r="967" spans="2:27" ht="30" hidden="1" customHeight="1" x14ac:dyDescent="0.3">
      <c r="B967" s="115"/>
      <c r="C967" s="573"/>
      <c r="D967" s="573"/>
      <c r="E967" s="574"/>
      <c r="F967" s="570"/>
      <c r="G967" s="570"/>
      <c r="H967" s="575"/>
      <c r="I967" s="576"/>
      <c r="J967" s="116"/>
      <c r="K967" s="117"/>
      <c r="L967" s="116"/>
      <c r="M967" s="116"/>
      <c r="N967" s="570"/>
      <c r="O967" s="570"/>
      <c r="P967" s="572"/>
      <c r="Q967" s="118"/>
      <c r="R967" s="118"/>
      <c r="S967" s="118"/>
      <c r="T967" s="118"/>
      <c r="U967" s="118"/>
      <c r="V967" s="118"/>
      <c r="W967" s="118"/>
      <c r="X967" s="118"/>
      <c r="Z967" s="119"/>
      <c r="AA967" s="119"/>
    </row>
    <row r="968" spans="2:27" ht="30" hidden="1" customHeight="1" x14ac:dyDescent="0.3">
      <c r="B968" s="115"/>
      <c r="C968" s="573"/>
      <c r="D968" s="573"/>
      <c r="E968" s="574"/>
      <c r="F968" s="570"/>
      <c r="G968" s="570"/>
      <c r="H968" s="575"/>
      <c r="I968" s="576"/>
      <c r="J968" s="116"/>
      <c r="K968" s="117"/>
      <c r="L968" s="116"/>
      <c r="M968" s="116"/>
      <c r="N968" s="570"/>
      <c r="O968" s="570"/>
      <c r="P968" s="572"/>
      <c r="Q968" s="118"/>
      <c r="R968" s="118"/>
      <c r="S968" s="118"/>
      <c r="T968" s="118"/>
      <c r="U968" s="118"/>
      <c r="V968" s="118"/>
      <c r="W968" s="118"/>
      <c r="X968" s="118"/>
      <c r="Z968" s="119"/>
      <c r="AA968" s="119"/>
    </row>
    <row r="969" spans="2:27" ht="30" hidden="1" customHeight="1" x14ac:dyDescent="0.3">
      <c r="B969" s="115"/>
      <c r="C969" s="573"/>
      <c r="D969" s="573"/>
      <c r="E969" s="574"/>
      <c r="F969" s="570"/>
      <c r="G969" s="570"/>
      <c r="H969" s="575"/>
      <c r="I969" s="576"/>
      <c r="J969" s="116"/>
      <c r="K969" s="117"/>
      <c r="L969" s="116"/>
      <c r="M969" s="116"/>
      <c r="N969" s="570"/>
      <c r="O969" s="570"/>
      <c r="P969" s="572"/>
      <c r="Q969" s="118"/>
      <c r="R969" s="118"/>
      <c r="S969" s="118"/>
      <c r="T969" s="118"/>
      <c r="U969" s="118"/>
      <c r="V969" s="118"/>
      <c r="W969" s="118"/>
      <c r="X969" s="118"/>
      <c r="Z969" s="119"/>
      <c r="AA969" s="119"/>
    </row>
    <row r="970" spans="2:27" ht="30" hidden="1" customHeight="1" x14ac:dyDescent="0.3">
      <c r="B970" s="115"/>
      <c r="C970" s="573"/>
      <c r="D970" s="573"/>
      <c r="E970" s="574"/>
      <c r="F970" s="570"/>
      <c r="G970" s="570"/>
      <c r="H970" s="575"/>
      <c r="I970" s="576"/>
      <c r="J970" s="116"/>
      <c r="K970" s="117"/>
      <c r="L970" s="116"/>
      <c r="M970" s="116"/>
      <c r="N970" s="570"/>
      <c r="O970" s="570"/>
      <c r="P970" s="572"/>
      <c r="Q970" s="118"/>
      <c r="R970" s="118"/>
      <c r="S970" s="118"/>
      <c r="T970" s="118"/>
      <c r="U970" s="118"/>
      <c r="V970" s="118"/>
      <c r="W970" s="118"/>
      <c r="X970" s="118"/>
      <c r="Z970" s="119"/>
      <c r="AA970" s="119"/>
    </row>
    <row r="971" spans="2:27" ht="30" hidden="1" customHeight="1" x14ac:dyDescent="0.3">
      <c r="B971" s="115"/>
      <c r="C971" s="573"/>
      <c r="D971" s="573"/>
      <c r="E971" s="574"/>
      <c r="F971" s="570"/>
      <c r="G971" s="570"/>
      <c r="H971" s="575"/>
      <c r="I971" s="576"/>
      <c r="J971" s="116"/>
      <c r="K971" s="117"/>
      <c r="L971" s="116"/>
      <c r="M971" s="116"/>
      <c r="N971" s="570"/>
      <c r="O971" s="570"/>
      <c r="P971" s="572"/>
      <c r="Q971" s="118"/>
      <c r="R971" s="118"/>
      <c r="S971" s="118"/>
      <c r="T971" s="118"/>
      <c r="U971" s="118"/>
      <c r="V971" s="118"/>
      <c r="W971" s="118"/>
      <c r="X971" s="118"/>
      <c r="Z971" s="119"/>
      <c r="AA971" s="119"/>
    </row>
    <row r="972" spans="2:27" ht="30" hidden="1" customHeight="1" x14ac:dyDescent="0.3">
      <c r="B972" s="115"/>
      <c r="C972" s="573"/>
      <c r="D972" s="573"/>
      <c r="E972" s="574"/>
      <c r="F972" s="570"/>
      <c r="G972" s="570"/>
      <c r="H972" s="575"/>
      <c r="I972" s="576"/>
      <c r="J972" s="116"/>
      <c r="K972" s="117"/>
      <c r="L972" s="116"/>
      <c r="M972" s="116"/>
      <c r="N972" s="570"/>
      <c r="O972" s="570"/>
      <c r="P972" s="572"/>
      <c r="Q972" s="118"/>
      <c r="R972" s="118"/>
      <c r="S972" s="118"/>
      <c r="T972" s="118"/>
      <c r="U972" s="118"/>
      <c r="V972" s="118"/>
      <c r="W972" s="118"/>
      <c r="X972" s="118"/>
      <c r="Z972" s="119"/>
      <c r="AA972" s="119"/>
    </row>
    <row r="973" spans="2:27" ht="30" hidden="1" customHeight="1" x14ac:dyDescent="0.3">
      <c r="B973" s="115"/>
      <c r="C973" s="573"/>
      <c r="D973" s="573"/>
      <c r="E973" s="574"/>
      <c r="F973" s="570"/>
      <c r="G973" s="570"/>
      <c r="H973" s="575"/>
      <c r="I973" s="576"/>
      <c r="J973" s="116"/>
      <c r="K973" s="117"/>
      <c r="L973" s="116"/>
      <c r="M973" s="116"/>
      <c r="N973" s="570"/>
      <c r="O973" s="570"/>
      <c r="P973" s="572"/>
      <c r="Q973" s="118"/>
      <c r="R973" s="118"/>
      <c r="S973" s="118"/>
      <c r="T973" s="118"/>
      <c r="U973" s="118"/>
      <c r="V973" s="118"/>
      <c r="W973" s="118"/>
      <c r="X973" s="118"/>
      <c r="Z973" s="119"/>
      <c r="AA973" s="119"/>
    </row>
    <row r="974" spans="2:27" ht="30" hidden="1" customHeight="1" x14ac:dyDescent="0.3">
      <c r="B974" s="115"/>
      <c r="C974" s="573"/>
      <c r="D974" s="573"/>
      <c r="E974" s="574"/>
      <c r="F974" s="570"/>
      <c r="G974" s="570"/>
      <c r="H974" s="575"/>
      <c r="I974" s="576"/>
      <c r="J974" s="116"/>
      <c r="K974" s="117"/>
      <c r="L974" s="116"/>
      <c r="M974" s="116"/>
      <c r="N974" s="570"/>
      <c r="O974" s="570"/>
      <c r="P974" s="572"/>
      <c r="Q974" s="118"/>
      <c r="R974" s="118"/>
      <c r="S974" s="118"/>
      <c r="T974" s="118"/>
      <c r="U974" s="118"/>
      <c r="V974" s="118"/>
      <c r="W974" s="118"/>
      <c r="X974" s="118"/>
      <c r="Z974" s="119"/>
      <c r="AA974" s="119"/>
    </row>
    <row r="975" spans="2:27" ht="30" hidden="1" customHeight="1" x14ac:dyDescent="0.3">
      <c r="B975" s="115"/>
      <c r="C975" s="573"/>
      <c r="D975" s="573"/>
      <c r="E975" s="574"/>
      <c r="F975" s="570"/>
      <c r="G975" s="570"/>
      <c r="H975" s="575"/>
      <c r="I975" s="576"/>
      <c r="J975" s="116"/>
      <c r="K975" s="117"/>
      <c r="L975" s="116"/>
      <c r="M975" s="116"/>
      <c r="N975" s="570"/>
      <c r="O975" s="570"/>
      <c r="P975" s="572"/>
      <c r="Q975" s="118"/>
      <c r="R975" s="118"/>
      <c r="S975" s="118"/>
      <c r="T975" s="118"/>
      <c r="U975" s="118"/>
      <c r="V975" s="118"/>
      <c r="W975" s="118"/>
      <c r="X975" s="118"/>
      <c r="Z975" s="119"/>
      <c r="AA975" s="119"/>
    </row>
    <row r="976" spans="2:27" ht="30" hidden="1" customHeight="1" x14ac:dyDescent="0.3">
      <c r="B976" s="115"/>
      <c r="C976" s="573"/>
      <c r="D976" s="573"/>
      <c r="E976" s="574"/>
      <c r="F976" s="570"/>
      <c r="G976" s="570"/>
      <c r="H976" s="575"/>
      <c r="I976" s="576"/>
      <c r="J976" s="116"/>
      <c r="K976" s="117"/>
      <c r="L976" s="116"/>
      <c r="M976" s="116"/>
      <c r="N976" s="570"/>
      <c r="O976" s="570"/>
      <c r="P976" s="572"/>
      <c r="Q976" s="118"/>
      <c r="R976" s="118"/>
      <c r="S976" s="118"/>
      <c r="T976" s="118"/>
      <c r="U976" s="118"/>
      <c r="V976" s="118"/>
      <c r="W976" s="118"/>
      <c r="X976" s="118"/>
      <c r="Z976" s="119"/>
      <c r="AA976" s="119"/>
    </row>
    <row r="977" spans="2:27" ht="30" hidden="1" customHeight="1" x14ac:dyDescent="0.3">
      <c r="B977" s="115"/>
      <c r="C977" s="573"/>
      <c r="D977" s="573"/>
      <c r="E977" s="574"/>
      <c r="F977" s="570"/>
      <c r="G977" s="570"/>
      <c r="H977" s="575"/>
      <c r="I977" s="576"/>
      <c r="J977" s="116"/>
      <c r="K977" s="117"/>
      <c r="L977" s="116"/>
      <c r="M977" s="116"/>
      <c r="N977" s="570"/>
      <c r="O977" s="570"/>
      <c r="P977" s="572"/>
      <c r="Q977" s="118"/>
      <c r="R977" s="118"/>
      <c r="S977" s="118"/>
      <c r="T977" s="118"/>
      <c r="U977" s="118"/>
      <c r="V977" s="118"/>
      <c r="W977" s="118"/>
      <c r="X977" s="118"/>
      <c r="Z977" s="119"/>
      <c r="AA977" s="119"/>
    </row>
    <row r="978" spans="2:27" ht="30" hidden="1" customHeight="1" x14ac:dyDescent="0.3">
      <c r="B978" s="115"/>
      <c r="C978" s="573"/>
      <c r="D978" s="573"/>
      <c r="E978" s="574"/>
      <c r="F978" s="570"/>
      <c r="G978" s="570"/>
      <c r="H978" s="575"/>
      <c r="I978" s="576"/>
      <c r="J978" s="116"/>
      <c r="K978" s="117"/>
      <c r="L978" s="116"/>
      <c r="M978" s="116"/>
      <c r="N978" s="570"/>
      <c r="O978" s="570"/>
      <c r="P978" s="572"/>
      <c r="Q978" s="118"/>
      <c r="R978" s="118"/>
      <c r="S978" s="118"/>
      <c r="T978" s="118"/>
      <c r="U978" s="118"/>
      <c r="V978" s="118"/>
      <c r="W978" s="118"/>
      <c r="X978" s="118"/>
      <c r="Z978" s="119"/>
      <c r="AA978" s="119"/>
    </row>
    <row r="979" spans="2:27" ht="30" hidden="1" customHeight="1" x14ac:dyDescent="0.3">
      <c r="B979" s="115"/>
      <c r="C979" s="573"/>
      <c r="D979" s="573"/>
      <c r="E979" s="574"/>
      <c r="F979" s="570"/>
      <c r="G979" s="570"/>
      <c r="H979" s="575"/>
      <c r="I979" s="576"/>
      <c r="J979" s="116"/>
      <c r="K979" s="117"/>
      <c r="L979" s="116"/>
      <c r="M979" s="116"/>
      <c r="N979" s="570"/>
      <c r="O979" s="570"/>
      <c r="P979" s="572"/>
      <c r="Q979" s="118"/>
      <c r="R979" s="118"/>
      <c r="S979" s="118"/>
      <c r="T979" s="118"/>
      <c r="U979" s="118"/>
      <c r="V979" s="118"/>
      <c r="W979" s="118"/>
      <c r="X979" s="118"/>
      <c r="Z979" s="119"/>
      <c r="AA979" s="119"/>
    </row>
    <row r="980" spans="2:27" ht="30" hidden="1" customHeight="1" x14ac:dyDescent="0.3">
      <c r="B980" s="115"/>
      <c r="C980" s="573"/>
      <c r="D980" s="573"/>
      <c r="E980" s="574"/>
      <c r="F980" s="570"/>
      <c r="G980" s="570"/>
      <c r="H980" s="575"/>
      <c r="I980" s="576"/>
      <c r="J980" s="116"/>
      <c r="K980" s="117"/>
      <c r="L980" s="116"/>
      <c r="M980" s="116"/>
      <c r="N980" s="570"/>
      <c r="O980" s="570"/>
      <c r="P980" s="572"/>
      <c r="Q980" s="118"/>
      <c r="R980" s="118"/>
      <c r="S980" s="118"/>
      <c r="T980" s="118"/>
      <c r="U980" s="118"/>
      <c r="V980" s="118"/>
      <c r="W980" s="118"/>
      <c r="X980" s="118"/>
      <c r="Z980" s="119"/>
      <c r="AA980" s="119"/>
    </row>
    <row r="981" spans="2:27" ht="30" hidden="1" customHeight="1" x14ac:dyDescent="0.3">
      <c r="B981" s="115"/>
      <c r="C981" s="573"/>
      <c r="D981" s="573"/>
      <c r="E981" s="574"/>
      <c r="F981" s="570"/>
      <c r="G981" s="570"/>
      <c r="H981" s="575"/>
      <c r="I981" s="576"/>
      <c r="J981" s="116"/>
      <c r="K981" s="117"/>
      <c r="L981" s="116"/>
      <c r="M981" s="116"/>
      <c r="N981" s="570"/>
      <c r="O981" s="570"/>
      <c r="P981" s="572"/>
      <c r="Q981" s="118"/>
      <c r="R981" s="118"/>
      <c r="S981" s="118"/>
      <c r="T981" s="118"/>
      <c r="U981" s="118"/>
      <c r="V981" s="118"/>
      <c r="W981" s="118"/>
      <c r="X981" s="118"/>
      <c r="Z981" s="119"/>
      <c r="AA981" s="119"/>
    </row>
    <row r="982" spans="2:27" ht="30" hidden="1" customHeight="1" x14ac:dyDescent="0.3">
      <c r="B982" s="115"/>
      <c r="C982" s="573"/>
      <c r="D982" s="573"/>
      <c r="E982" s="574"/>
      <c r="F982" s="570"/>
      <c r="G982" s="570"/>
      <c r="H982" s="575"/>
      <c r="I982" s="576"/>
      <c r="J982" s="116"/>
      <c r="K982" s="117"/>
      <c r="L982" s="116"/>
      <c r="M982" s="116"/>
      <c r="N982" s="570"/>
      <c r="O982" s="570"/>
      <c r="P982" s="572"/>
      <c r="Q982" s="118"/>
      <c r="R982" s="118"/>
      <c r="S982" s="118"/>
      <c r="T982" s="118"/>
      <c r="U982" s="118"/>
      <c r="V982" s="118"/>
      <c r="W982" s="118"/>
      <c r="X982" s="118"/>
      <c r="Z982" s="119"/>
      <c r="AA982" s="119"/>
    </row>
    <row r="983" spans="2:27" ht="30" hidden="1" customHeight="1" x14ac:dyDescent="0.3">
      <c r="B983" s="115"/>
      <c r="C983" s="573"/>
      <c r="D983" s="573"/>
      <c r="E983" s="574"/>
      <c r="F983" s="570"/>
      <c r="G983" s="570"/>
      <c r="H983" s="575"/>
      <c r="I983" s="576"/>
      <c r="J983" s="116"/>
      <c r="K983" s="117"/>
      <c r="L983" s="116"/>
      <c r="M983" s="116"/>
      <c r="N983" s="570"/>
      <c r="O983" s="570"/>
      <c r="P983" s="572"/>
      <c r="Q983" s="118"/>
      <c r="R983" s="118"/>
      <c r="S983" s="118"/>
      <c r="T983" s="118"/>
      <c r="U983" s="118"/>
      <c r="V983" s="118"/>
      <c r="W983" s="118"/>
      <c r="X983" s="118"/>
      <c r="Z983" s="119"/>
      <c r="AA983" s="119"/>
    </row>
    <row r="984" spans="2:27" ht="30" hidden="1" customHeight="1" x14ac:dyDescent="0.3">
      <c r="B984" s="115"/>
      <c r="C984" s="573"/>
      <c r="D984" s="573"/>
      <c r="E984" s="574"/>
      <c r="F984" s="570"/>
      <c r="G984" s="570"/>
      <c r="H984" s="575"/>
      <c r="I984" s="576"/>
      <c r="J984" s="116"/>
      <c r="K984" s="117"/>
      <c r="L984" s="116"/>
      <c r="M984" s="116"/>
      <c r="N984" s="570"/>
      <c r="O984" s="570"/>
      <c r="P984" s="572"/>
      <c r="Q984" s="118"/>
      <c r="R984" s="118"/>
      <c r="S984" s="118"/>
      <c r="T984" s="118"/>
      <c r="U984" s="118"/>
      <c r="V984" s="118"/>
      <c r="W984" s="118"/>
      <c r="X984" s="118"/>
      <c r="Z984" s="119"/>
      <c r="AA984" s="119"/>
    </row>
    <row r="985" spans="2:27" ht="30" hidden="1" customHeight="1" x14ac:dyDescent="0.3">
      <c r="B985" s="115"/>
      <c r="C985" s="573"/>
      <c r="D985" s="573"/>
      <c r="E985" s="574"/>
      <c r="F985" s="570"/>
      <c r="G985" s="570"/>
      <c r="H985" s="575"/>
      <c r="I985" s="576"/>
      <c r="J985" s="116"/>
      <c r="K985" s="117"/>
      <c r="L985" s="116"/>
      <c r="M985" s="116"/>
      <c r="N985" s="570"/>
      <c r="O985" s="570"/>
      <c r="P985" s="572"/>
      <c r="Q985" s="118"/>
      <c r="R985" s="118"/>
      <c r="S985" s="118"/>
      <c r="T985" s="118"/>
      <c r="U985" s="118"/>
      <c r="V985" s="118"/>
      <c r="W985" s="118"/>
      <c r="X985" s="118"/>
      <c r="Z985" s="119"/>
      <c r="AA985" s="119"/>
    </row>
    <row r="986" spans="2:27" ht="30" hidden="1" customHeight="1" x14ac:dyDescent="0.3">
      <c r="B986" s="115"/>
      <c r="C986" s="573"/>
      <c r="D986" s="573"/>
      <c r="E986" s="574"/>
      <c r="F986" s="570"/>
      <c r="G986" s="570"/>
      <c r="H986" s="575"/>
      <c r="I986" s="576"/>
      <c r="J986" s="116"/>
      <c r="K986" s="117"/>
      <c r="L986" s="116"/>
      <c r="M986" s="116"/>
      <c r="N986" s="570"/>
      <c r="O986" s="570"/>
      <c r="P986" s="572"/>
      <c r="Q986" s="118"/>
      <c r="R986" s="118"/>
      <c r="S986" s="118"/>
      <c r="T986" s="118"/>
      <c r="U986" s="118"/>
      <c r="V986" s="118"/>
      <c r="W986" s="118"/>
      <c r="X986" s="118"/>
      <c r="Z986" s="119"/>
      <c r="AA986" s="119"/>
    </row>
    <row r="987" spans="2:27" ht="30" hidden="1" customHeight="1" x14ac:dyDescent="0.3">
      <c r="B987" s="115"/>
      <c r="C987" s="573"/>
      <c r="D987" s="573"/>
      <c r="E987" s="574"/>
      <c r="F987" s="570"/>
      <c r="G987" s="570"/>
      <c r="H987" s="575"/>
      <c r="I987" s="576"/>
      <c r="J987" s="116"/>
      <c r="K987" s="117"/>
      <c r="L987" s="116"/>
      <c r="M987" s="116"/>
      <c r="N987" s="570"/>
      <c r="O987" s="570"/>
      <c r="P987" s="572"/>
      <c r="Q987" s="118"/>
      <c r="R987" s="118"/>
      <c r="S987" s="118"/>
      <c r="T987" s="118"/>
      <c r="U987" s="118"/>
      <c r="V987" s="118"/>
      <c r="W987" s="118"/>
      <c r="X987" s="118"/>
      <c r="Z987" s="119"/>
      <c r="AA987" s="119"/>
    </row>
    <row r="988" spans="2:27" ht="30" hidden="1" customHeight="1" x14ac:dyDescent="0.3">
      <c r="B988" s="115"/>
      <c r="C988" s="573"/>
      <c r="D988" s="573"/>
      <c r="E988" s="574"/>
      <c r="F988" s="570"/>
      <c r="G988" s="570"/>
      <c r="H988" s="575"/>
      <c r="I988" s="576"/>
      <c r="J988" s="116"/>
      <c r="K988" s="117"/>
      <c r="L988" s="116"/>
      <c r="M988" s="116"/>
      <c r="N988" s="570"/>
      <c r="O988" s="570"/>
      <c r="P988" s="572"/>
      <c r="Q988" s="118"/>
      <c r="R988" s="118"/>
      <c r="S988" s="118"/>
      <c r="T988" s="118"/>
      <c r="U988" s="118"/>
      <c r="V988" s="118"/>
      <c r="W988" s="118"/>
      <c r="X988" s="118"/>
      <c r="Z988" s="119"/>
      <c r="AA988" s="119"/>
    </row>
    <row r="989" spans="2:27" ht="30" hidden="1" customHeight="1" x14ac:dyDescent="0.3">
      <c r="B989" s="115"/>
      <c r="C989" s="573"/>
      <c r="D989" s="573"/>
      <c r="E989" s="574"/>
      <c r="F989" s="570"/>
      <c r="G989" s="570"/>
      <c r="H989" s="575"/>
      <c r="I989" s="576"/>
      <c r="J989" s="116"/>
      <c r="K989" s="117"/>
      <c r="L989" s="116"/>
      <c r="M989" s="116"/>
      <c r="N989" s="570"/>
      <c r="O989" s="570"/>
      <c r="P989" s="572"/>
      <c r="Q989" s="118"/>
      <c r="R989" s="118"/>
      <c r="S989" s="118"/>
      <c r="T989" s="118"/>
      <c r="U989" s="118"/>
      <c r="V989" s="118"/>
      <c r="W989" s="118"/>
      <c r="X989" s="118"/>
      <c r="Z989" s="119"/>
      <c r="AA989" s="119"/>
    </row>
    <row r="990" spans="2:27" ht="30" hidden="1" customHeight="1" x14ac:dyDescent="0.3">
      <c r="B990" s="115"/>
      <c r="C990" s="573"/>
      <c r="D990" s="573"/>
      <c r="E990" s="574"/>
      <c r="F990" s="570"/>
      <c r="G990" s="570"/>
      <c r="H990" s="575"/>
      <c r="I990" s="576"/>
      <c r="J990" s="116"/>
      <c r="K990" s="117"/>
      <c r="L990" s="116"/>
      <c r="M990" s="116"/>
      <c r="N990" s="570"/>
      <c r="O990" s="570"/>
      <c r="P990" s="572"/>
      <c r="Q990" s="118"/>
      <c r="R990" s="118"/>
      <c r="S990" s="118"/>
      <c r="T990" s="118"/>
      <c r="U990" s="118"/>
      <c r="V990" s="118"/>
      <c r="W990" s="118"/>
      <c r="X990" s="118"/>
      <c r="Z990" s="119"/>
      <c r="AA990" s="119"/>
    </row>
    <row r="991" spans="2:27" ht="30" hidden="1" customHeight="1" x14ac:dyDescent="0.3">
      <c r="B991" s="115"/>
      <c r="C991" s="573"/>
      <c r="D991" s="573"/>
      <c r="E991" s="574"/>
      <c r="F991" s="570"/>
      <c r="G991" s="570"/>
      <c r="H991" s="575"/>
      <c r="I991" s="576"/>
      <c r="J991" s="116"/>
      <c r="K991" s="117"/>
      <c r="L991" s="116"/>
      <c r="M991" s="116"/>
      <c r="N991" s="570"/>
      <c r="O991" s="570"/>
      <c r="P991" s="572"/>
      <c r="Q991" s="118"/>
      <c r="R991" s="118"/>
      <c r="S991" s="118"/>
      <c r="T991" s="118"/>
      <c r="U991" s="118"/>
      <c r="V991" s="118"/>
      <c r="W991" s="118"/>
      <c r="X991" s="118"/>
      <c r="Z991" s="119"/>
      <c r="AA991" s="119"/>
    </row>
    <row r="992" spans="2:27" ht="30" hidden="1" customHeight="1" x14ac:dyDescent="0.3">
      <c r="B992" s="115"/>
      <c r="C992" s="573"/>
      <c r="D992" s="573"/>
      <c r="E992" s="574"/>
      <c r="F992" s="570"/>
      <c r="G992" s="570"/>
      <c r="H992" s="575"/>
      <c r="I992" s="576"/>
      <c r="J992" s="116"/>
      <c r="K992" s="117"/>
      <c r="L992" s="116"/>
      <c r="M992" s="116"/>
      <c r="N992" s="570"/>
      <c r="O992" s="570"/>
      <c r="P992" s="572"/>
      <c r="Q992" s="118"/>
      <c r="R992" s="118"/>
      <c r="S992" s="118"/>
      <c r="T992" s="118"/>
      <c r="U992" s="118"/>
      <c r="V992" s="118"/>
      <c r="W992" s="118"/>
      <c r="X992" s="118"/>
      <c r="Z992" s="119"/>
      <c r="AA992" s="119"/>
    </row>
    <row r="993" spans="2:27" ht="30" hidden="1" customHeight="1" x14ac:dyDescent="0.3">
      <c r="B993" s="115"/>
      <c r="C993" s="573"/>
      <c r="D993" s="573"/>
      <c r="E993" s="574"/>
      <c r="F993" s="570"/>
      <c r="G993" s="570"/>
      <c r="H993" s="575"/>
      <c r="I993" s="576"/>
      <c r="J993" s="116"/>
      <c r="K993" s="117"/>
      <c r="L993" s="116"/>
      <c r="M993" s="116"/>
      <c r="N993" s="570"/>
      <c r="O993" s="570"/>
      <c r="P993" s="572"/>
      <c r="Q993" s="118"/>
      <c r="R993" s="118"/>
      <c r="S993" s="118"/>
      <c r="T993" s="118"/>
      <c r="U993" s="118"/>
      <c r="V993" s="118"/>
      <c r="W993" s="118"/>
      <c r="X993" s="118"/>
      <c r="Z993" s="119"/>
      <c r="AA993" s="119"/>
    </row>
    <row r="994" spans="2:27" ht="30" hidden="1" customHeight="1" x14ac:dyDescent="0.3">
      <c r="B994" s="115"/>
      <c r="C994" s="573"/>
      <c r="D994" s="573"/>
      <c r="E994" s="574"/>
      <c r="F994" s="570"/>
      <c r="G994" s="570"/>
      <c r="H994" s="575"/>
      <c r="I994" s="576"/>
      <c r="J994" s="116"/>
      <c r="K994" s="117"/>
      <c r="L994" s="116"/>
      <c r="M994" s="116"/>
      <c r="N994" s="570"/>
      <c r="O994" s="570"/>
      <c r="P994" s="572"/>
      <c r="Q994" s="118"/>
      <c r="R994" s="118"/>
      <c r="S994" s="118"/>
      <c r="T994" s="118"/>
      <c r="U994" s="118"/>
      <c r="V994" s="118"/>
      <c r="W994" s="118"/>
      <c r="X994" s="118"/>
      <c r="Z994" s="119"/>
      <c r="AA994" s="119"/>
    </row>
    <row r="995" spans="2:27" ht="30" hidden="1" customHeight="1" x14ac:dyDescent="0.3">
      <c r="B995" s="115"/>
      <c r="C995" s="573"/>
      <c r="D995" s="573"/>
      <c r="E995" s="574"/>
      <c r="F995" s="570"/>
      <c r="G995" s="570"/>
      <c r="H995" s="575"/>
      <c r="I995" s="576"/>
      <c r="J995" s="116"/>
      <c r="K995" s="117"/>
      <c r="L995" s="116"/>
      <c r="M995" s="116"/>
      <c r="N995" s="570"/>
      <c r="O995" s="570"/>
      <c r="P995" s="572"/>
      <c r="Q995" s="118"/>
      <c r="R995" s="118"/>
      <c r="S995" s="118"/>
      <c r="T995" s="118"/>
      <c r="U995" s="118"/>
      <c r="V995" s="118"/>
      <c r="W995" s="118"/>
      <c r="X995" s="118"/>
      <c r="Z995" s="119"/>
      <c r="AA995" s="119"/>
    </row>
    <row r="996" spans="2:27" ht="30" hidden="1" customHeight="1" x14ac:dyDescent="0.3">
      <c r="B996" s="115"/>
      <c r="C996" s="573"/>
      <c r="D996" s="573"/>
      <c r="E996" s="574"/>
      <c r="F996" s="570"/>
      <c r="G996" s="570"/>
      <c r="H996" s="575"/>
      <c r="I996" s="576"/>
      <c r="J996" s="116"/>
      <c r="K996" s="117"/>
      <c r="L996" s="116"/>
      <c r="M996" s="116"/>
      <c r="N996" s="570"/>
      <c r="O996" s="570"/>
      <c r="P996" s="572"/>
      <c r="Q996" s="118"/>
      <c r="R996" s="118"/>
      <c r="S996" s="118"/>
      <c r="T996" s="118"/>
      <c r="U996" s="118"/>
      <c r="V996" s="118"/>
      <c r="W996" s="118"/>
      <c r="X996" s="118"/>
      <c r="Z996" s="119"/>
      <c r="AA996" s="119"/>
    </row>
    <row r="997" spans="2:27" ht="30" hidden="1" customHeight="1" x14ac:dyDescent="0.3">
      <c r="B997" s="115"/>
      <c r="C997" s="573"/>
      <c r="D997" s="573"/>
      <c r="E997" s="574"/>
      <c r="F997" s="570"/>
      <c r="G997" s="570"/>
      <c r="H997" s="575"/>
      <c r="I997" s="576"/>
      <c r="J997" s="116"/>
      <c r="K997" s="117"/>
      <c r="L997" s="116"/>
      <c r="M997" s="116"/>
      <c r="N997" s="570"/>
      <c r="O997" s="570"/>
      <c r="P997" s="572"/>
      <c r="Q997" s="118"/>
      <c r="R997" s="118"/>
      <c r="S997" s="118"/>
      <c r="T997" s="118"/>
      <c r="U997" s="118"/>
      <c r="V997" s="118"/>
      <c r="W997" s="118"/>
      <c r="X997" s="118"/>
      <c r="Z997" s="119"/>
      <c r="AA997" s="119"/>
    </row>
    <row r="998" spans="2:27" ht="30" hidden="1" customHeight="1" x14ac:dyDescent="0.3">
      <c r="B998" s="115"/>
      <c r="C998" s="573"/>
      <c r="D998" s="573"/>
      <c r="E998" s="574"/>
      <c r="F998" s="570"/>
      <c r="G998" s="570"/>
      <c r="H998" s="575"/>
      <c r="I998" s="576"/>
      <c r="J998" s="116"/>
      <c r="K998" s="117"/>
      <c r="L998" s="116"/>
      <c r="M998" s="116"/>
      <c r="N998" s="570"/>
      <c r="O998" s="570"/>
      <c r="P998" s="572"/>
      <c r="Q998" s="118"/>
      <c r="R998" s="118"/>
      <c r="S998" s="118"/>
      <c r="T998" s="118"/>
      <c r="U998" s="118"/>
      <c r="V998" s="118"/>
      <c r="W998" s="118"/>
      <c r="X998" s="118"/>
      <c r="Z998" s="119"/>
      <c r="AA998" s="119"/>
    </row>
    <row r="999" spans="2:27" ht="30" hidden="1" customHeight="1" x14ac:dyDescent="0.3">
      <c r="B999" s="115"/>
      <c r="C999" s="573"/>
      <c r="D999" s="573"/>
      <c r="E999" s="574"/>
      <c r="F999" s="570"/>
      <c r="G999" s="570"/>
      <c r="H999" s="575"/>
      <c r="I999" s="576"/>
      <c r="J999" s="116"/>
      <c r="K999" s="117"/>
      <c r="L999" s="116"/>
      <c r="M999" s="116"/>
      <c r="N999" s="570"/>
      <c r="O999" s="570"/>
      <c r="P999" s="572"/>
      <c r="Q999" s="118"/>
      <c r="R999" s="118"/>
      <c r="S999" s="118"/>
      <c r="T999" s="118"/>
      <c r="U999" s="118"/>
      <c r="V999" s="118"/>
      <c r="W999" s="118"/>
      <c r="X999" s="118"/>
      <c r="Z999" s="119"/>
      <c r="AA999" s="119"/>
    </row>
    <row r="1000" spans="2:27" ht="30" hidden="1" customHeight="1" x14ac:dyDescent="0.3">
      <c r="B1000" s="115"/>
      <c r="C1000" s="573"/>
      <c r="D1000" s="573"/>
      <c r="E1000" s="574"/>
      <c r="F1000" s="570"/>
      <c r="G1000" s="570"/>
      <c r="H1000" s="575"/>
      <c r="I1000" s="576"/>
      <c r="J1000" s="116"/>
      <c r="K1000" s="117"/>
      <c r="L1000" s="116"/>
      <c r="M1000" s="116"/>
      <c r="N1000" s="570"/>
      <c r="O1000" s="570"/>
      <c r="P1000" s="572"/>
      <c r="Q1000" s="118"/>
      <c r="R1000" s="118"/>
      <c r="S1000" s="118"/>
      <c r="T1000" s="118"/>
      <c r="U1000" s="118"/>
      <c r="V1000" s="118"/>
      <c r="W1000" s="118"/>
      <c r="X1000" s="118"/>
      <c r="Z1000" s="119"/>
      <c r="AA1000" s="119"/>
    </row>
    <row r="1001" spans="2:27" ht="30" hidden="1" customHeight="1" x14ac:dyDescent="0.3">
      <c r="B1001" s="115"/>
      <c r="C1001" s="573"/>
      <c r="D1001" s="573"/>
      <c r="E1001" s="574"/>
      <c r="F1001" s="570"/>
      <c r="G1001" s="570"/>
      <c r="H1001" s="575"/>
      <c r="I1001" s="576"/>
      <c r="J1001" s="116"/>
      <c r="K1001" s="117"/>
      <c r="L1001" s="116"/>
      <c r="M1001" s="116"/>
      <c r="N1001" s="570"/>
      <c r="O1001" s="570"/>
      <c r="P1001" s="572"/>
      <c r="Q1001" s="118"/>
      <c r="R1001" s="118"/>
      <c r="S1001" s="118"/>
      <c r="T1001" s="118"/>
      <c r="U1001" s="118"/>
      <c r="V1001" s="118"/>
      <c r="W1001" s="118"/>
      <c r="X1001" s="118"/>
      <c r="Z1001" s="119"/>
      <c r="AA1001" s="119"/>
    </row>
    <row r="1002" spans="2:27" ht="30" hidden="1" customHeight="1" x14ac:dyDescent="0.3">
      <c r="B1002" s="115"/>
      <c r="C1002" s="573"/>
      <c r="D1002" s="573"/>
      <c r="E1002" s="574"/>
      <c r="F1002" s="570"/>
      <c r="G1002" s="570"/>
      <c r="H1002" s="575"/>
      <c r="I1002" s="576"/>
      <c r="J1002" s="116"/>
      <c r="K1002" s="117"/>
      <c r="L1002" s="116"/>
      <c r="M1002" s="116"/>
      <c r="N1002" s="570"/>
      <c r="O1002" s="570"/>
      <c r="P1002" s="572"/>
      <c r="Q1002" s="118"/>
      <c r="R1002" s="118"/>
      <c r="S1002" s="118"/>
      <c r="T1002" s="118"/>
      <c r="U1002" s="118"/>
      <c r="V1002" s="118"/>
      <c r="W1002" s="118"/>
      <c r="X1002" s="118"/>
      <c r="Z1002" s="119"/>
      <c r="AA1002" s="119"/>
    </row>
    <row r="1003" spans="2:27" ht="30" hidden="1" customHeight="1" x14ac:dyDescent="0.3">
      <c r="B1003" s="115"/>
      <c r="C1003" s="573"/>
      <c r="D1003" s="573"/>
      <c r="E1003" s="574"/>
      <c r="F1003" s="570"/>
      <c r="G1003" s="570"/>
      <c r="H1003" s="575"/>
      <c r="I1003" s="576"/>
      <c r="J1003" s="116"/>
      <c r="K1003" s="117"/>
      <c r="L1003" s="116"/>
      <c r="M1003" s="116"/>
      <c r="N1003" s="570"/>
      <c r="O1003" s="570"/>
      <c r="P1003" s="572"/>
      <c r="Q1003" s="118"/>
      <c r="R1003" s="118"/>
      <c r="S1003" s="118"/>
      <c r="T1003" s="118"/>
      <c r="U1003" s="118"/>
      <c r="V1003" s="118"/>
      <c r="W1003" s="118"/>
      <c r="X1003" s="118"/>
      <c r="Z1003" s="119"/>
      <c r="AA1003" s="119"/>
    </row>
    <row r="1004" spans="2:27" ht="30" hidden="1" customHeight="1" x14ac:dyDescent="0.3">
      <c r="B1004" s="115"/>
      <c r="C1004" s="573"/>
      <c r="D1004" s="573"/>
      <c r="E1004" s="574"/>
      <c r="F1004" s="570"/>
      <c r="G1004" s="570"/>
      <c r="H1004" s="575"/>
      <c r="I1004" s="576"/>
      <c r="J1004" s="116"/>
      <c r="K1004" s="117"/>
      <c r="L1004" s="116"/>
      <c r="M1004" s="116"/>
      <c r="N1004" s="570"/>
      <c r="O1004" s="570"/>
      <c r="P1004" s="572"/>
      <c r="Q1004" s="118"/>
      <c r="R1004" s="118"/>
      <c r="S1004" s="118"/>
      <c r="T1004" s="118"/>
      <c r="U1004" s="118"/>
      <c r="V1004" s="118"/>
      <c r="W1004" s="118"/>
      <c r="X1004" s="118"/>
      <c r="Z1004" s="119"/>
      <c r="AA1004" s="119"/>
    </row>
    <row r="1005" spans="2:27" ht="30" hidden="1" customHeight="1" x14ac:dyDescent="0.3">
      <c r="B1005" s="115"/>
      <c r="C1005" s="573"/>
      <c r="D1005" s="573"/>
      <c r="E1005" s="574"/>
      <c r="F1005" s="570"/>
      <c r="G1005" s="570"/>
      <c r="H1005" s="575"/>
      <c r="I1005" s="576"/>
      <c r="J1005" s="116"/>
      <c r="K1005" s="117"/>
      <c r="L1005" s="116"/>
      <c r="M1005" s="116"/>
      <c r="N1005" s="570"/>
      <c r="O1005" s="570"/>
      <c r="P1005" s="572"/>
      <c r="Q1005" s="118"/>
      <c r="R1005" s="118"/>
      <c r="S1005" s="118"/>
      <c r="T1005" s="118"/>
      <c r="U1005" s="118"/>
      <c r="V1005" s="118"/>
      <c r="W1005" s="118"/>
      <c r="X1005" s="118"/>
      <c r="Z1005" s="119"/>
      <c r="AA1005" s="119"/>
    </row>
    <row r="1006" spans="2:27" ht="30" hidden="1" customHeight="1" x14ac:dyDescent="0.3">
      <c r="B1006" s="115"/>
      <c r="C1006" s="573"/>
      <c r="D1006" s="573"/>
      <c r="E1006" s="574"/>
      <c r="F1006" s="570"/>
      <c r="G1006" s="570"/>
      <c r="H1006" s="575"/>
      <c r="I1006" s="576"/>
      <c r="J1006" s="116"/>
      <c r="K1006" s="117"/>
      <c r="L1006" s="116"/>
      <c r="M1006" s="116"/>
      <c r="N1006" s="570"/>
      <c r="O1006" s="570"/>
      <c r="P1006" s="572"/>
      <c r="Q1006" s="118"/>
      <c r="R1006" s="118"/>
      <c r="S1006" s="118"/>
      <c r="T1006" s="118"/>
      <c r="U1006" s="118"/>
      <c r="V1006" s="118"/>
      <c r="W1006" s="118"/>
      <c r="X1006" s="118"/>
      <c r="Z1006" s="119"/>
      <c r="AA1006" s="119"/>
    </row>
    <row r="1007" spans="2:27" ht="30" hidden="1" customHeight="1" x14ac:dyDescent="0.3">
      <c r="B1007" s="115"/>
      <c r="C1007" s="573"/>
      <c r="D1007" s="573"/>
      <c r="E1007" s="574"/>
      <c r="F1007" s="570"/>
      <c r="G1007" s="570"/>
      <c r="H1007" s="575"/>
      <c r="I1007" s="576"/>
      <c r="J1007" s="116"/>
      <c r="K1007" s="117"/>
      <c r="L1007" s="116"/>
      <c r="M1007" s="116"/>
      <c r="N1007" s="570"/>
      <c r="O1007" s="570"/>
      <c r="P1007" s="572"/>
      <c r="Q1007" s="118"/>
      <c r="R1007" s="118"/>
      <c r="S1007" s="118"/>
      <c r="T1007" s="118"/>
      <c r="U1007" s="118"/>
      <c r="V1007" s="118"/>
      <c r="W1007" s="118"/>
      <c r="X1007" s="118"/>
      <c r="Z1007" s="119"/>
      <c r="AA1007" s="119"/>
    </row>
    <row r="1008" spans="2:27" ht="30" hidden="1" customHeight="1" x14ac:dyDescent="0.3">
      <c r="B1008" s="115"/>
      <c r="C1008" s="573"/>
      <c r="D1008" s="573"/>
      <c r="E1008" s="574"/>
      <c r="F1008" s="570"/>
      <c r="G1008" s="570"/>
      <c r="H1008" s="575"/>
      <c r="I1008" s="576"/>
      <c r="J1008" s="116"/>
      <c r="K1008" s="117"/>
      <c r="L1008" s="116"/>
      <c r="M1008" s="116"/>
      <c r="N1008" s="570"/>
      <c r="O1008" s="570"/>
      <c r="P1008" s="572"/>
      <c r="Q1008" s="118"/>
      <c r="R1008" s="118"/>
      <c r="S1008" s="118"/>
      <c r="T1008" s="118"/>
      <c r="U1008" s="118"/>
      <c r="V1008" s="118"/>
      <c r="W1008" s="118"/>
      <c r="X1008" s="118"/>
      <c r="Z1008" s="119"/>
      <c r="AA1008" s="119"/>
    </row>
    <row r="1009" spans="2:27" ht="30" hidden="1" customHeight="1" x14ac:dyDescent="0.3">
      <c r="B1009" s="115"/>
      <c r="C1009" s="573"/>
      <c r="D1009" s="573"/>
      <c r="E1009" s="574"/>
      <c r="F1009" s="570"/>
      <c r="G1009" s="570"/>
      <c r="H1009" s="575"/>
      <c r="I1009" s="576"/>
      <c r="J1009" s="116"/>
      <c r="K1009" s="117"/>
      <c r="L1009" s="116"/>
      <c r="M1009" s="116"/>
      <c r="N1009" s="570"/>
      <c r="O1009" s="570"/>
      <c r="P1009" s="572"/>
      <c r="Q1009" s="118"/>
      <c r="R1009" s="118"/>
      <c r="S1009" s="118"/>
      <c r="T1009" s="118"/>
      <c r="U1009" s="118"/>
      <c r="V1009" s="118"/>
      <c r="W1009" s="118"/>
      <c r="X1009" s="118"/>
      <c r="Z1009" s="119"/>
      <c r="AA1009" s="119"/>
    </row>
    <row r="1010" spans="2:27" ht="30" hidden="1" customHeight="1" x14ac:dyDescent="0.3">
      <c r="B1010" s="115"/>
      <c r="C1010" s="573"/>
      <c r="D1010" s="573"/>
      <c r="E1010" s="574"/>
      <c r="F1010" s="570"/>
      <c r="G1010" s="570"/>
      <c r="H1010" s="575"/>
      <c r="I1010" s="576"/>
      <c r="J1010" s="116"/>
      <c r="K1010" s="117"/>
      <c r="L1010" s="116"/>
      <c r="M1010" s="116"/>
      <c r="N1010" s="570"/>
      <c r="O1010" s="570"/>
      <c r="P1010" s="572"/>
      <c r="Q1010" s="118"/>
      <c r="R1010" s="118"/>
      <c r="S1010" s="118"/>
      <c r="T1010" s="118"/>
      <c r="U1010" s="118"/>
      <c r="V1010" s="118"/>
      <c r="W1010" s="118"/>
      <c r="X1010" s="118"/>
      <c r="Z1010" s="119"/>
      <c r="AA1010" s="119"/>
    </row>
    <row r="1011" spans="2:27" ht="30" hidden="1" customHeight="1" x14ac:dyDescent="0.3">
      <c r="B1011" s="115"/>
      <c r="C1011" s="573"/>
      <c r="D1011" s="573"/>
      <c r="E1011" s="574"/>
      <c r="F1011" s="570"/>
      <c r="G1011" s="570"/>
      <c r="H1011" s="575"/>
      <c r="I1011" s="576"/>
      <c r="J1011" s="116"/>
      <c r="K1011" s="117"/>
      <c r="L1011" s="116"/>
      <c r="M1011" s="116"/>
      <c r="N1011" s="570"/>
      <c r="O1011" s="570"/>
      <c r="P1011" s="572"/>
      <c r="Q1011" s="118"/>
      <c r="R1011" s="118"/>
      <c r="S1011" s="118"/>
      <c r="T1011" s="118"/>
      <c r="U1011" s="118"/>
      <c r="V1011" s="118"/>
      <c r="W1011" s="118"/>
      <c r="X1011" s="118"/>
      <c r="Z1011" s="119"/>
      <c r="AA1011" s="119"/>
    </row>
    <row r="1012" spans="2:27" ht="30" hidden="1" customHeight="1" x14ac:dyDescent="0.3">
      <c r="B1012" s="115"/>
      <c r="C1012" s="573"/>
      <c r="D1012" s="573"/>
      <c r="E1012" s="574"/>
      <c r="F1012" s="570"/>
      <c r="G1012" s="570"/>
      <c r="H1012" s="575"/>
      <c r="I1012" s="576"/>
      <c r="J1012" s="116"/>
      <c r="K1012" s="117"/>
      <c r="L1012" s="116"/>
      <c r="M1012" s="116"/>
      <c r="N1012" s="570"/>
      <c r="O1012" s="570"/>
      <c r="P1012" s="572"/>
      <c r="Q1012" s="118"/>
      <c r="R1012" s="118"/>
      <c r="S1012" s="118"/>
      <c r="T1012" s="118"/>
      <c r="U1012" s="118"/>
      <c r="V1012" s="118"/>
      <c r="W1012" s="118"/>
      <c r="X1012" s="118"/>
      <c r="Z1012" s="119"/>
      <c r="AA1012" s="119"/>
    </row>
    <row r="1013" spans="2:27" ht="30" hidden="1" customHeight="1" x14ac:dyDescent="0.3">
      <c r="B1013" s="115"/>
      <c r="C1013" s="573"/>
      <c r="D1013" s="573"/>
      <c r="E1013" s="574"/>
      <c r="F1013" s="570"/>
      <c r="G1013" s="570"/>
      <c r="H1013" s="575"/>
      <c r="I1013" s="576"/>
      <c r="J1013" s="116"/>
      <c r="K1013" s="117"/>
      <c r="L1013" s="116"/>
      <c r="M1013" s="116"/>
      <c r="N1013" s="570"/>
      <c r="O1013" s="570"/>
      <c r="P1013" s="572"/>
      <c r="Q1013" s="118"/>
      <c r="R1013" s="118"/>
      <c r="S1013" s="118"/>
      <c r="T1013" s="118"/>
      <c r="U1013" s="118"/>
      <c r="V1013" s="118"/>
      <c r="W1013" s="118"/>
      <c r="X1013" s="118"/>
      <c r="Z1013" s="119"/>
      <c r="AA1013" s="119"/>
    </row>
    <row r="1014" spans="2:27" ht="30" hidden="1" customHeight="1" x14ac:dyDescent="0.3">
      <c r="B1014" s="115"/>
      <c r="C1014" s="573"/>
      <c r="D1014" s="573"/>
      <c r="E1014" s="574"/>
      <c r="F1014" s="570"/>
      <c r="G1014" s="570"/>
      <c r="H1014" s="575"/>
      <c r="I1014" s="576"/>
      <c r="J1014" s="116"/>
      <c r="K1014" s="117"/>
      <c r="L1014" s="116"/>
      <c r="M1014" s="116"/>
      <c r="N1014" s="570"/>
      <c r="O1014" s="570"/>
      <c r="P1014" s="572"/>
      <c r="Q1014" s="118"/>
      <c r="R1014" s="118"/>
      <c r="S1014" s="118"/>
      <c r="T1014" s="118"/>
      <c r="U1014" s="118"/>
      <c r="V1014" s="118"/>
      <c r="W1014" s="118"/>
      <c r="X1014" s="118"/>
      <c r="Z1014" s="119"/>
      <c r="AA1014" s="119"/>
    </row>
    <row r="1015" spans="2:27" ht="30" hidden="1" customHeight="1" x14ac:dyDescent="0.3">
      <c r="B1015" s="115"/>
      <c r="C1015" s="573"/>
      <c r="D1015" s="573"/>
      <c r="E1015" s="574"/>
      <c r="F1015" s="570"/>
      <c r="G1015" s="570"/>
      <c r="H1015" s="575"/>
      <c r="I1015" s="576"/>
      <c r="J1015" s="116"/>
      <c r="K1015" s="117"/>
      <c r="L1015" s="116"/>
      <c r="M1015" s="116"/>
      <c r="N1015" s="570"/>
      <c r="O1015" s="570"/>
      <c r="P1015" s="572"/>
      <c r="Q1015" s="118"/>
      <c r="R1015" s="118"/>
      <c r="S1015" s="118"/>
      <c r="T1015" s="118"/>
      <c r="U1015" s="118"/>
      <c r="V1015" s="118"/>
      <c r="W1015" s="118"/>
      <c r="X1015" s="118"/>
      <c r="Z1015" s="119"/>
      <c r="AA1015" s="119"/>
    </row>
    <row r="1016" spans="2:27" ht="30" hidden="1" customHeight="1" x14ac:dyDescent="0.3">
      <c r="B1016" s="115"/>
      <c r="C1016" s="573"/>
      <c r="D1016" s="573"/>
      <c r="E1016" s="574"/>
      <c r="G1016" s="570"/>
      <c r="H1016" s="575"/>
      <c r="I1016" s="576"/>
      <c r="J1016" s="116"/>
      <c r="K1016" s="117"/>
      <c r="L1016" s="116"/>
      <c r="M1016" s="116"/>
      <c r="N1016" s="570"/>
      <c r="O1016" s="570"/>
      <c r="P1016" s="572"/>
      <c r="Q1016" s="118"/>
      <c r="R1016" s="118"/>
      <c r="S1016" s="118"/>
      <c r="T1016" s="118"/>
      <c r="U1016" s="118"/>
      <c r="V1016" s="118"/>
      <c r="W1016" s="118"/>
      <c r="X1016" s="118"/>
      <c r="Z1016" s="119"/>
      <c r="AA1016" s="119"/>
    </row>
    <row r="1017" spans="2:27" ht="20.25" hidden="1" customHeight="1" x14ac:dyDescent="0.3"/>
    <row r="1018" spans="2:27" ht="30" hidden="1" customHeight="1" x14ac:dyDescent="0.3"/>
    <row r="1019" spans="2:27" ht="30" hidden="1" customHeight="1" x14ac:dyDescent="0.3"/>
    <row r="1020" spans="2:27" ht="30" hidden="1" customHeight="1" x14ac:dyDescent="0.3"/>
    <row r="1021" spans="2:27" ht="30" hidden="1" customHeight="1" x14ac:dyDescent="0.3"/>
    <row r="1022" spans="2:27" ht="30" hidden="1" customHeight="1" x14ac:dyDescent="0.3"/>
    <row r="1023" spans="2:27" ht="30" hidden="1" customHeight="1" x14ac:dyDescent="0.3"/>
    <row r="1024" spans="2:27" ht="30" hidden="1" customHeight="1" x14ac:dyDescent="0.3"/>
    <row r="1025" ht="30" hidden="1" customHeight="1" x14ac:dyDescent="0.3"/>
    <row r="1026" ht="30" hidden="1" customHeight="1" x14ac:dyDescent="0.3"/>
    <row r="1027" ht="30" hidden="1" customHeight="1" x14ac:dyDescent="0.3"/>
    <row r="1028" ht="30" hidden="1" customHeight="1" x14ac:dyDescent="0.3"/>
    <row r="1029" ht="30" hidden="1" customHeight="1" x14ac:dyDescent="0.3"/>
    <row r="1030" ht="30" hidden="1" customHeight="1" x14ac:dyDescent="0.3"/>
    <row r="1031" ht="30" hidden="1" customHeight="1" x14ac:dyDescent="0.3"/>
    <row r="1032" ht="30" hidden="1" customHeight="1" x14ac:dyDescent="0.3"/>
    <row r="1033" ht="30" hidden="1" customHeight="1" x14ac:dyDescent="0.3"/>
    <row r="1034" ht="30" hidden="1" customHeight="1" x14ac:dyDescent="0.3"/>
    <row r="1035" ht="30" hidden="1" customHeight="1" x14ac:dyDescent="0.3"/>
    <row r="1036" ht="30" hidden="1" customHeight="1" x14ac:dyDescent="0.3"/>
    <row r="1037" ht="30" hidden="1" customHeight="1" x14ac:dyDescent="0.3"/>
    <row r="1038" ht="30" hidden="1" customHeight="1" x14ac:dyDescent="0.3"/>
    <row r="1039" ht="30" hidden="1" customHeight="1" x14ac:dyDescent="0.3"/>
    <row r="1040" ht="30" hidden="1" customHeight="1" x14ac:dyDescent="0.3"/>
    <row r="1041" ht="30" hidden="1" customHeight="1" x14ac:dyDescent="0.3"/>
    <row r="1042" ht="30" hidden="1" customHeight="1" x14ac:dyDescent="0.3"/>
    <row r="1043" ht="30" hidden="1" customHeight="1" x14ac:dyDescent="0.3"/>
    <row r="1044" ht="30" hidden="1" customHeight="1" x14ac:dyDescent="0.3"/>
    <row r="1045" ht="30" hidden="1" customHeight="1" x14ac:dyDescent="0.3"/>
    <row r="1046" ht="30" hidden="1" customHeight="1" x14ac:dyDescent="0.3"/>
    <row r="1047" ht="30" hidden="1" customHeight="1" x14ac:dyDescent="0.3"/>
    <row r="1048" ht="30" hidden="1" customHeight="1" x14ac:dyDescent="0.3"/>
    <row r="1049" ht="30" hidden="1" customHeight="1" x14ac:dyDescent="0.3"/>
    <row r="1050" ht="30" hidden="1" customHeight="1" x14ac:dyDescent="0.3"/>
    <row r="1051" ht="30" hidden="1" customHeight="1" x14ac:dyDescent="0.3"/>
    <row r="1052" ht="30" hidden="1" customHeight="1" x14ac:dyDescent="0.3"/>
    <row r="1053" ht="30" hidden="1" customHeight="1" x14ac:dyDescent="0.3"/>
    <row r="1054" ht="30" hidden="1" customHeight="1" x14ac:dyDescent="0.3"/>
    <row r="1055" ht="30" hidden="1" customHeight="1" x14ac:dyDescent="0.3"/>
    <row r="1056" ht="30" hidden="1" customHeight="1" x14ac:dyDescent="0.3"/>
    <row r="1057" ht="30" hidden="1" customHeight="1" x14ac:dyDescent="0.3"/>
    <row r="1058" ht="30" hidden="1" customHeight="1" x14ac:dyDescent="0.3"/>
  </sheetData>
  <sheetProtection algorithmName="SHA-512" hashValue="+re6oESRhx5uxkCHGSmp7fYRF9058GYZ8g8FRfrDp1CUpQky4sxWe/xo7Pi+V/lVUW4qfPvxRg+YxIFMrqSU/Q==" saltValue="jq32QTWztkPTIHsODDV9MQ==" spinCount="100000" sheet="1" objects="1" scenarios="1"/>
  <mergeCells count="18">
    <mergeCell ref="B16:M16"/>
    <mergeCell ref="G6:H6"/>
    <mergeCell ref="M6:N6"/>
    <mergeCell ref="B7:D7"/>
    <mergeCell ref="G7:H7"/>
    <mergeCell ref="M7:N7"/>
    <mergeCell ref="B11:M11"/>
    <mergeCell ref="G3:H3"/>
    <mergeCell ref="M3:N3"/>
    <mergeCell ref="G4:H4"/>
    <mergeCell ref="M4:N4"/>
    <mergeCell ref="B5:D5"/>
    <mergeCell ref="G5:H5"/>
    <mergeCell ref="M5:N5"/>
    <mergeCell ref="B3:C3"/>
    <mergeCell ref="B4:C4"/>
    <mergeCell ref="D3:E3"/>
    <mergeCell ref="D4:E4"/>
  </mergeCells>
  <conditionalFormatting sqref="B19:D887">
    <cfRule type="containsBlanks" dxfId="17" priority="6">
      <formula>LEN(TRIM(B19))=0</formula>
    </cfRule>
  </conditionalFormatting>
  <conditionalFormatting sqref="F19:F887 CC128:CD887">
    <cfRule type="containsBlanks" dxfId="16" priority="18">
      <formula>LEN(TRIM(F19))=0</formula>
    </cfRule>
  </conditionalFormatting>
  <conditionalFormatting sqref="F19:F887">
    <cfRule type="expression" dxfId="15" priority="17">
      <formula>IF(COUNTIF(#REF!, F19), TRUE, FALSE)</formula>
    </cfRule>
  </conditionalFormatting>
  <conditionalFormatting sqref="H19:I887">
    <cfRule type="expression" dxfId="14" priority="9">
      <formula>NOT(ISBLANK(H19))</formula>
    </cfRule>
    <cfRule type="expression" dxfId="13" priority="10">
      <formula>NOT(ISBLANK($C19))</formula>
    </cfRule>
  </conditionalFormatting>
  <conditionalFormatting sqref="H19:L887">
    <cfRule type="containsBlanks" dxfId="12" priority="8">
      <formula>LEN(TRIM(H19))=0</formula>
    </cfRule>
  </conditionalFormatting>
  <conditionalFormatting sqref="I3:I5 E7">
    <cfRule type="expression" dxfId="11" priority="3">
      <formula>ABS($E$7-SUM($I$3:$I$5)) &gt; ($E$7*0.05)</formula>
    </cfRule>
  </conditionalFormatting>
  <conditionalFormatting sqref="I3:I6 E5">
    <cfRule type="expression" dxfId="10" priority="4">
      <formula>ABS($E$5-SUM($I$3:$I$6)) &gt; ($E$5*0.05)</formula>
    </cfRule>
  </conditionalFormatting>
  <conditionalFormatting sqref="I6:I7">
    <cfRule type="containsBlanks" dxfId="9" priority="19">
      <formula>LEN(TRIM(I6))=0</formula>
    </cfRule>
  </conditionalFormatting>
  <conditionalFormatting sqref="I7">
    <cfRule type="cellIs" dxfId="8" priority="1" operator="greaterThan">
      <formula>20</formula>
    </cfRule>
  </conditionalFormatting>
  <conditionalFormatting sqref="J5:L5">
    <cfRule type="expression" dxfId="7" priority="23">
      <formula>$E$5=""</formula>
    </cfRule>
  </conditionalFormatting>
  <conditionalFormatting sqref="J7:L7">
    <cfRule type="expression" dxfId="6" priority="24">
      <formula>$E$7=""</formula>
    </cfRule>
  </conditionalFormatting>
  <dataValidations count="14">
    <dataValidation type="list" allowBlank="1" showDropDown="1" showInputMessage="1" showErrorMessage="1" errorTitle="Invalid data" error="Please specify a species code as found in the Species List tab." sqref="G889:H1016 F888:F1015" xr:uid="{2F4AEB20-BDE3-4537-8733-601A90603DBD}">
      <formula1>#REF!</formula1>
    </dataValidation>
    <dataValidation type="decimal" allowBlank="1" showInputMessage="1" showErrorMessage="1" sqref="H888" xr:uid="{71DD8CF6-1133-4B6C-AB80-BFA2DA20CCBB}">
      <formula1>0</formula1>
      <formula2>100</formula2>
    </dataValidation>
    <dataValidation type="list" allowBlank="1" showInputMessage="1" showErrorMessage="1" sqref="P128:P1016" xr:uid="{4ACEA0A0-10E1-4140-8517-9D90BCC7EE59}">
      <formula1>"Thinned,No thin"</formula1>
    </dataValidation>
    <dataValidation type="decimal" allowBlank="1" showInputMessage="1" showErrorMessage="1" errorTitle="Invalid data" error="Please enter a numerical value below 100." sqref="H889:H1016" xr:uid="{1319E3EB-3CE5-45E5-8E6C-14E7A3871520}">
      <formula1>0</formula1>
      <formula2>100</formula2>
    </dataValidation>
    <dataValidation type="whole" allowBlank="1" showInputMessage="1" showErrorMessage="1" errorTitle="Invalid data" error="Please enter a whole numerical value." sqref="O128:O1016" xr:uid="{199D2385-4BFE-4363-8DB9-B9D62715F788}">
      <formula1>0</formula1>
      <formula2>100000000000</formula2>
    </dataValidation>
    <dataValidation type="whole" allowBlank="1" showInputMessage="1" showErrorMessage="1" errorTitle="Invalid data." error="Please enter a whole numerical value." sqref="I889:I1016" xr:uid="{C76F9F73-B8ED-4322-8682-75BFD2A527FA}">
      <formula1>0</formula1>
      <formula2>10000000000000000000</formula2>
    </dataValidation>
    <dataValidation type="decimal" allowBlank="1" showInputMessage="1" showErrorMessage="1" errorTitle="Invalid data" error="Please enter a numerical value." sqref="N128:N1016" xr:uid="{F1482BBF-3F52-4CFA-A82A-4139A7CA1DBC}">
      <formula1>0</formula1>
      <formula2>100000000000</formula2>
    </dataValidation>
    <dataValidation type="list" allowBlank="1" showInputMessage="1" showErrorMessage="1" sqref="C889:D1016" xr:uid="{B6DCF375-E4E3-4DCB-A0D0-822CA2AE9F0F}">
      <formula1>OFFSET(#REF!,1,0,MAX(#REF!),1)</formula1>
    </dataValidation>
    <dataValidation type="custom" showInputMessage="1" showErrorMessage="1" errorTitle="Invalid input" error="Compartment numbering must be numeric only, no decimals, no special characters, and no text._x000a_You cannot skip rows." promptTitle="User input rules" prompt="Compartment numbering must be numerical only and contain no decimals, special characters or text. Each compartment will be listed once for each species included._x000a_Blank rows within your compartment numbering are not permitted." sqref="B19" xr:uid="{1620263C-B268-4D7E-BCC7-2455F917339A}">
      <formula1>OR(LEN(TRIM(B19))=0,AND(LEN(TRIM(B18))&gt;0,ISNUMBER(B19),B19=INT(B19),B19&gt;=1))</formula1>
    </dataValidation>
    <dataValidation type="custom" showErrorMessage="1" errorTitle="Invalid input" error="Compartment numbering must be numeric only, no decimals, no special characters, and no text._x000a_You cannot skip rows." promptTitle="User input rules" prompt="Compartment numbering must be numerical, no decimals or text. Each compartment will be listed once for each species included._x000a_Blank rows within your compartment numbering are not permitted." sqref="B20:B887" xr:uid="{AF7B42C5-938D-403B-A302-3016E2DCCD87}">
      <formula1>OR(LEN(TRIM(B20))=0,AND(LEN(TRIM(B19))&gt;0,ISNUMBER(B20),B20=INT(B20),B20&gt;=1))</formula1>
    </dataValidation>
    <dataValidation type="custom" showInputMessage="1" showErrorMessage="1" errorTitle="Invalid input" error="You cannot leave a blank row above." sqref="C19:C887" xr:uid="{25A15AEC-3090-42C0-A45B-875A17842DD0}">
      <formula1>OR(LEN(TRIM(C19))=0, LEN(TRIM(C18))&gt;0)</formula1>
    </dataValidation>
    <dataValidation type="custom" showInputMessage="1" showErrorMessage="1" errorTitle="Invalid input" error="You cannot leave a blank row above._x000a__x000a_Enter number between 0 and 100." sqref="D20:D887 D19" xr:uid="{3E84A6B8-7EF9-46CD-A92E-A9868236DF72}">
      <formula1>OR(LEN(TRIM(D19))=0,AND(LEN(TRIM(D18))&gt;0,ISNUMBER(D19),D19&gt;=0,D19&lt;=100))</formula1>
    </dataValidation>
    <dataValidation type="custom" allowBlank="1" showInputMessage="1" showErrorMessage="1" errorTitle="Invalid input" error="You cannot leave a blank row above._x000a__x000a_Enter number between 0 and 100." sqref="H19:H887" xr:uid="{0713C124-08BA-4ED0-8CF9-83FC146876A7}">
      <formula1>OR(LEN(TRIM(D19))=0,AND(LEN(TRIM(D18))&gt;0,ISNUMBER(D19),D19&gt;=0,D19&lt;=100))</formula1>
    </dataValidation>
    <dataValidation type="custom" showInputMessage="1" showErrorMessage="1" errorTitle="Invalid input" error="You cannot leave a blank row above._x000a__x000a_Please enter a whole numerical value." sqref="I19:I887" xr:uid="{A2EF441E-A773-4375-B2A0-A56134471E67}">
      <formula1>OR(LEN(TRIM(I19))=0,AND(LEN(TRIM(I18))&gt;0,ISNUMBER(I19),I19=INT(I19),I19&gt;=0,I19&lt;=100000000))</formula1>
    </dataValidation>
  </dataValidations>
  <pageMargins left="0.70866141732283472" right="0.70866141732283472" top="0.74803149606299213" bottom="0.74803149606299213" header="0.31496062992125984" footer="0.31496062992125984"/>
  <pageSetup paperSize="9" scale="37" fitToHeight="0" orientation="portrait" r:id="rId1"/>
  <headerFooter>
    <oddHeader>&amp;L&amp;"-,Bold"&amp;24Species Breakdown&amp;R&amp;G</oddHeader>
  </headerFooter>
  <drawing r:id="rId2"/>
  <legacyDrawingHF r:id="rId3"/>
  <extLst>
    <ext xmlns:x14="http://schemas.microsoft.com/office/spreadsheetml/2009/9/main" uri="{CCE6A557-97BC-4b89-ADB6-D9C93CAAB3DF}">
      <x14:dataValidations xmlns:xm="http://schemas.microsoft.com/office/excel/2006/main" count="1">
        <x14:dataValidation type="custom" showDropDown="1" showInputMessage="1" showErrorMessage="1" errorTitle="Invalid input" error="Please see Species List worksheet for codes._x000a__x000a_You cannot leave a blank row above." xr:uid="{8A558554-98E7-4B5E-987D-2C0455B78284}">
          <x14:formula1>
            <xm:f>OR(LEN(TRIM(F19))=0,AND(LEN(TRIM(F18))&gt;0,COUNTIF('Data (hidden)'!$N$2:$N$201,TRIM(F19))&gt;0))</xm:f>
          </x14:formula1>
          <xm:sqref>F19:F887</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15B94-430F-43FF-847E-F9BB27458AA9}">
  <sheetPr codeName="Sheet18">
    <tabColor rgb="FF862041"/>
    <pageSetUpPr autoPageBreaks="0" fitToPage="1"/>
  </sheetPr>
  <dimension ref="A1:K110"/>
  <sheetViews>
    <sheetView showGridLines="0" zoomScaleNormal="100" workbookViewId="0">
      <selection sqref="A1:XFD1048576"/>
    </sheetView>
  </sheetViews>
  <sheetFormatPr defaultColWidth="0" defaultRowHeight="13.5" customHeight="1" zeroHeight="1" x14ac:dyDescent="0.3"/>
  <cols>
    <col min="1" max="1" width="2.54296875" style="14" customWidth="1"/>
    <col min="2" max="2" width="32.1796875" style="22" customWidth="1"/>
    <col min="3" max="3" width="31.81640625" style="22" customWidth="1"/>
    <col min="4" max="4" width="15.1796875" style="22" customWidth="1"/>
    <col min="5" max="5" width="10.7265625" style="23" customWidth="1"/>
    <col min="6" max="6" width="8.54296875" style="22" customWidth="1"/>
    <col min="7" max="8" width="27.453125" style="22" customWidth="1"/>
    <col min="9" max="9" width="15.1796875" style="22" customWidth="1"/>
    <col min="10" max="10" width="11.81640625" style="23" customWidth="1"/>
    <col min="11" max="11" width="3.81640625" style="14" customWidth="1"/>
    <col min="12" max="16384" width="8.54296875" style="14" hidden="1"/>
  </cols>
  <sheetData>
    <row r="1" spans="1:10" ht="15" customHeight="1" x14ac:dyDescent="0.3"/>
    <row r="2" spans="1:10" ht="40" customHeight="1" x14ac:dyDescent="0.45">
      <c r="B2" s="841" t="s">
        <v>59</v>
      </c>
      <c r="C2" s="841"/>
      <c r="D2" s="841"/>
    </row>
    <row r="3" spans="1:10" ht="10" customHeight="1" x14ac:dyDescent="0.3">
      <c r="B3" s="24"/>
    </row>
    <row r="4" spans="1:10" s="275" customFormat="1" ht="145.5" customHeight="1" x14ac:dyDescent="0.3">
      <c r="B4" s="844" t="s">
        <v>1465</v>
      </c>
      <c r="C4" s="773"/>
      <c r="D4" s="773"/>
      <c r="E4" s="773"/>
      <c r="F4" s="773"/>
      <c r="G4" s="773"/>
      <c r="H4" s="773"/>
      <c r="I4" s="773"/>
      <c r="J4" s="774"/>
    </row>
    <row r="5" spans="1:10" s="276" customFormat="1" ht="16.5" customHeight="1" x14ac:dyDescent="0.35">
      <c r="B5" s="318" t="str">
        <f>HYPERLINK("https://www.gov.uk/government/publications/planting-spruce-trees-in-the-ips-typographus-demarcated-area","Planting spruce trees in the Ips typographus demarcated area - GOV.UK")</f>
        <v>Planting spruce trees in the Ips typographus demarcated area - GOV.UK</v>
      </c>
      <c r="C5" s="277"/>
      <c r="D5" s="277"/>
      <c r="E5" s="278"/>
      <c r="F5" s="277"/>
      <c r="G5" s="277"/>
      <c r="H5" s="277"/>
      <c r="I5" s="277"/>
      <c r="J5" s="279"/>
    </row>
    <row r="6" spans="1:10" s="276" customFormat="1" ht="30" customHeight="1" x14ac:dyDescent="0.35">
      <c r="B6" s="577" t="s">
        <v>1466</v>
      </c>
      <c r="C6" s="280"/>
      <c r="D6" s="280"/>
      <c r="E6" s="281"/>
      <c r="F6" s="280"/>
      <c r="G6" s="280"/>
      <c r="H6" s="280"/>
      <c r="I6" s="280"/>
      <c r="J6" s="282"/>
    </row>
    <row r="7" spans="1:10" ht="14.25" customHeight="1" x14ac:dyDescent="0.3">
      <c r="B7" s="24"/>
    </row>
    <row r="8" spans="1:10" ht="15" customHeight="1" x14ac:dyDescent="0.35">
      <c r="B8" s="162" t="s">
        <v>78</v>
      </c>
      <c r="C8" s="799" t="str">
        <f>IF(ISBLANK('Site Details'!C6),"",'Site Details'!C6)</f>
        <v/>
      </c>
      <c r="D8" s="800"/>
      <c r="E8" s="2"/>
      <c r="F8" s="2"/>
    </row>
    <row r="9" spans="1:10" ht="15" customHeight="1" x14ac:dyDescent="0.35">
      <c r="B9" s="162" t="s">
        <v>488</v>
      </c>
      <c r="C9" s="799" t="str">
        <f>IF(ISBLANK('Site Details'!C7),"",'Site Details'!C7)</f>
        <v/>
      </c>
      <c r="D9" s="800" t="str">
        <f>IF(ISBLANK('Site Details'!D7),"",'Site Details'!D7)</f>
        <v/>
      </c>
      <c r="E9" s="2"/>
      <c r="F9" s="2"/>
    </row>
    <row r="10" spans="1:10" ht="12" customHeight="1" x14ac:dyDescent="0.3">
      <c r="B10" s="24"/>
      <c r="G10" s="845" t="s">
        <v>489</v>
      </c>
      <c r="H10" s="845"/>
      <c r="I10" s="845"/>
      <c r="J10" s="845"/>
    </row>
    <row r="11" spans="1:10" ht="12" customHeight="1" x14ac:dyDescent="0.3">
      <c r="B11" s="842" t="s">
        <v>328</v>
      </c>
      <c r="C11" s="843">
        <f>SpeciesBreakdown!$C$10</f>
        <v>0</v>
      </c>
      <c r="G11" s="845"/>
      <c r="H11" s="845"/>
      <c r="I11" s="845"/>
      <c r="J11" s="845"/>
    </row>
    <row r="12" spans="1:10" ht="12" customHeight="1" x14ac:dyDescent="0.3">
      <c r="B12" s="842"/>
      <c r="C12" s="843"/>
      <c r="G12" s="846"/>
      <c r="H12" s="846"/>
      <c r="I12" s="846"/>
      <c r="J12" s="846"/>
    </row>
    <row r="13" spans="1:10" ht="12" customHeight="1" x14ac:dyDescent="0.3">
      <c r="B13" s="25"/>
    </row>
    <row r="14" spans="1:10" ht="15" customHeight="1" x14ac:dyDescent="0.3">
      <c r="A14" s="26"/>
      <c r="B14" s="830" t="s">
        <v>490</v>
      </c>
      <c r="C14" s="831"/>
      <c r="D14" s="831"/>
      <c r="E14" s="832"/>
      <c r="F14" s="27"/>
      <c r="G14" s="830" t="s">
        <v>491</v>
      </c>
      <c r="H14" s="831"/>
      <c r="I14" s="831"/>
      <c r="J14" s="832"/>
    </row>
    <row r="15" spans="1:10" x14ac:dyDescent="0.3">
      <c r="A15" s="26"/>
      <c r="B15" s="28" t="s">
        <v>492</v>
      </c>
      <c r="C15" s="29" t="s">
        <v>493</v>
      </c>
      <c r="D15" s="29" t="s">
        <v>494</v>
      </c>
      <c r="E15" s="30" t="s">
        <v>495</v>
      </c>
      <c r="F15" s="27"/>
      <c r="G15" s="31" t="s">
        <v>492</v>
      </c>
      <c r="H15" s="32" t="s">
        <v>493</v>
      </c>
      <c r="I15" s="33" t="s">
        <v>494</v>
      </c>
      <c r="J15" s="34" t="s">
        <v>495</v>
      </c>
    </row>
    <row r="16" spans="1:10" x14ac:dyDescent="0.3">
      <c r="A16" s="26"/>
      <c r="B16" s="35" t="s">
        <v>496</v>
      </c>
      <c r="C16" s="27" t="s">
        <v>275</v>
      </c>
      <c r="D16" s="36" t="s">
        <v>497</v>
      </c>
      <c r="E16" s="64">
        <f>SUMIF(SpeciesBreakdown!$F$19:$F$1016,D16,SpeciesBreakdown!$M$19:$M$1016)</f>
        <v>0</v>
      </c>
      <c r="F16" s="27"/>
      <c r="G16" s="37" t="s">
        <v>498</v>
      </c>
      <c r="H16" s="38" t="s">
        <v>499</v>
      </c>
      <c r="I16" s="51" t="s">
        <v>500</v>
      </c>
      <c r="J16" s="53">
        <f>SUMIF(SpeciesBreakdown!$F$19:$F$1016,I16,SpeciesBreakdown!$M$19:$M$1016)</f>
        <v>0</v>
      </c>
    </row>
    <row r="17" spans="1:10" x14ac:dyDescent="0.3">
      <c r="A17" s="26"/>
      <c r="B17" s="37" t="s">
        <v>501</v>
      </c>
      <c r="C17" s="38" t="s">
        <v>502</v>
      </c>
      <c r="D17" s="27" t="s">
        <v>503</v>
      </c>
      <c r="E17" s="64">
        <f>SUMIF(SpeciesBreakdown!$F$19:$F$1016,D17,SpeciesBreakdown!$M$19:$M$1016)</f>
        <v>0</v>
      </c>
      <c r="F17" s="27"/>
      <c r="G17" s="39" t="s">
        <v>504</v>
      </c>
      <c r="H17" s="40" t="s">
        <v>505</v>
      </c>
      <c r="I17" s="41" t="s">
        <v>506</v>
      </c>
      <c r="J17" s="42">
        <f>SUMIF(SpeciesBreakdown!$F$19:$F$1016,I17,SpeciesBreakdown!$M$19:$M$1016)</f>
        <v>0</v>
      </c>
    </row>
    <row r="18" spans="1:10" x14ac:dyDescent="0.3">
      <c r="A18" s="26"/>
      <c r="B18" s="43" t="s">
        <v>507</v>
      </c>
      <c r="C18" s="44" t="s">
        <v>508</v>
      </c>
      <c r="D18" s="45" t="s">
        <v>509</v>
      </c>
      <c r="E18" s="64">
        <f>SUMIF(SpeciesBreakdown!$F$19:$F$1016,D18,SpeciesBreakdown!$M$19:$M$1016)</f>
        <v>0</v>
      </c>
      <c r="F18" s="835"/>
      <c r="G18" s="835"/>
      <c r="H18" s="38"/>
      <c r="I18" s="27"/>
    </row>
    <row r="19" spans="1:10" x14ac:dyDescent="0.3">
      <c r="A19" s="26"/>
      <c r="B19" s="37" t="s">
        <v>510</v>
      </c>
      <c r="C19" s="38" t="s">
        <v>511</v>
      </c>
      <c r="D19" s="27" t="s">
        <v>512</v>
      </c>
      <c r="E19" s="64">
        <f>SUMIF(SpeciesBreakdown!$F$19:$F$1016,D19,SpeciesBreakdown!$M$19:$M$1016)</f>
        <v>0</v>
      </c>
      <c r="F19" s="835"/>
      <c r="G19" s="835"/>
      <c r="H19" s="38"/>
      <c r="I19" s="27"/>
    </row>
    <row r="20" spans="1:10" ht="15" x14ac:dyDescent="0.3">
      <c r="A20" s="26"/>
      <c r="B20" s="37" t="s">
        <v>513</v>
      </c>
      <c r="C20" s="38" t="s">
        <v>514</v>
      </c>
      <c r="D20" s="27" t="s">
        <v>515</v>
      </c>
      <c r="E20" s="64">
        <f>SUMIF(SpeciesBreakdown!$F$19:$F$1016,D20,SpeciesBreakdown!$M$19:$M$1016)</f>
        <v>0</v>
      </c>
      <c r="F20" s="37"/>
      <c r="G20" s="830" t="s">
        <v>516</v>
      </c>
      <c r="H20" s="831"/>
      <c r="I20" s="831"/>
      <c r="J20" s="832"/>
    </row>
    <row r="21" spans="1:10" ht="12.75" customHeight="1" x14ac:dyDescent="0.3">
      <c r="A21" s="26"/>
      <c r="B21" s="37" t="s">
        <v>517</v>
      </c>
      <c r="C21" s="38" t="s">
        <v>518</v>
      </c>
      <c r="D21" s="27" t="s">
        <v>519</v>
      </c>
      <c r="E21" s="64">
        <f>SUMIF(SpeciesBreakdown!$F$19:$F$1016,D21,SpeciesBreakdown!$M$19:$M$1016)</f>
        <v>0</v>
      </c>
      <c r="F21" s="27"/>
      <c r="G21" s="137" t="s">
        <v>492</v>
      </c>
      <c r="H21" s="138" t="s">
        <v>493</v>
      </c>
      <c r="I21" s="139" t="s">
        <v>494</v>
      </c>
      <c r="J21" s="48" t="s">
        <v>495</v>
      </c>
    </row>
    <row r="22" spans="1:10" x14ac:dyDescent="0.3">
      <c r="A22" s="26"/>
      <c r="B22" s="37" t="s">
        <v>520</v>
      </c>
      <c r="C22" s="38" t="s">
        <v>521</v>
      </c>
      <c r="D22" s="27" t="s">
        <v>522</v>
      </c>
      <c r="E22" s="64">
        <f>SUMIF(SpeciesBreakdown!$F$19:$F$1016,D22,SpeciesBreakdown!$M$19:$M$1016)</f>
        <v>0</v>
      </c>
      <c r="F22" s="27"/>
      <c r="G22" s="49" t="s">
        <v>523</v>
      </c>
      <c r="H22" s="50" t="s">
        <v>275</v>
      </c>
      <c r="I22" s="51" t="s">
        <v>524</v>
      </c>
      <c r="J22" s="64">
        <f>SUMIF(SpeciesBreakdown!$F$19:$F$1016,I22,SpeciesBreakdown!$M$19:$M$1016)</f>
        <v>0</v>
      </c>
    </row>
    <row r="23" spans="1:10" x14ac:dyDescent="0.3">
      <c r="A23" s="26"/>
      <c r="B23" s="37" t="s">
        <v>525</v>
      </c>
      <c r="C23" s="38" t="s">
        <v>526</v>
      </c>
      <c r="D23" s="27" t="s">
        <v>527</v>
      </c>
      <c r="E23" s="64">
        <f>SUMIF(SpeciesBreakdown!$F$19:$F$1016,D23,SpeciesBreakdown!$M$19:$M$1016)</f>
        <v>0</v>
      </c>
      <c r="F23" s="27"/>
      <c r="G23" s="49" t="s">
        <v>528</v>
      </c>
      <c r="H23" s="27" t="s">
        <v>275</v>
      </c>
      <c r="I23" s="52" t="s">
        <v>529</v>
      </c>
      <c r="J23" s="64">
        <f>SUMIF(SpeciesBreakdown!$F$19:$F$1016,I23,SpeciesBreakdown!$M$19:$M$1016)</f>
        <v>0</v>
      </c>
    </row>
    <row r="24" spans="1:10" x14ac:dyDescent="0.3">
      <c r="A24" s="26"/>
      <c r="B24" s="37" t="s">
        <v>530</v>
      </c>
      <c r="C24" s="38" t="s">
        <v>531</v>
      </c>
      <c r="D24" s="27" t="s">
        <v>532</v>
      </c>
      <c r="E24" s="64">
        <f>SUMIF(SpeciesBreakdown!$F$19:$F$1016,D24,SpeciesBreakdown!$M$19:$M$1016)</f>
        <v>0</v>
      </c>
      <c r="F24" s="27"/>
      <c r="G24" s="37" t="s">
        <v>533</v>
      </c>
      <c r="H24" s="38" t="s">
        <v>534</v>
      </c>
      <c r="I24" s="52" t="s">
        <v>535</v>
      </c>
      <c r="J24" s="64">
        <f>SUMIF(SpeciesBreakdown!$F$19:$F$1016,I24,SpeciesBreakdown!$M$19:$M$1016)</f>
        <v>0</v>
      </c>
    </row>
    <row r="25" spans="1:10" x14ac:dyDescent="0.3">
      <c r="A25" s="26"/>
      <c r="B25" s="37" t="s">
        <v>536</v>
      </c>
      <c r="C25" s="38" t="s">
        <v>537</v>
      </c>
      <c r="D25" s="27" t="s">
        <v>378</v>
      </c>
      <c r="E25" s="64">
        <f>SUMIF(SpeciesBreakdown!$F$19:$F$1016,D25,SpeciesBreakdown!$M$19:$M$1016)</f>
        <v>0</v>
      </c>
      <c r="F25" s="27"/>
      <c r="G25" s="37" t="s">
        <v>538</v>
      </c>
      <c r="H25" s="38" t="s">
        <v>539</v>
      </c>
      <c r="I25" s="52" t="s">
        <v>540</v>
      </c>
      <c r="J25" s="64">
        <f>SUMIF(SpeciesBreakdown!$F$19:$F$1016,I25,SpeciesBreakdown!$M$19:$M$1016)</f>
        <v>0</v>
      </c>
    </row>
    <row r="26" spans="1:10" x14ac:dyDescent="0.3">
      <c r="A26" s="26"/>
      <c r="B26" s="37" t="s">
        <v>541</v>
      </c>
      <c r="C26" s="38" t="s">
        <v>542</v>
      </c>
      <c r="D26" s="27" t="s">
        <v>543</v>
      </c>
      <c r="E26" s="64">
        <f>SUMIF(SpeciesBreakdown!$F$19:$F$1016,D26,SpeciesBreakdown!$M$19:$M$1016)</f>
        <v>0</v>
      </c>
      <c r="F26" s="27"/>
      <c r="G26" s="49" t="s">
        <v>544</v>
      </c>
      <c r="H26" s="38" t="s">
        <v>545</v>
      </c>
      <c r="I26" s="52" t="s">
        <v>546</v>
      </c>
      <c r="J26" s="64">
        <f>SUMIF(SpeciesBreakdown!$F$19:$F$1016,I26,SpeciesBreakdown!$M$19:$M$1016)</f>
        <v>0</v>
      </c>
    </row>
    <row r="27" spans="1:10" x14ac:dyDescent="0.3">
      <c r="A27" s="26"/>
      <c r="B27" s="37" t="s">
        <v>547</v>
      </c>
      <c r="C27" s="38" t="s">
        <v>548</v>
      </c>
      <c r="D27" s="27" t="s">
        <v>549</v>
      </c>
      <c r="E27" s="64">
        <f>SUMIF(SpeciesBreakdown!$F$19:$F$1016,D27,SpeciesBreakdown!$M$19:$M$1016)</f>
        <v>0</v>
      </c>
      <c r="F27" s="27"/>
      <c r="G27" s="49" t="s">
        <v>550</v>
      </c>
      <c r="H27" s="38" t="s">
        <v>551</v>
      </c>
      <c r="I27" s="52" t="s">
        <v>552</v>
      </c>
      <c r="J27" s="64">
        <f>SUMIF(SpeciesBreakdown!$F$19:$F$1016,I27,SpeciesBreakdown!$M$19:$M$1016)</f>
        <v>0</v>
      </c>
    </row>
    <row r="28" spans="1:10" ht="13.5" customHeight="1" x14ac:dyDescent="0.3">
      <c r="A28" s="26"/>
      <c r="B28" s="37" t="s">
        <v>553</v>
      </c>
      <c r="C28" s="54" t="s">
        <v>554</v>
      </c>
      <c r="D28" s="27" t="s">
        <v>555</v>
      </c>
      <c r="E28" s="64">
        <f>SUMIF(SpeciesBreakdown!$F$19:$F$1016,D28,SpeciesBreakdown!$M$19:$M$1016)</f>
        <v>0</v>
      </c>
      <c r="F28" s="27"/>
      <c r="G28" s="37" t="s">
        <v>556</v>
      </c>
      <c r="H28" s="38" t="s">
        <v>557</v>
      </c>
      <c r="I28" s="52" t="s">
        <v>558</v>
      </c>
      <c r="J28" s="64">
        <f>SUMIF(SpeciesBreakdown!$F$19:$F$1016,I28,SpeciesBreakdown!$M$19:$M$1016)</f>
        <v>0</v>
      </c>
    </row>
    <row r="29" spans="1:10" x14ac:dyDescent="0.3">
      <c r="A29" s="26"/>
      <c r="B29" s="37" t="s">
        <v>559</v>
      </c>
      <c r="C29" s="38" t="s">
        <v>560</v>
      </c>
      <c r="D29" s="27" t="s">
        <v>561</v>
      </c>
      <c r="E29" s="64">
        <f>SUMIF(SpeciesBreakdown!$F$19:$F$1016,D29,SpeciesBreakdown!$M$19:$M$1016)</f>
        <v>0</v>
      </c>
      <c r="F29" s="27"/>
      <c r="G29" s="49" t="s">
        <v>562</v>
      </c>
      <c r="H29" s="38" t="s">
        <v>563</v>
      </c>
      <c r="I29" s="52" t="s">
        <v>564</v>
      </c>
      <c r="J29" s="64">
        <f>SUMIF(SpeciesBreakdown!$F$19:$F$1016,I29,SpeciesBreakdown!$M$19:$M$1016)</f>
        <v>0</v>
      </c>
    </row>
    <row r="30" spans="1:10" x14ac:dyDescent="0.3">
      <c r="A30" s="26"/>
      <c r="B30" s="37" t="s">
        <v>565</v>
      </c>
      <c r="C30" s="38" t="s">
        <v>566</v>
      </c>
      <c r="D30" s="27" t="s">
        <v>567</v>
      </c>
      <c r="E30" s="64">
        <f>SUMIF(SpeciesBreakdown!$F$19:$F$1016,D30,SpeciesBreakdown!$M$19:$M$1016)</f>
        <v>0</v>
      </c>
      <c r="F30" s="27"/>
      <c r="G30" s="37" t="s">
        <v>568</v>
      </c>
      <c r="H30" s="38" t="s">
        <v>569</v>
      </c>
      <c r="I30" s="52" t="s">
        <v>570</v>
      </c>
      <c r="J30" s="64">
        <f>SUMIF(SpeciesBreakdown!$F$19:$F$1016,I30,SpeciesBreakdown!$M$19:$M$1016)</f>
        <v>0</v>
      </c>
    </row>
    <row r="31" spans="1:10" x14ac:dyDescent="0.3">
      <c r="A31" s="26"/>
      <c r="B31" s="37" t="s">
        <v>571</v>
      </c>
      <c r="C31" s="38" t="s">
        <v>572</v>
      </c>
      <c r="D31" s="27" t="s">
        <v>573</v>
      </c>
      <c r="E31" s="64">
        <f>SUMIF(SpeciesBreakdown!$F$19:$F$1016,D31,SpeciesBreakdown!$M$19:$M$1016)</f>
        <v>0</v>
      </c>
      <c r="F31" s="27"/>
      <c r="G31" s="49" t="s">
        <v>574</v>
      </c>
      <c r="H31" s="38" t="s">
        <v>575</v>
      </c>
      <c r="I31" s="52" t="s">
        <v>576</v>
      </c>
      <c r="J31" s="64">
        <f>SUMIF(SpeciesBreakdown!$F$19:$F$1016,I31,SpeciesBreakdown!$M$19:$M$1016)</f>
        <v>0</v>
      </c>
    </row>
    <row r="32" spans="1:10" x14ac:dyDescent="0.3">
      <c r="A32" s="26"/>
      <c r="B32" s="37" t="s">
        <v>577</v>
      </c>
      <c r="C32" s="38" t="s">
        <v>578</v>
      </c>
      <c r="D32" s="27" t="s">
        <v>579</v>
      </c>
      <c r="E32" s="64">
        <f>SUMIF(SpeciesBreakdown!$F$19:$F$1016,D32,SpeciesBreakdown!$M$19:$M$1016)</f>
        <v>0</v>
      </c>
      <c r="F32" s="27"/>
      <c r="G32" s="49" t="s">
        <v>580</v>
      </c>
      <c r="H32" s="38" t="s">
        <v>581</v>
      </c>
      <c r="I32" s="52" t="s">
        <v>582</v>
      </c>
      <c r="J32" s="64">
        <f>SUMIF(SpeciesBreakdown!$F$19:$F$1016,I32,SpeciesBreakdown!$M$19:$M$1016)</f>
        <v>0</v>
      </c>
    </row>
    <row r="33" spans="1:10" x14ac:dyDescent="0.3">
      <c r="A33" s="26"/>
      <c r="B33" s="37" t="s">
        <v>583</v>
      </c>
      <c r="C33" s="38" t="s">
        <v>584</v>
      </c>
      <c r="D33" s="27" t="s">
        <v>585</v>
      </c>
      <c r="E33" s="64">
        <f>SUMIF(SpeciesBreakdown!$F$19:$F$1016,D33,SpeciesBreakdown!$M$19:$M$1016)</f>
        <v>0</v>
      </c>
      <c r="F33" s="27"/>
      <c r="G33" s="49" t="s">
        <v>586</v>
      </c>
      <c r="H33" s="38" t="s">
        <v>587</v>
      </c>
      <c r="I33" s="52" t="s">
        <v>588</v>
      </c>
      <c r="J33" s="64">
        <f>SUMIF(SpeciesBreakdown!$F$19:$F$1016,I33,SpeciesBreakdown!$M$19:$M$1016)</f>
        <v>0</v>
      </c>
    </row>
    <row r="34" spans="1:10" x14ac:dyDescent="0.3">
      <c r="A34" s="26"/>
      <c r="B34" s="37" t="s">
        <v>589</v>
      </c>
      <c r="C34" s="38" t="s">
        <v>590</v>
      </c>
      <c r="D34" s="27" t="s">
        <v>591</v>
      </c>
      <c r="E34" s="64">
        <f>SUMIF(SpeciesBreakdown!$F$19:$F$1016,D34,SpeciesBreakdown!$M$19:$M$1016)</f>
        <v>0</v>
      </c>
      <c r="F34" s="27"/>
      <c r="G34" s="49" t="s">
        <v>592</v>
      </c>
      <c r="H34" s="38" t="s">
        <v>593</v>
      </c>
      <c r="I34" s="52" t="s">
        <v>594</v>
      </c>
      <c r="J34" s="64">
        <f>SUMIF(SpeciesBreakdown!$F$19:$F$1016,I34,SpeciesBreakdown!$M$19:$M$1016)</f>
        <v>0</v>
      </c>
    </row>
    <row r="35" spans="1:10" x14ac:dyDescent="0.3">
      <c r="A35" s="26"/>
      <c r="B35" s="37" t="s">
        <v>595</v>
      </c>
      <c r="C35" s="38" t="s">
        <v>596</v>
      </c>
      <c r="D35" s="27" t="s">
        <v>597</v>
      </c>
      <c r="E35" s="64">
        <f>SUMIF(SpeciesBreakdown!$F$19:$F$1016,D35,SpeciesBreakdown!$M$19:$M$1016)</f>
        <v>0</v>
      </c>
      <c r="F35" s="27"/>
      <c r="G35" s="37" t="s">
        <v>598</v>
      </c>
      <c r="H35" s="38" t="s">
        <v>599</v>
      </c>
      <c r="I35" s="52" t="s">
        <v>600</v>
      </c>
      <c r="J35" s="64">
        <f>SUMIF(SpeciesBreakdown!$F$19:$F$1016,I35,SpeciesBreakdown!$M$19:$M$1016)</f>
        <v>0</v>
      </c>
    </row>
    <row r="36" spans="1:10" x14ac:dyDescent="0.3">
      <c r="A36" s="26"/>
      <c r="B36" s="37" t="s">
        <v>601</v>
      </c>
      <c r="C36" s="38" t="s">
        <v>602</v>
      </c>
      <c r="D36" s="27" t="s">
        <v>603</v>
      </c>
      <c r="E36" s="64">
        <f>SUMIF(SpeciesBreakdown!$F$19:$F$1016,D36,SpeciesBreakdown!$M$19:$M$1016)</f>
        <v>0</v>
      </c>
      <c r="F36" s="27"/>
      <c r="G36" s="37" t="s">
        <v>604</v>
      </c>
      <c r="H36" s="38" t="s">
        <v>605</v>
      </c>
      <c r="I36" s="52" t="s">
        <v>606</v>
      </c>
      <c r="J36" s="64">
        <f>SUMIF(SpeciesBreakdown!$F$19:$F$1016,I36,SpeciesBreakdown!$M$19:$M$1016)</f>
        <v>0</v>
      </c>
    </row>
    <row r="37" spans="1:10" x14ac:dyDescent="0.3">
      <c r="A37" s="26"/>
      <c r="B37" s="37" t="s">
        <v>607</v>
      </c>
      <c r="C37" s="38" t="s">
        <v>608</v>
      </c>
      <c r="D37" s="27" t="s">
        <v>609</v>
      </c>
      <c r="E37" s="64">
        <f>SUMIF(SpeciesBreakdown!$F$19:$F$1016,D37,SpeciesBreakdown!$M$19:$M$1016)</f>
        <v>0</v>
      </c>
      <c r="F37" s="27"/>
      <c r="G37" s="37" t="s">
        <v>610</v>
      </c>
      <c r="H37" s="38" t="s">
        <v>611</v>
      </c>
      <c r="I37" s="52" t="s">
        <v>612</v>
      </c>
      <c r="J37" s="64">
        <f>SUMIF(SpeciesBreakdown!$F$19:$F$1016,I37,SpeciesBreakdown!$M$19:$M$1016)</f>
        <v>0</v>
      </c>
    </row>
    <row r="38" spans="1:10" x14ac:dyDescent="0.3">
      <c r="A38" s="26"/>
      <c r="B38" s="37" t="s">
        <v>613</v>
      </c>
      <c r="C38" s="38" t="s">
        <v>614</v>
      </c>
      <c r="D38" s="27" t="s">
        <v>615</v>
      </c>
      <c r="E38" s="64">
        <f>SUMIF(SpeciesBreakdown!$F$19:$F$1016,D38,SpeciesBreakdown!$M$19:$M$1016)</f>
        <v>0</v>
      </c>
      <c r="F38" s="27"/>
      <c r="G38" s="37" t="s">
        <v>616</v>
      </c>
      <c r="H38" s="38" t="s">
        <v>617</v>
      </c>
      <c r="I38" s="52" t="s">
        <v>618</v>
      </c>
      <c r="J38" s="64">
        <f>SUMIF(SpeciesBreakdown!$F$19:$F$1016,I38,SpeciesBreakdown!$M$19:$M$1016)</f>
        <v>0</v>
      </c>
    </row>
    <row r="39" spans="1:10" x14ac:dyDescent="0.3">
      <c r="A39" s="26"/>
      <c r="B39" s="37" t="s">
        <v>619</v>
      </c>
      <c r="C39" s="38" t="s">
        <v>620</v>
      </c>
      <c r="D39" s="27" t="s">
        <v>621</v>
      </c>
      <c r="E39" s="64">
        <f>SUMIF(SpeciesBreakdown!$F$19:$F$1016,D39,SpeciesBreakdown!$M$19:$M$1016)</f>
        <v>0</v>
      </c>
      <c r="F39" s="27"/>
      <c r="G39" s="37" t="s">
        <v>622</v>
      </c>
      <c r="H39" s="38" t="s">
        <v>623</v>
      </c>
      <c r="I39" s="52" t="s">
        <v>624</v>
      </c>
      <c r="J39" s="64">
        <f>SUMIF(SpeciesBreakdown!$F$19:$F$1016,I39,SpeciesBreakdown!$M$19:$M$1016)</f>
        <v>0</v>
      </c>
    </row>
    <row r="40" spans="1:10" x14ac:dyDescent="0.3">
      <c r="A40" s="26"/>
      <c r="B40" s="37" t="s">
        <v>625</v>
      </c>
      <c r="C40" s="38" t="s">
        <v>626</v>
      </c>
      <c r="D40" s="27" t="s">
        <v>627</v>
      </c>
      <c r="E40" s="64">
        <f>SUMIF(SpeciesBreakdown!$F$19:$F$1016,D40,SpeciesBreakdown!$M$19:$M$1016)</f>
        <v>0</v>
      </c>
      <c r="F40" s="27"/>
      <c r="G40" s="49" t="s">
        <v>628</v>
      </c>
      <c r="H40" s="38" t="s">
        <v>629</v>
      </c>
      <c r="I40" s="52" t="s">
        <v>630</v>
      </c>
      <c r="J40" s="64">
        <f>SUMIF(SpeciesBreakdown!$F$19:$F$1016,I40,SpeciesBreakdown!$M$19:$M$1016)</f>
        <v>0</v>
      </c>
    </row>
    <row r="41" spans="1:10" x14ac:dyDescent="0.3">
      <c r="A41" s="26"/>
      <c r="B41" s="37" t="s">
        <v>631</v>
      </c>
      <c r="C41" s="38" t="s">
        <v>632</v>
      </c>
      <c r="D41" s="27" t="s">
        <v>633</v>
      </c>
      <c r="E41" s="64">
        <f>SUMIF(SpeciesBreakdown!$F$19:$F$1016,D41,SpeciesBreakdown!$M$19:$M$1016)</f>
        <v>0</v>
      </c>
      <c r="F41" s="27"/>
      <c r="G41" s="37" t="s">
        <v>634</v>
      </c>
      <c r="H41" s="38" t="s">
        <v>635</v>
      </c>
      <c r="I41" s="52" t="s">
        <v>636</v>
      </c>
      <c r="J41" s="64">
        <f>SUMIF(SpeciesBreakdown!$F$19:$F$1016,I41,SpeciesBreakdown!$M$19:$M$1016)</f>
        <v>0</v>
      </c>
    </row>
    <row r="42" spans="1:10" x14ac:dyDescent="0.3">
      <c r="A42" s="26"/>
      <c r="B42" s="37" t="s">
        <v>637</v>
      </c>
      <c r="C42" s="38" t="s">
        <v>638</v>
      </c>
      <c r="D42" s="27" t="s">
        <v>639</v>
      </c>
      <c r="E42" s="64">
        <f>SUMIF(SpeciesBreakdown!$F$19:$F$1016,D42,SpeciesBreakdown!$M$19:$M$1016)</f>
        <v>0</v>
      </c>
      <c r="F42" s="27"/>
      <c r="G42" s="49" t="s">
        <v>640</v>
      </c>
      <c r="H42" s="38" t="s">
        <v>641</v>
      </c>
      <c r="I42" s="52" t="s">
        <v>642</v>
      </c>
      <c r="J42" s="64">
        <f>SUMIF(SpeciesBreakdown!$F$19:$F$1016,I42,SpeciesBreakdown!$M$19:$M$1016)</f>
        <v>0</v>
      </c>
    </row>
    <row r="43" spans="1:10" x14ac:dyDescent="0.3">
      <c r="A43" s="26"/>
      <c r="B43" s="37" t="s">
        <v>643</v>
      </c>
      <c r="C43" s="38" t="s">
        <v>644</v>
      </c>
      <c r="D43" s="27" t="s">
        <v>645</v>
      </c>
      <c r="E43" s="64">
        <f>SUMIF(SpeciesBreakdown!$F$19:$F$1016,D43,SpeciesBreakdown!$M$19:$M$1016)</f>
        <v>0</v>
      </c>
      <c r="F43" s="27"/>
      <c r="G43" s="49" t="s">
        <v>646</v>
      </c>
      <c r="H43" s="38" t="s">
        <v>647</v>
      </c>
      <c r="I43" s="52" t="s">
        <v>648</v>
      </c>
      <c r="J43" s="64">
        <f>SUMIF(SpeciesBreakdown!$F$19:$F$1016,I43,SpeciesBreakdown!$M$19:$M$1016)</f>
        <v>0</v>
      </c>
    </row>
    <row r="44" spans="1:10" x14ac:dyDescent="0.3">
      <c r="A44" s="26"/>
      <c r="B44" s="37" t="s">
        <v>649</v>
      </c>
      <c r="C44" s="38" t="s">
        <v>650</v>
      </c>
      <c r="D44" s="27" t="s">
        <v>651</v>
      </c>
      <c r="E44" s="64">
        <f>SUMIF(SpeciesBreakdown!$F$19:$F$1016,D44,SpeciesBreakdown!$M$19:$M$1016)</f>
        <v>0</v>
      </c>
      <c r="F44" s="27"/>
      <c r="G44" s="49" t="s">
        <v>652</v>
      </c>
      <c r="H44" s="38" t="s">
        <v>653</v>
      </c>
      <c r="I44" s="52" t="s">
        <v>654</v>
      </c>
      <c r="J44" s="64">
        <f>SUMIF(SpeciesBreakdown!$F$19:$F$1016,I44,SpeciesBreakdown!$M$19:$M$1016)</f>
        <v>0</v>
      </c>
    </row>
    <row r="45" spans="1:10" x14ac:dyDescent="0.3">
      <c r="A45" s="26"/>
      <c r="B45" s="37" t="s">
        <v>655</v>
      </c>
      <c r="C45" s="38" t="s">
        <v>656</v>
      </c>
      <c r="D45" s="27" t="s">
        <v>657</v>
      </c>
      <c r="E45" s="64">
        <f>SUMIF(SpeciesBreakdown!$F$19:$F$1016,D45,SpeciesBreakdown!$M$19:$M$1016)</f>
        <v>0</v>
      </c>
      <c r="F45" s="27"/>
      <c r="G45" s="49" t="s">
        <v>658</v>
      </c>
      <c r="H45" s="38" t="s">
        <v>659</v>
      </c>
      <c r="I45" s="52" t="s">
        <v>660</v>
      </c>
      <c r="J45" s="64">
        <f>SUMIF(SpeciesBreakdown!$F$19:$F$1016,I45,SpeciesBreakdown!$M$19:$M$1016)</f>
        <v>0</v>
      </c>
    </row>
    <row r="46" spans="1:10" x14ac:dyDescent="0.3">
      <c r="A46" s="26"/>
      <c r="B46" s="37" t="s">
        <v>661</v>
      </c>
      <c r="C46" s="38" t="s">
        <v>662</v>
      </c>
      <c r="D46" s="27" t="s">
        <v>663</v>
      </c>
      <c r="E46" s="64">
        <f>SUMIF(SpeciesBreakdown!$F$19:$F$1016,D46,SpeciesBreakdown!$M$19:$M$1016)</f>
        <v>0</v>
      </c>
      <c r="F46" s="27"/>
      <c r="G46" s="37" t="s">
        <v>664</v>
      </c>
      <c r="H46" s="38" t="s">
        <v>665</v>
      </c>
      <c r="I46" s="52" t="s">
        <v>666</v>
      </c>
      <c r="J46" s="64">
        <f>SUMIF(SpeciesBreakdown!$F$19:$F$1016,I46,SpeciesBreakdown!$M$19:$M$1016)</f>
        <v>0</v>
      </c>
    </row>
    <row r="47" spans="1:10" x14ac:dyDescent="0.3">
      <c r="A47" s="26"/>
      <c r="B47" s="37" t="s">
        <v>667</v>
      </c>
      <c r="C47" s="38" t="s">
        <v>668</v>
      </c>
      <c r="D47" s="27" t="s">
        <v>669</v>
      </c>
      <c r="E47" s="64">
        <f>SUMIF(SpeciesBreakdown!$F$19:$F$1016,D47,SpeciesBreakdown!$M$19:$M$1016)</f>
        <v>0</v>
      </c>
      <c r="F47" s="27"/>
      <c r="G47" s="49" t="s">
        <v>670</v>
      </c>
      <c r="H47" s="38" t="s">
        <v>671</v>
      </c>
      <c r="I47" s="52" t="s">
        <v>672</v>
      </c>
      <c r="J47" s="64">
        <f>SUMIF(SpeciesBreakdown!$F$19:$F$1016,I47,SpeciesBreakdown!$M$19:$M$1016)</f>
        <v>0</v>
      </c>
    </row>
    <row r="48" spans="1:10" x14ac:dyDescent="0.3">
      <c r="A48" s="26"/>
      <c r="B48" s="37" t="s">
        <v>673</v>
      </c>
      <c r="C48" s="38" t="s">
        <v>674</v>
      </c>
      <c r="D48" s="27" t="s">
        <v>675</v>
      </c>
      <c r="E48" s="64">
        <f>SUMIF(SpeciesBreakdown!$F$19:$F$1016,D48,SpeciesBreakdown!$M$19:$M$1016)</f>
        <v>0</v>
      </c>
      <c r="F48" s="27"/>
      <c r="G48" s="49" t="s">
        <v>676</v>
      </c>
      <c r="H48" s="38" t="s">
        <v>677</v>
      </c>
      <c r="I48" s="52" t="s">
        <v>678</v>
      </c>
      <c r="J48" s="64">
        <f>SUMIF(SpeciesBreakdown!$F$19:$F$1016,I48,SpeciesBreakdown!$M$19:$M$1016)</f>
        <v>0</v>
      </c>
    </row>
    <row r="49" spans="1:10" x14ac:dyDescent="0.3">
      <c r="A49" s="26"/>
      <c r="B49" s="37" t="s">
        <v>679</v>
      </c>
      <c r="C49" s="38" t="s">
        <v>680</v>
      </c>
      <c r="D49" s="27" t="s">
        <v>681</v>
      </c>
      <c r="E49" s="64">
        <f>SUMIF(SpeciesBreakdown!$F$19:$F$1016,D49,SpeciesBreakdown!$M$19:$M$1016)</f>
        <v>0</v>
      </c>
      <c r="F49" s="27"/>
      <c r="G49" s="49" t="s">
        <v>682</v>
      </c>
      <c r="H49" s="38" t="s">
        <v>683</v>
      </c>
      <c r="I49" s="52" t="s">
        <v>684</v>
      </c>
      <c r="J49" s="64">
        <f>SUMIF(SpeciesBreakdown!$F$19:$F$1016,I49,SpeciesBreakdown!$M$19:$M$1016)</f>
        <v>0</v>
      </c>
    </row>
    <row r="50" spans="1:10" x14ac:dyDescent="0.3">
      <c r="A50" s="26"/>
      <c r="B50" s="37" t="s">
        <v>685</v>
      </c>
      <c r="C50" s="38" t="s">
        <v>686</v>
      </c>
      <c r="D50" s="27" t="s">
        <v>687</v>
      </c>
      <c r="E50" s="64">
        <f>SUMIF(SpeciesBreakdown!$F$19:$F$1016,D50,SpeciesBreakdown!$M$19:$M$1016)</f>
        <v>0</v>
      </c>
      <c r="F50" s="27"/>
      <c r="G50" s="49" t="s">
        <v>688</v>
      </c>
      <c r="H50" s="38" t="s">
        <v>689</v>
      </c>
      <c r="I50" s="52" t="s">
        <v>690</v>
      </c>
      <c r="J50" s="64">
        <f>SUMIF(SpeciesBreakdown!$F$19:$F$1016,I50,SpeciesBreakdown!$M$19:$M$1016)</f>
        <v>0</v>
      </c>
    </row>
    <row r="51" spans="1:10" x14ac:dyDescent="0.3">
      <c r="A51" s="26"/>
      <c r="B51" s="39" t="s">
        <v>691</v>
      </c>
      <c r="C51" s="40" t="s">
        <v>692</v>
      </c>
      <c r="D51" s="41" t="s">
        <v>693</v>
      </c>
      <c r="E51" s="140">
        <f>SUMIF(SpeciesBreakdown!$F$19:$F$1016,D51,SpeciesBreakdown!$M$19:$M$1016)</f>
        <v>0</v>
      </c>
      <c r="F51" s="27"/>
      <c r="G51" s="55" t="s">
        <v>694</v>
      </c>
      <c r="H51" s="38" t="s">
        <v>695</v>
      </c>
      <c r="I51" s="52" t="s">
        <v>696</v>
      </c>
      <c r="J51" s="64">
        <f>SUMIF(SpeciesBreakdown!$F$19:$F$1016,I51,SpeciesBreakdown!$M$19:$M$1016)</f>
        <v>0</v>
      </c>
    </row>
    <row r="52" spans="1:10" x14ac:dyDescent="0.3">
      <c r="A52" s="26"/>
      <c r="B52" s="27"/>
      <c r="C52" s="38"/>
      <c r="D52" s="27"/>
      <c r="E52" s="36"/>
      <c r="F52" s="27"/>
      <c r="G52" s="49" t="s">
        <v>697</v>
      </c>
      <c r="H52" s="38" t="s">
        <v>698</v>
      </c>
      <c r="I52" s="52" t="s">
        <v>699</v>
      </c>
      <c r="J52" s="64">
        <f>SUMIF(SpeciesBreakdown!$F$19:$F$1016,I52,SpeciesBreakdown!$M$19:$M$1016)</f>
        <v>0</v>
      </c>
    </row>
    <row r="53" spans="1:10" x14ac:dyDescent="0.3">
      <c r="A53" s="26"/>
      <c r="B53" s="27"/>
      <c r="C53" s="38"/>
      <c r="D53" s="27"/>
      <c r="E53" s="27"/>
      <c r="F53" s="27"/>
      <c r="G53" s="49" t="s">
        <v>700</v>
      </c>
      <c r="H53" s="38" t="s">
        <v>701</v>
      </c>
      <c r="I53" s="52" t="s">
        <v>702</v>
      </c>
      <c r="J53" s="64">
        <f>SUMIF(SpeciesBreakdown!$F$19:$F$1016,I53,SpeciesBreakdown!$M$19:$M$1016)</f>
        <v>0</v>
      </c>
    </row>
    <row r="54" spans="1:10" ht="15" x14ac:dyDescent="0.3">
      <c r="A54" s="26"/>
      <c r="B54" s="838" t="s">
        <v>703</v>
      </c>
      <c r="C54" s="839"/>
      <c r="D54" s="839"/>
      <c r="E54" s="840"/>
      <c r="F54" s="27"/>
      <c r="G54" s="37" t="s">
        <v>704</v>
      </c>
      <c r="H54" s="38" t="s">
        <v>705</v>
      </c>
      <c r="I54" s="52" t="s">
        <v>706</v>
      </c>
      <c r="J54" s="64">
        <f>SUMIF(SpeciesBreakdown!$F$19:$F$1016,I54,SpeciesBreakdown!$M$19:$M$1016)</f>
        <v>0</v>
      </c>
    </row>
    <row r="55" spans="1:10" x14ac:dyDescent="0.3">
      <c r="A55" s="26"/>
      <c r="B55" s="31" t="s">
        <v>492</v>
      </c>
      <c r="C55" s="32" t="s">
        <v>493</v>
      </c>
      <c r="D55" s="33" t="s">
        <v>494</v>
      </c>
      <c r="E55" s="48" t="s">
        <v>495</v>
      </c>
      <c r="F55" s="27"/>
      <c r="G55" s="49" t="s">
        <v>707</v>
      </c>
      <c r="H55" s="38" t="s">
        <v>708</v>
      </c>
      <c r="I55" s="52" t="s">
        <v>709</v>
      </c>
      <c r="J55" s="64">
        <f>SUMIF(SpeciesBreakdown!$F$19:$F$1016,I55,SpeciesBreakdown!$M$19:$M$1016)</f>
        <v>0</v>
      </c>
    </row>
    <row r="56" spans="1:10" x14ac:dyDescent="0.3">
      <c r="A56" s="26"/>
      <c r="B56" s="49" t="s">
        <v>710</v>
      </c>
      <c r="C56" s="50" t="s">
        <v>275</v>
      </c>
      <c r="D56" s="51" t="s">
        <v>711</v>
      </c>
      <c r="E56" s="64">
        <f>SUMIF(SpeciesBreakdown!$F$19:$F$1016,D56,SpeciesBreakdown!$M$19:$M$1016)</f>
        <v>0</v>
      </c>
      <c r="F56" s="27"/>
      <c r="G56" s="37" t="s">
        <v>712</v>
      </c>
      <c r="H56" s="38" t="s">
        <v>713</v>
      </c>
      <c r="I56" s="52" t="s">
        <v>714</v>
      </c>
      <c r="J56" s="64">
        <f>SUMIF(SpeciesBreakdown!$F$19:$F$1016,I56,SpeciesBreakdown!$M$19:$M$1016)</f>
        <v>0</v>
      </c>
    </row>
    <row r="57" spans="1:10" x14ac:dyDescent="0.3">
      <c r="A57" s="26"/>
      <c r="B57" s="49" t="s">
        <v>715</v>
      </c>
      <c r="C57" s="27" t="s">
        <v>275</v>
      </c>
      <c r="D57" s="52" t="s">
        <v>716</v>
      </c>
      <c r="E57" s="64">
        <f>SUMIF(SpeciesBreakdown!$F$19:$F$1016,D57,SpeciesBreakdown!$M$19:$M$1016)</f>
        <v>0</v>
      </c>
      <c r="F57" s="27"/>
      <c r="G57" s="49" t="s">
        <v>717</v>
      </c>
      <c r="H57" s="38" t="s">
        <v>718</v>
      </c>
      <c r="I57" s="52" t="s">
        <v>719</v>
      </c>
      <c r="J57" s="64">
        <f>SUMIF(SpeciesBreakdown!$F$19:$F$1016,I57,SpeciesBreakdown!$M$19:$M$1016)</f>
        <v>0</v>
      </c>
    </row>
    <row r="58" spans="1:10" x14ac:dyDescent="0.3">
      <c r="A58" s="26"/>
      <c r="B58" s="49" t="s">
        <v>720</v>
      </c>
      <c r="C58" s="38" t="s">
        <v>721</v>
      </c>
      <c r="D58" s="52" t="s">
        <v>722</v>
      </c>
      <c r="E58" s="64">
        <f>SUMIF(SpeciesBreakdown!$F$19:$F$1016,D58,SpeciesBreakdown!$M$19:$M$1016)</f>
        <v>0</v>
      </c>
      <c r="F58" s="27"/>
      <c r="G58" s="49" t="s">
        <v>723</v>
      </c>
      <c r="H58" s="38" t="s">
        <v>724</v>
      </c>
      <c r="I58" s="52" t="s">
        <v>725</v>
      </c>
      <c r="J58" s="64">
        <f>SUMIF(SpeciesBreakdown!$F$19:$F$1016,I58,SpeciesBreakdown!$M$19:$M$1016)</f>
        <v>0</v>
      </c>
    </row>
    <row r="59" spans="1:10" x14ac:dyDescent="0.3">
      <c r="A59" s="26"/>
      <c r="B59" s="55" t="s">
        <v>726</v>
      </c>
      <c r="C59" s="38" t="s">
        <v>727</v>
      </c>
      <c r="D59" s="52" t="s">
        <v>728</v>
      </c>
      <c r="E59" s="64">
        <f>SUMIF(SpeciesBreakdown!$F$19:$F$1016,D59,SpeciesBreakdown!$M$19:$M$1016)</f>
        <v>0</v>
      </c>
      <c r="F59" s="27"/>
      <c r="G59" s="49" t="s">
        <v>729</v>
      </c>
      <c r="H59" s="38" t="s">
        <v>730</v>
      </c>
      <c r="I59" s="52" t="s">
        <v>731</v>
      </c>
      <c r="J59" s="64">
        <f>SUMIF(SpeciesBreakdown!$F$19:$F$1016,I59,SpeciesBreakdown!$M$19:$M$1016)</f>
        <v>0</v>
      </c>
    </row>
    <row r="60" spans="1:10" x14ac:dyDescent="0.3">
      <c r="A60" s="26"/>
      <c r="B60" s="49" t="s">
        <v>732</v>
      </c>
      <c r="C60" s="38" t="s">
        <v>733</v>
      </c>
      <c r="D60" s="52" t="s">
        <v>734</v>
      </c>
      <c r="E60" s="64">
        <f>SUMIF(SpeciesBreakdown!$F$19:$F$1016,D60,SpeciesBreakdown!$M$19:$M$1016)</f>
        <v>0</v>
      </c>
      <c r="F60" s="27"/>
      <c r="G60" s="49" t="s">
        <v>735</v>
      </c>
      <c r="H60" s="38" t="s">
        <v>736</v>
      </c>
      <c r="I60" s="52" t="s">
        <v>737</v>
      </c>
      <c r="J60" s="64">
        <f>SUMIF(SpeciesBreakdown!$F$19:$F$1016,I60,SpeciesBreakdown!$M$19:$M$1016)</f>
        <v>0</v>
      </c>
    </row>
    <row r="61" spans="1:10" x14ac:dyDescent="0.3">
      <c r="A61" s="26"/>
      <c r="B61" s="37" t="s">
        <v>738</v>
      </c>
      <c r="C61" s="38" t="s">
        <v>739</v>
      </c>
      <c r="D61" s="52" t="s">
        <v>740</v>
      </c>
      <c r="E61" s="64">
        <f>SUMIF(SpeciesBreakdown!$F$19:$F$1016,D61,SpeciesBreakdown!$M$19:$M$1016)</f>
        <v>0</v>
      </c>
      <c r="F61" s="27"/>
      <c r="G61" s="49" t="s">
        <v>741</v>
      </c>
      <c r="H61" s="38" t="s">
        <v>742</v>
      </c>
      <c r="I61" s="52" t="s">
        <v>743</v>
      </c>
      <c r="J61" s="64">
        <f>SUMIF(SpeciesBreakdown!$F$19:$F$1016,I61,SpeciesBreakdown!$M$19:$M$1016)</f>
        <v>0</v>
      </c>
    </row>
    <row r="62" spans="1:10" x14ac:dyDescent="0.3">
      <c r="A62" s="26"/>
      <c r="B62" s="37" t="s">
        <v>744</v>
      </c>
      <c r="C62" s="38" t="s">
        <v>745</v>
      </c>
      <c r="D62" s="52" t="s">
        <v>746</v>
      </c>
      <c r="E62" s="64">
        <f>SUMIF(SpeciesBreakdown!$F$19:$F$1016,D62,SpeciesBreakdown!$M$19:$M$1016)</f>
        <v>0</v>
      </c>
      <c r="F62" s="27"/>
      <c r="G62" s="49" t="s">
        <v>747</v>
      </c>
      <c r="H62" s="38" t="s">
        <v>748</v>
      </c>
      <c r="I62" s="52" t="s">
        <v>749</v>
      </c>
      <c r="J62" s="64">
        <f>SUMIF(SpeciesBreakdown!$F$19:$F$1016,I62,SpeciesBreakdown!$M$19:$M$1016)</f>
        <v>0</v>
      </c>
    </row>
    <row r="63" spans="1:10" x14ac:dyDescent="0.3">
      <c r="A63" s="26"/>
      <c r="B63" s="49" t="s">
        <v>750</v>
      </c>
      <c r="C63" s="38" t="s">
        <v>751</v>
      </c>
      <c r="D63" s="52" t="s">
        <v>752</v>
      </c>
      <c r="E63" s="64">
        <f>SUMIF(SpeciesBreakdown!$F$19:$F$1016,D63,SpeciesBreakdown!$M$19:$M$1016)</f>
        <v>0</v>
      </c>
      <c r="F63" s="27"/>
      <c r="G63" s="37" t="s">
        <v>753</v>
      </c>
      <c r="H63" s="38" t="s">
        <v>754</v>
      </c>
      <c r="I63" s="52" t="s">
        <v>755</v>
      </c>
      <c r="J63" s="64">
        <f>SUMIF(SpeciesBreakdown!$F$19:$F$1016,I63,SpeciesBreakdown!$M$19:$M$1016)</f>
        <v>0</v>
      </c>
    </row>
    <row r="64" spans="1:10" x14ac:dyDescent="0.3">
      <c r="A64" s="26"/>
      <c r="B64" s="49" t="s">
        <v>756</v>
      </c>
      <c r="C64" s="38" t="s">
        <v>757</v>
      </c>
      <c r="D64" s="52" t="s">
        <v>758</v>
      </c>
      <c r="E64" s="64">
        <f>SUMIF(SpeciesBreakdown!$F$19:$F$1016,D64,SpeciesBreakdown!$M$19:$M$1016)</f>
        <v>0</v>
      </c>
      <c r="F64" s="27"/>
      <c r="G64" s="37" t="s">
        <v>759</v>
      </c>
      <c r="H64" s="38" t="s">
        <v>760</v>
      </c>
      <c r="I64" s="52" t="s">
        <v>761</v>
      </c>
      <c r="J64" s="64">
        <f>SUMIF(SpeciesBreakdown!$F$19:$F$1016,I64,SpeciesBreakdown!$M$19:$M$1016)</f>
        <v>0</v>
      </c>
    </row>
    <row r="65" spans="1:10" x14ac:dyDescent="0.3">
      <c r="A65" s="26"/>
      <c r="B65" s="49" t="s">
        <v>762</v>
      </c>
      <c r="C65" s="38" t="s">
        <v>763</v>
      </c>
      <c r="D65" s="52" t="s">
        <v>764</v>
      </c>
      <c r="E65" s="64">
        <f>SUMIF(SpeciesBreakdown!$F$19:$F$1016,D65,SpeciesBreakdown!$M$19:$M$1016)</f>
        <v>0</v>
      </c>
      <c r="F65" s="27"/>
      <c r="G65" s="37" t="s">
        <v>765</v>
      </c>
      <c r="H65" s="38" t="s">
        <v>766</v>
      </c>
      <c r="I65" s="52" t="s">
        <v>767</v>
      </c>
      <c r="J65" s="64">
        <f>SUMIF(SpeciesBreakdown!$F$19:$F$1016,I65,SpeciesBreakdown!$M$19:$M$1016)</f>
        <v>0</v>
      </c>
    </row>
    <row r="66" spans="1:10" x14ac:dyDescent="0.3">
      <c r="A66" s="26"/>
      <c r="B66" s="49" t="s">
        <v>768</v>
      </c>
      <c r="C66" s="38" t="s">
        <v>769</v>
      </c>
      <c r="D66" s="52" t="s">
        <v>770</v>
      </c>
      <c r="E66" s="64">
        <f>SUMIF(SpeciesBreakdown!$F$19:$F$1016,D66,SpeciesBreakdown!$M$19:$M$1016)</f>
        <v>0</v>
      </c>
      <c r="F66" s="27"/>
      <c r="G66" s="37" t="s">
        <v>771</v>
      </c>
      <c r="H66" s="38" t="s">
        <v>772</v>
      </c>
      <c r="I66" s="52" t="s">
        <v>773</v>
      </c>
      <c r="J66" s="64">
        <f>SUMIF(SpeciesBreakdown!$F$19:$F$1016,I66,SpeciesBreakdown!$M$19:$M$1016)</f>
        <v>0</v>
      </c>
    </row>
    <row r="67" spans="1:10" x14ac:dyDescent="0.3">
      <c r="A67" s="26"/>
      <c r="B67" s="49" t="s">
        <v>774</v>
      </c>
      <c r="C67" s="38" t="s">
        <v>775</v>
      </c>
      <c r="D67" s="52" t="s">
        <v>776</v>
      </c>
      <c r="E67" s="64">
        <f>SUMIF(SpeciesBreakdown!$F$19:$F$1016,D67,SpeciesBreakdown!$M$19:$M$1016)</f>
        <v>0</v>
      </c>
      <c r="F67" s="27"/>
      <c r="G67" s="39" t="s">
        <v>777</v>
      </c>
      <c r="H67" s="40" t="s">
        <v>778</v>
      </c>
      <c r="I67" s="56" t="s">
        <v>779</v>
      </c>
      <c r="J67" s="140">
        <f>SUMIF(SpeciesBreakdown!$F$19:$F$1016,I67,SpeciesBreakdown!$M$19:$M$1016)</f>
        <v>0</v>
      </c>
    </row>
    <row r="68" spans="1:10" x14ac:dyDescent="0.3">
      <c r="A68" s="26"/>
      <c r="B68" s="55" t="s">
        <v>780</v>
      </c>
      <c r="C68" s="38" t="s">
        <v>781</v>
      </c>
      <c r="D68" s="52" t="s">
        <v>782</v>
      </c>
      <c r="E68" s="64">
        <f>SUMIF(SpeciesBreakdown!$F$19:$F$1016,D68,SpeciesBreakdown!$M$19:$M$1016)</f>
        <v>0</v>
      </c>
      <c r="F68" s="835"/>
      <c r="G68" s="835"/>
      <c r="H68" s="38"/>
      <c r="I68" s="27"/>
    </row>
    <row r="69" spans="1:10" x14ac:dyDescent="0.3">
      <c r="A69" s="26"/>
      <c r="B69" s="55" t="s">
        <v>783</v>
      </c>
      <c r="C69" s="38" t="s">
        <v>784</v>
      </c>
      <c r="D69" s="52" t="s">
        <v>785</v>
      </c>
      <c r="E69" s="64">
        <f>SUMIF(SpeciesBreakdown!$F$19:$F$1016,D69,SpeciesBreakdown!$M$19:$M$1016)</f>
        <v>0</v>
      </c>
      <c r="F69" s="835"/>
      <c r="G69" s="835"/>
      <c r="H69" s="38"/>
      <c r="I69" s="27"/>
    </row>
    <row r="70" spans="1:10" ht="15" x14ac:dyDescent="0.3">
      <c r="A70" s="26"/>
      <c r="B70" s="49" t="s">
        <v>786</v>
      </c>
      <c r="C70" s="38" t="s">
        <v>787</v>
      </c>
      <c r="D70" s="52" t="s">
        <v>788</v>
      </c>
      <c r="E70" s="64">
        <f>SUMIF(SpeciesBreakdown!$F$19:$F$1016,D70,SpeciesBreakdown!$M$19:$M$1016)</f>
        <v>0</v>
      </c>
      <c r="F70" s="27"/>
      <c r="G70" s="830" t="s">
        <v>789</v>
      </c>
      <c r="H70" s="831"/>
      <c r="I70" s="831"/>
      <c r="J70" s="832"/>
    </row>
    <row r="71" spans="1:10" ht="12.75" customHeight="1" x14ac:dyDescent="0.3">
      <c r="A71" s="26"/>
      <c r="B71" s="49" t="s">
        <v>790</v>
      </c>
      <c r="C71" s="38" t="s">
        <v>791</v>
      </c>
      <c r="D71" s="52" t="s">
        <v>792</v>
      </c>
      <c r="E71" s="64">
        <f>SUMIF(SpeciesBreakdown!$F$19:$F$1016,D71,SpeciesBreakdown!$M$19:$M$1016)</f>
        <v>0</v>
      </c>
      <c r="F71" s="27"/>
      <c r="G71" s="141" t="s">
        <v>492</v>
      </c>
      <c r="H71" s="142" t="s">
        <v>493</v>
      </c>
      <c r="I71" s="143" t="s">
        <v>494</v>
      </c>
      <c r="J71" s="48" t="s">
        <v>495</v>
      </c>
    </row>
    <row r="72" spans="1:10" x14ac:dyDescent="0.3">
      <c r="A72" s="26"/>
      <c r="B72" s="49" t="s">
        <v>793</v>
      </c>
      <c r="C72" s="38" t="s">
        <v>794</v>
      </c>
      <c r="D72" s="52" t="s">
        <v>795</v>
      </c>
      <c r="E72" s="64">
        <f>SUMIF(SpeciesBreakdown!$F$19:$F$1016,D72,SpeciesBreakdown!$M$19:$M$1016)</f>
        <v>0</v>
      </c>
      <c r="F72" s="27"/>
      <c r="G72" s="57" t="s">
        <v>796</v>
      </c>
      <c r="H72" s="58" t="s">
        <v>797</v>
      </c>
      <c r="I72" s="59" t="s">
        <v>798</v>
      </c>
      <c r="J72" s="60">
        <f>SUMIF(SpeciesBreakdown!$F$19:$F$1016,I72,SpeciesBreakdown!$M$19:$M$1016)</f>
        <v>0</v>
      </c>
    </row>
    <row r="73" spans="1:10" x14ac:dyDescent="0.3">
      <c r="A73" s="26"/>
      <c r="B73" s="49" t="s">
        <v>799</v>
      </c>
      <c r="C73" s="38" t="s">
        <v>800</v>
      </c>
      <c r="D73" s="52" t="s">
        <v>801</v>
      </c>
      <c r="E73" s="64">
        <f>SUMIF(SpeciesBreakdown!$F$19:$F$1016,D73,SpeciesBreakdown!$M$19:$M$1016)</f>
        <v>0</v>
      </c>
      <c r="F73" s="835"/>
      <c r="G73" s="835"/>
      <c r="H73" s="27"/>
      <c r="I73" s="27"/>
    </row>
    <row r="74" spans="1:10" x14ac:dyDescent="0.3">
      <c r="A74" s="26"/>
      <c r="B74" s="49" t="s">
        <v>802</v>
      </c>
      <c r="C74" s="38" t="s">
        <v>803</v>
      </c>
      <c r="D74" s="52" t="s">
        <v>804</v>
      </c>
      <c r="E74" s="64">
        <f>SUMIF(SpeciesBreakdown!$F$19:$F$1016,D74,SpeciesBreakdown!$M$19:$M$1016)</f>
        <v>0</v>
      </c>
      <c r="F74" s="835"/>
      <c r="G74" s="835"/>
      <c r="H74" s="27"/>
      <c r="I74" s="27"/>
    </row>
    <row r="75" spans="1:10" ht="15" x14ac:dyDescent="0.3">
      <c r="A75" s="26"/>
      <c r="B75" s="37" t="s">
        <v>805</v>
      </c>
      <c r="C75" s="38" t="s">
        <v>806</v>
      </c>
      <c r="D75" s="52" t="s">
        <v>807</v>
      </c>
      <c r="E75" s="64">
        <f>SUMIF(SpeciesBreakdown!$F$19:$F$1016,D75,SpeciesBreakdown!$M$19:$M$1016)</f>
        <v>0</v>
      </c>
      <c r="F75" s="27"/>
      <c r="G75" s="830" t="s">
        <v>808</v>
      </c>
      <c r="H75" s="831"/>
      <c r="I75" s="831"/>
      <c r="J75" s="832"/>
    </row>
    <row r="76" spans="1:10" ht="12.75" customHeight="1" x14ac:dyDescent="0.3">
      <c r="A76" s="26"/>
      <c r="B76" s="37" t="s">
        <v>809</v>
      </c>
      <c r="C76" s="38" t="s">
        <v>810</v>
      </c>
      <c r="D76" s="52" t="s">
        <v>811</v>
      </c>
      <c r="E76" s="64">
        <f>SUMIF(SpeciesBreakdown!$F$19:$F$1016,D76,SpeciesBreakdown!$M$19:$M$1016)</f>
        <v>0</v>
      </c>
      <c r="F76" s="27"/>
      <c r="G76" s="144" t="s">
        <v>492</v>
      </c>
      <c r="H76" s="145" t="s">
        <v>493</v>
      </c>
      <c r="I76" s="146" t="s">
        <v>494</v>
      </c>
      <c r="J76" s="34" t="s">
        <v>495</v>
      </c>
    </row>
    <row r="77" spans="1:10" x14ac:dyDescent="0.3">
      <c r="A77" s="26"/>
      <c r="B77" s="49" t="s">
        <v>812</v>
      </c>
      <c r="C77" s="38" t="s">
        <v>813</v>
      </c>
      <c r="D77" s="52" t="s">
        <v>814</v>
      </c>
      <c r="E77" s="64">
        <f>SUMIF(SpeciesBreakdown!$F$19:$F$1016,D77,SpeciesBreakdown!$M$19:$M$1016)</f>
        <v>0</v>
      </c>
      <c r="F77" s="27"/>
      <c r="G77" s="61" t="s">
        <v>815</v>
      </c>
      <c r="H77" s="62"/>
      <c r="I77" s="50" t="s">
        <v>816</v>
      </c>
      <c r="J77" s="53">
        <f>SUMIF(SpeciesBreakdown!$F$19:$F$1016,I77,SpeciesBreakdown!$M$19:$M$1016)</f>
        <v>0</v>
      </c>
    </row>
    <row r="78" spans="1:10" x14ac:dyDescent="0.3">
      <c r="A78" s="26"/>
      <c r="B78" s="37" t="s">
        <v>817</v>
      </c>
      <c r="C78" s="38" t="s">
        <v>818</v>
      </c>
      <c r="D78" s="52" t="s">
        <v>819</v>
      </c>
      <c r="E78" s="64">
        <f>SUMIF(SpeciesBreakdown!$F$19:$F$1016,D78,SpeciesBreakdown!$M$19:$M$1016)</f>
        <v>0</v>
      </c>
      <c r="F78" s="27"/>
      <c r="G78" s="37" t="s">
        <v>820</v>
      </c>
      <c r="H78" s="38" t="s">
        <v>821</v>
      </c>
      <c r="I78" s="27" t="s">
        <v>822</v>
      </c>
      <c r="J78" s="53">
        <f>SUMIF(SpeciesBreakdown!$F$19:$F$1016,I78,SpeciesBreakdown!$M$19:$M$1016)</f>
        <v>0</v>
      </c>
    </row>
    <row r="79" spans="1:10" x14ac:dyDescent="0.3">
      <c r="A79" s="26"/>
      <c r="B79" s="37" t="s">
        <v>823</v>
      </c>
      <c r="C79" s="38" t="s">
        <v>824</v>
      </c>
      <c r="D79" s="52" t="s">
        <v>825</v>
      </c>
      <c r="E79" s="64">
        <f>SUMIF(SpeciesBreakdown!$F$19:$F$1016,D79,SpeciesBreakdown!$M$19:$M$1016)</f>
        <v>0</v>
      </c>
      <c r="F79" s="27"/>
      <c r="G79" s="37" t="s">
        <v>826</v>
      </c>
      <c r="H79" s="38" t="s">
        <v>827</v>
      </c>
      <c r="I79" s="27" t="s">
        <v>828</v>
      </c>
      <c r="J79" s="53">
        <f>SUMIF(SpeciesBreakdown!$F$19:$F$1016,I79,SpeciesBreakdown!$M$19:$M$1016)</f>
        <v>0</v>
      </c>
    </row>
    <row r="80" spans="1:10" x14ac:dyDescent="0.3">
      <c r="A80" s="26"/>
      <c r="B80" s="49" t="s">
        <v>829</v>
      </c>
      <c r="C80" s="38" t="s">
        <v>830</v>
      </c>
      <c r="D80" s="52" t="s">
        <v>831</v>
      </c>
      <c r="E80" s="64">
        <f>SUMIF(SpeciesBreakdown!$F$19:$F$1016,D80,SpeciesBreakdown!$M$19:$M$1016)</f>
        <v>0</v>
      </c>
      <c r="F80" s="27"/>
      <c r="G80" s="37" t="s">
        <v>832</v>
      </c>
      <c r="H80" s="38" t="s">
        <v>833</v>
      </c>
      <c r="I80" s="27" t="s">
        <v>834</v>
      </c>
      <c r="J80" s="53">
        <f>SUMIF(SpeciesBreakdown!$F$19:$F$1016,I80,SpeciesBreakdown!$M$19:$M$1016)</f>
        <v>0</v>
      </c>
    </row>
    <row r="81" spans="1:10" x14ac:dyDescent="0.3">
      <c r="A81" s="26"/>
      <c r="B81" s="49" t="s">
        <v>835</v>
      </c>
      <c r="C81" s="38" t="s">
        <v>836</v>
      </c>
      <c r="D81" s="52" t="s">
        <v>837</v>
      </c>
      <c r="E81" s="64">
        <f>SUMIF(SpeciesBreakdown!$F$19:$F$1016,D81,SpeciesBreakdown!$M$19:$M$1016)</f>
        <v>0</v>
      </c>
      <c r="F81" s="27"/>
      <c r="G81" s="37" t="s">
        <v>838</v>
      </c>
      <c r="H81" s="38" t="s">
        <v>839</v>
      </c>
      <c r="I81" s="27" t="s">
        <v>840</v>
      </c>
      <c r="J81" s="53">
        <f>SUMIF(SpeciesBreakdown!$F$19:$F$1016,I81,SpeciesBreakdown!$M$19:$M$1016)</f>
        <v>0</v>
      </c>
    </row>
    <row r="82" spans="1:10" x14ac:dyDescent="0.3">
      <c r="A82" s="26"/>
      <c r="B82" s="49" t="s">
        <v>841</v>
      </c>
      <c r="C82" s="38" t="s">
        <v>842</v>
      </c>
      <c r="D82" s="52" t="s">
        <v>843</v>
      </c>
      <c r="E82" s="64">
        <f>SUMIF(SpeciesBreakdown!$F$19:$F$1016,D82,SpeciesBreakdown!$M$19:$M$1016)</f>
        <v>0</v>
      </c>
      <c r="F82" s="27"/>
      <c r="G82" s="37" t="s">
        <v>844</v>
      </c>
      <c r="H82" s="38" t="s">
        <v>845</v>
      </c>
      <c r="I82" s="27" t="s">
        <v>846</v>
      </c>
      <c r="J82" s="53">
        <f>SUMIF(SpeciesBreakdown!$F$19:$F$1016,I82,SpeciesBreakdown!$M$19:$M$1016)</f>
        <v>0</v>
      </c>
    </row>
    <row r="83" spans="1:10" x14ac:dyDescent="0.3">
      <c r="A83" s="26"/>
      <c r="B83" s="49" t="s">
        <v>847</v>
      </c>
      <c r="C83" s="38" t="s">
        <v>848</v>
      </c>
      <c r="D83" s="52" t="s">
        <v>849</v>
      </c>
      <c r="E83" s="64">
        <f>SUMIF(SpeciesBreakdown!$F$19:$F$1016,D83,SpeciesBreakdown!$M$19:$M$1016)</f>
        <v>0</v>
      </c>
      <c r="F83" s="27"/>
      <c r="G83" s="37" t="s">
        <v>850</v>
      </c>
      <c r="H83" s="38" t="s">
        <v>851</v>
      </c>
      <c r="I83" s="27" t="s">
        <v>852</v>
      </c>
      <c r="J83" s="53">
        <f>SUMIF(SpeciesBreakdown!$F$19:$F$1016,I83,SpeciesBreakdown!$M$19:$M$1016)</f>
        <v>0</v>
      </c>
    </row>
    <row r="84" spans="1:10" x14ac:dyDescent="0.3">
      <c r="A84" s="26"/>
      <c r="B84" s="37" t="s">
        <v>853</v>
      </c>
      <c r="C84" s="38" t="s">
        <v>854</v>
      </c>
      <c r="D84" s="52" t="s">
        <v>855</v>
      </c>
      <c r="E84" s="64">
        <f>SUMIF(SpeciesBreakdown!$F$19:$F$1016,D84,SpeciesBreakdown!$M$19:$M$1016)</f>
        <v>0</v>
      </c>
      <c r="F84" s="27"/>
      <c r="G84" s="37" t="s">
        <v>856</v>
      </c>
      <c r="H84" s="38" t="s">
        <v>857</v>
      </c>
      <c r="I84" s="27" t="s">
        <v>858</v>
      </c>
      <c r="J84" s="53">
        <f>SUMIF(SpeciesBreakdown!$F$19:$F$1016,I84,SpeciesBreakdown!$M$19:$M$1016)</f>
        <v>0</v>
      </c>
    </row>
    <row r="85" spans="1:10" x14ac:dyDescent="0.3">
      <c r="A85" s="26"/>
      <c r="B85" s="37" t="s">
        <v>859</v>
      </c>
      <c r="C85" s="38" t="s">
        <v>860</v>
      </c>
      <c r="D85" s="52" t="s">
        <v>861</v>
      </c>
      <c r="E85" s="64">
        <f>SUMIF(SpeciesBreakdown!$F$19:$F$1016,D85,SpeciesBreakdown!$M$19:$M$1016)</f>
        <v>0</v>
      </c>
      <c r="F85" s="27"/>
      <c r="G85" s="37" t="s">
        <v>862</v>
      </c>
      <c r="H85" s="38" t="s">
        <v>863</v>
      </c>
      <c r="I85" s="27" t="s">
        <v>864</v>
      </c>
      <c r="J85" s="53">
        <f>SUMIF(SpeciesBreakdown!$F$19:$F$1016,I85,SpeciesBreakdown!$M$19:$M$1016)</f>
        <v>0</v>
      </c>
    </row>
    <row r="86" spans="1:10" x14ac:dyDescent="0.3">
      <c r="A86" s="26"/>
      <c r="B86" s="37" t="s">
        <v>865</v>
      </c>
      <c r="C86" s="38" t="s">
        <v>866</v>
      </c>
      <c r="D86" s="52" t="s">
        <v>867</v>
      </c>
      <c r="E86" s="64">
        <f>SUMIF(SpeciesBreakdown!$F$19:$F$1016,D86,SpeciesBreakdown!$M$19:$M$1016)</f>
        <v>0</v>
      </c>
      <c r="F86" s="27"/>
      <c r="G86" s="37" t="s">
        <v>868</v>
      </c>
      <c r="H86" s="38" t="s">
        <v>869</v>
      </c>
      <c r="I86" s="27" t="s">
        <v>870</v>
      </c>
      <c r="J86" s="53">
        <f>SUMIF(SpeciesBreakdown!$F$19:$F$1016,I86,SpeciesBreakdown!$M$19:$M$1016)</f>
        <v>0</v>
      </c>
    </row>
    <row r="87" spans="1:10" x14ac:dyDescent="0.3">
      <c r="A87" s="26"/>
      <c r="B87" s="49" t="s">
        <v>871</v>
      </c>
      <c r="C87" s="38" t="s">
        <v>872</v>
      </c>
      <c r="D87" s="52" t="s">
        <v>873</v>
      </c>
      <c r="E87" s="64">
        <f>SUMIF(SpeciesBreakdown!$F$19:$F$1016,D87,SpeciesBreakdown!$M$19:$M$1016)</f>
        <v>0</v>
      </c>
      <c r="F87" s="27"/>
      <c r="G87" s="37" t="s">
        <v>874</v>
      </c>
      <c r="H87" s="38" t="s">
        <v>875</v>
      </c>
      <c r="I87" s="27" t="s">
        <v>876</v>
      </c>
      <c r="J87" s="53">
        <f>SUMIF(SpeciesBreakdown!$F$19:$F$1016,I87,SpeciesBreakdown!$M$19:$M$1016)</f>
        <v>0</v>
      </c>
    </row>
    <row r="88" spans="1:10" x14ac:dyDescent="0.3">
      <c r="A88" s="26"/>
      <c r="B88" s="37" t="s">
        <v>877</v>
      </c>
      <c r="C88" s="38" t="s">
        <v>878</v>
      </c>
      <c r="D88" s="52" t="s">
        <v>879</v>
      </c>
      <c r="E88" s="64">
        <f>SUMIF(SpeciesBreakdown!$F$19:$F$1016,D88,SpeciesBreakdown!$M$19:$M$1016)</f>
        <v>0</v>
      </c>
      <c r="F88" s="27"/>
      <c r="G88" s="39" t="s">
        <v>880</v>
      </c>
      <c r="H88" s="40" t="s">
        <v>881</v>
      </c>
      <c r="I88" s="41" t="s">
        <v>882</v>
      </c>
      <c r="J88" s="42">
        <f>SUMIF(SpeciesBreakdown!$F$19:$F$1016,I88,SpeciesBreakdown!$M$19:$M$1016)</f>
        <v>0</v>
      </c>
    </row>
    <row r="89" spans="1:10" x14ac:dyDescent="0.3">
      <c r="A89" s="26"/>
      <c r="B89" s="49" t="s">
        <v>883</v>
      </c>
      <c r="C89" s="38" t="s">
        <v>884</v>
      </c>
      <c r="D89" s="52" t="s">
        <v>885</v>
      </c>
      <c r="E89" s="64">
        <f>SUMIF(SpeciesBreakdown!$F$19:$F$1016,D89,SpeciesBreakdown!$M$19:$M$1016)</f>
        <v>0</v>
      </c>
      <c r="F89" s="27"/>
      <c r="G89" s="27"/>
      <c r="H89" s="27"/>
      <c r="I89" s="27"/>
    </row>
    <row r="90" spans="1:10" x14ac:dyDescent="0.3">
      <c r="A90" s="26"/>
      <c r="B90" s="49" t="s">
        <v>886</v>
      </c>
      <c r="C90" s="38" t="s">
        <v>887</v>
      </c>
      <c r="D90" s="52" t="s">
        <v>888</v>
      </c>
      <c r="E90" s="64">
        <f>SUMIF(SpeciesBreakdown!$F$19:$F$1016,D90,SpeciesBreakdown!$M$19:$M$1016)</f>
        <v>0</v>
      </c>
      <c r="F90" s="27"/>
      <c r="J90" s="22"/>
    </row>
    <row r="91" spans="1:10" x14ac:dyDescent="0.3">
      <c r="A91" s="26"/>
      <c r="B91" s="49" t="s">
        <v>889</v>
      </c>
      <c r="C91" s="38" t="s">
        <v>890</v>
      </c>
      <c r="D91" s="52" t="s">
        <v>891</v>
      </c>
      <c r="E91" s="64">
        <f>SUMIF(SpeciesBreakdown!$F$19:$F$1016,D91,SpeciesBreakdown!$M$19:$M$1016)</f>
        <v>0</v>
      </c>
      <c r="F91" s="27"/>
      <c r="J91" s="22"/>
    </row>
    <row r="92" spans="1:10" x14ac:dyDescent="0.3">
      <c r="A92" s="26"/>
      <c r="B92" s="49" t="s">
        <v>892</v>
      </c>
      <c r="C92" s="38" t="s">
        <v>893</v>
      </c>
      <c r="D92" s="52" t="s">
        <v>894</v>
      </c>
      <c r="E92" s="64">
        <f>SUMIF(SpeciesBreakdown!$F$19:$F$1016,D92,SpeciesBreakdown!$M$19:$M$1016)</f>
        <v>0</v>
      </c>
      <c r="F92" s="27"/>
      <c r="J92" s="22"/>
    </row>
    <row r="93" spans="1:10" x14ac:dyDescent="0.3">
      <c r="A93" s="26"/>
      <c r="B93" s="49" t="s">
        <v>895</v>
      </c>
      <c r="C93" s="38" t="s">
        <v>896</v>
      </c>
      <c r="D93" s="52" t="s">
        <v>897</v>
      </c>
      <c r="E93" s="64">
        <f>SUMIF(SpeciesBreakdown!$F$19:$F$1016,D93,SpeciesBreakdown!$M$19:$M$1016)</f>
        <v>0</v>
      </c>
      <c r="F93" s="27"/>
      <c r="J93" s="22"/>
    </row>
    <row r="94" spans="1:10" x14ac:dyDescent="0.3">
      <c r="A94" s="26"/>
      <c r="B94" s="63" t="s">
        <v>898</v>
      </c>
      <c r="C94" s="40" t="s">
        <v>899</v>
      </c>
      <c r="D94" s="56" t="s">
        <v>900</v>
      </c>
      <c r="E94" s="140">
        <f>SUMIF(SpeciesBreakdown!$F$19:$F$1016,D94,SpeciesBreakdown!$M$19:$M$1016)</f>
        <v>0</v>
      </c>
      <c r="F94" s="27"/>
      <c r="G94" s="27"/>
      <c r="H94" s="27"/>
      <c r="I94" s="27"/>
    </row>
    <row r="95" spans="1:10" x14ac:dyDescent="0.3">
      <c r="A95" s="26"/>
      <c r="B95" s="27"/>
      <c r="C95" s="38"/>
      <c r="D95" s="27"/>
      <c r="E95" s="27"/>
      <c r="F95" s="27"/>
      <c r="G95" s="27"/>
      <c r="H95" s="27"/>
      <c r="I95" s="27"/>
      <c r="J95" s="226" t="s">
        <v>495</v>
      </c>
    </row>
    <row r="96" spans="1:10" x14ac:dyDescent="0.3">
      <c r="A96" s="26"/>
      <c r="B96" s="27"/>
      <c r="C96" s="38"/>
      <c r="D96" s="27"/>
      <c r="E96" s="27"/>
      <c r="F96" s="27"/>
      <c r="G96" s="27"/>
      <c r="H96" s="833" t="s">
        <v>901</v>
      </c>
      <c r="I96" s="834"/>
      <c r="J96" s="244">
        <f>SUM(E16:E51,E56:E94,E99:E106)</f>
        <v>0</v>
      </c>
    </row>
    <row r="97" spans="1:10" ht="15" x14ac:dyDescent="0.3">
      <c r="A97" s="26"/>
      <c r="B97" s="830" t="s">
        <v>902</v>
      </c>
      <c r="C97" s="831"/>
      <c r="D97" s="831"/>
      <c r="E97" s="832"/>
      <c r="F97" s="27"/>
      <c r="G97" s="27"/>
      <c r="H97" s="836" t="s">
        <v>903</v>
      </c>
      <c r="I97" s="837"/>
      <c r="J97" s="60">
        <f>SUM(E16:E51)</f>
        <v>0</v>
      </c>
    </row>
    <row r="98" spans="1:10" ht="15" customHeight="1" x14ac:dyDescent="0.3">
      <c r="A98" s="26"/>
      <c r="B98" s="46" t="s">
        <v>492</v>
      </c>
      <c r="C98" s="47" t="s">
        <v>493</v>
      </c>
      <c r="D98" s="47" t="s">
        <v>494</v>
      </c>
      <c r="E98" s="148" t="s">
        <v>495</v>
      </c>
      <c r="F98" s="27"/>
      <c r="G98" s="27"/>
      <c r="H98" s="836" t="s">
        <v>904</v>
      </c>
      <c r="I98" s="837"/>
      <c r="J98" s="60">
        <f>SUM(E56:E94)</f>
        <v>0</v>
      </c>
    </row>
    <row r="99" spans="1:10" x14ac:dyDescent="0.3">
      <c r="A99" s="26"/>
      <c r="B99" s="61" t="s">
        <v>905</v>
      </c>
      <c r="C99" s="62" t="s">
        <v>906</v>
      </c>
      <c r="D99" s="50" t="s">
        <v>907</v>
      </c>
      <c r="E99" s="64">
        <f>SUMIF(SpeciesBreakdown!$F$19:$F$1016,D99,SpeciesBreakdown!$M$19:$M$1016)</f>
        <v>0</v>
      </c>
      <c r="F99" s="27"/>
      <c r="G99" s="27"/>
      <c r="H99" s="836" t="s">
        <v>908</v>
      </c>
      <c r="I99" s="837"/>
      <c r="J99" s="60">
        <f>SUM(E99:E106)</f>
        <v>0</v>
      </c>
    </row>
    <row r="100" spans="1:10" x14ac:dyDescent="0.3">
      <c r="A100" s="26"/>
      <c r="B100" s="37" t="s">
        <v>909</v>
      </c>
      <c r="C100" s="38" t="s">
        <v>910</v>
      </c>
      <c r="D100" s="27" t="s">
        <v>911</v>
      </c>
      <c r="E100" s="64">
        <f>SUMIF(SpeciesBreakdown!$F$19:$F$1016,D100,SpeciesBreakdown!$M$19:$M$1016)</f>
        <v>0</v>
      </c>
      <c r="F100" s="27"/>
      <c r="G100" s="27"/>
      <c r="H100" s="833" t="s">
        <v>912</v>
      </c>
      <c r="I100" s="834"/>
      <c r="J100" s="244">
        <f>SUM(J16:J17,J22:J67,J72)</f>
        <v>0</v>
      </c>
    </row>
    <row r="101" spans="1:10" x14ac:dyDescent="0.3">
      <c r="A101" s="26"/>
      <c r="B101" s="37" t="s">
        <v>913</v>
      </c>
      <c r="C101" s="38" t="s">
        <v>914</v>
      </c>
      <c r="D101" s="27" t="s">
        <v>915</v>
      </c>
      <c r="E101" s="64">
        <f>SUMIF(SpeciesBreakdown!$F$19:$F$1016,D101,SpeciesBreakdown!$M$19:$M$1016)</f>
        <v>0</v>
      </c>
      <c r="F101" s="27"/>
      <c r="G101" s="27"/>
      <c r="H101" s="836" t="s">
        <v>903</v>
      </c>
      <c r="I101" s="837"/>
      <c r="J101" s="60">
        <f>SUM(J16:J17)</f>
        <v>0</v>
      </c>
    </row>
    <row r="102" spans="1:10" x14ac:dyDescent="0.3">
      <c r="A102" s="26"/>
      <c r="B102" s="37" t="s">
        <v>916</v>
      </c>
      <c r="C102" s="38" t="s">
        <v>917</v>
      </c>
      <c r="D102" s="27" t="s">
        <v>918</v>
      </c>
      <c r="E102" s="64">
        <f>SUMIF(SpeciesBreakdown!$F$19:$F$1016,D102,SpeciesBreakdown!$M$19:$M$1016)</f>
        <v>0</v>
      </c>
      <c r="F102" s="27"/>
      <c r="G102" s="65"/>
      <c r="H102" s="836" t="s">
        <v>904</v>
      </c>
      <c r="I102" s="837"/>
      <c r="J102" s="60">
        <f>SUM(J22:J67)</f>
        <v>0</v>
      </c>
    </row>
    <row r="103" spans="1:10" x14ac:dyDescent="0.3">
      <c r="A103" s="26"/>
      <c r="B103" s="37" t="s">
        <v>919</v>
      </c>
      <c r="C103" s="38" t="s">
        <v>920</v>
      </c>
      <c r="D103" s="27" t="s">
        <v>921</v>
      </c>
      <c r="E103" s="64">
        <f>SUMIF(SpeciesBreakdown!$F$19:$F$1016,D103,SpeciesBreakdown!$M$19:$M$1016)</f>
        <v>0</v>
      </c>
      <c r="F103" s="27"/>
      <c r="G103" s="65"/>
      <c r="H103" s="836" t="s">
        <v>908</v>
      </c>
      <c r="I103" s="837"/>
      <c r="J103" s="60">
        <f>SUM(J72)</f>
        <v>0</v>
      </c>
    </row>
    <row r="104" spans="1:10" x14ac:dyDescent="0.3">
      <c r="A104" s="26"/>
      <c r="B104" s="37" t="s">
        <v>922</v>
      </c>
      <c r="C104" s="38" t="s">
        <v>923</v>
      </c>
      <c r="D104" s="27" t="s">
        <v>924</v>
      </c>
      <c r="E104" s="64">
        <f>SUMIF(SpeciesBreakdown!$F$19:$F$1016,D104,SpeciesBreakdown!$M$19:$M$1016)</f>
        <v>0</v>
      </c>
      <c r="F104" s="27"/>
      <c r="G104" s="65"/>
      <c r="H104" s="833" t="s">
        <v>925</v>
      </c>
      <c r="I104" s="834"/>
      <c r="J104" s="244">
        <f>SUM(J77:J88)</f>
        <v>0</v>
      </c>
    </row>
    <row r="105" spans="1:10" x14ac:dyDescent="0.3">
      <c r="A105" s="26"/>
      <c r="B105" s="49" t="s">
        <v>926</v>
      </c>
      <c r="C105" s="38" t="s">
        <v>927</v>
      </c>
      <c r="D105" s="27" t="s">
        <v>928</v>
      </c>
      <c r="E105" s="64">
        <f>SUMIF(SpeciesBreakdown!$F$19:$F$1016,D105,SpeciesBreakdown!$M$19:$M$1016)</f>
        <v>0</v>
      </c>
      <c r="F105" s="27"/>
      <c r="G105" s="27"/>
    </row>
    <row r="106" spans="1:10" x14ac:dyDescent="0.3">
      <c r="A106" s="26"/>
      <c r="B106" s="63" t="s">
        <v>929</v>
      </c>
      <c r="C106" s="40" t="s">
        <v>930</v>
      </c>
      <c r="D106" s="41" t="s">
        <v>931</v>
      </c>
      <c r="E106" s="140">
        <f>SUMIF(SpeciesBreakdown!$F$19:$F$1016,D106,SpeciesBreakdown!$M$19:$M$1016)</f>
        <v>0</v>
      </c>
      <c r="F106" s="27"/>
      <c r="G106" s="27"/>
    </row>
    <row r="107" spans="1:10" ht="13.5" customHeight="1" x14ac:dyDescent="0.3"/>
    <row r="108" spans="1:10" x14ac:dyDescent="0.3">
      <c r="A108" s="26"/>
      <c r="B108" s="38" t="s">
        <v>932</v>
      </c>
      <c r="C108" s="27"/>
      <c r="D108" s="27"/>
      <c r="E108" s="27"/>
      <c r="F108" s="27"/>
      <c r="G108" s="27"/>
      <c r="H108" s="27"/>
      <c r="I108" s="27"/>
      <c r="J108" s="27"/>
    </row>
    <row r="109" spans="1:10" hidden="1" x14ac:dyDescent="0.3">
      <c r="H109" s="27"/>
      <c r="I109" s="27"/>
    </row>
    <row r="110" spans="1:10" hidden="1" x14ac:dyDescent="0.3">
      <c r="H110" s="27"/>
    </row>
  </sheetData>
  <sheetProtection algorithmName="SHA-512" hashValue="v442eLE3N0QlM4KzhOAxz0RkAMA3c/qDiaRzmOkw5i0oVOvy3gbTBKmgLdkDEUXPIG3rth/0pAIq/0IQ6hLvdg==" saltValue="Mm7xHk7szB4EQovh2adNlw==" spinCount="100000" sheet="1" objects="1" scenarios="1"/>
  <mergeCells count="29">
    <mergeCell ref="B54:E54"/>
    <mergeCell ref="B2:D2"/>
    <mergeCell ref="C8:D8"/>
    <mergeCell ref="C9:D9"/>
    <mergeCell ref="B11:B12"/>
    <mergeCell ref="C11:C12"/>
    <mergeCell ref="B14:E14"/>
    <mergeCell ref="B4:J4"/>
    <mergeCell ref="G14:J14"/>
    <mergeCell ref="F18:G18"/>
    <mergeCell ref="F19:G19"/>
    <mergeCell ref="G20:J20"/>
    <mergeCell ref="G10:J12"/>
    <mergeCell ref="B97:E97"/>
    <mergeCell ref="H96:I96"/>
    <mergeCell ref="H100:I100"/>
    <mergeCell ref="H104:I104"/>
    <mergeCell ref="F68:G68"/>
    <mergeCell ref="F69:G69"/>
    <mergeCell ref="G70:J70"/>
    <mergeCell ref="F73:G73"/>
    <mergeCell ref="F74:G74"/>
    <mergeCell ref="G75:J75"/>
    <mergeCell ref="H97:I97"/>
    <mergeCell ref="H98:I98"/>
    <mergeCell ref="H99:I99"/>
    <mergeCell ref="H101:I101"/>
    <mergeCell ref="H102:I102"/>
    <mergeCell ref="H103:I103"/>
  </mergeCells>
  <conditionalFormatting sqref="E56:E94">
    <cfRule type="cellIs" dxfId="5" priority="2" operator="greaterThan">
      <formula>0</formula>
    </cfRule>
  </conditionalFormatting>
  <conditionalFormatting sqref="J22:J67">
    <cfRule type="cellIs" dxfId="4" priority="12" operator="greaterThan">
      <formula>0</formula>
    </cfRule>
  </conditionalFormatting>
  <hyperlinks>
    <hyperlink ref="B5" r:id="rId1" display="https://www.gov.uk/government/publications/planting-spruce-trees-in-the-ips-typographus-demarcated-area" xr:uid="{C4994DE5-210D-43A0-9A0C-DDBE9F5E1278}"/>
  </hyperlinks>
  <pageMargins left="0.23622047244094491" right="0.23622047244094491" top="0.74803149606299213" bottom="0.74803149606299213" header="0.31496062992125984" footer="0.31496062992125984"/>
  <pageSetup paperSize="9" scale="53" fitToHeight="0" orientation="portrait" r:id="rId2"/>
  <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8BEAD-2F93-4AFF-BCE3-A8DE0A03FB92}">
  <sheetPr codeName="Sheet19">
    <tabColor rgb="FF7030A0"/>
    <pageSetUpPr fitToPage="1"/>
  </sheetPr>
  <dimension ref="A1:S38"/>
  <sheetViews>
    <sheetView showGridLines="0" showRowColHeaders="0" showRuler="0" zoomScaleNormal="100" zoomScalePageLayoutView="80" workbookViewId="0">
      <selection activeCell="H16" sqref="H16"/>
    </sheetView>
  </sheetViews>
  <sheetFormatPr defaultColWidth="0" defaultRowHeight="14.25" customHeight="1" zeroHeight="1" x14ac:dyDescent="0.25"/>
  <cols>
    <col min="1" max="1" width="2.453125" style="205" customWidth="1"/>
    <col min="2" max="2" width="19.7265625" style="204" customWidth="1"/>
    <col min="3" max="3" width="25.81640625" style="204" customWidth="1"/>
    <col min="4" max="4" width="22.7265625" style="204" customWidth="1"/>
    <col min="5" max="5" width="19.453125" style="204" customWidth="1"/>
    <col min="6" max="6" width="22.453125" style="204" customWidth="1"/>
    <col min="7" max="7" width="22" style="204" customWidth="1"/>
    <col min="8" max="9" width="14" style="204" customWidth="1"/>
    <col min="10" max="10" width="16.7265625" style="204" customWidth="1"/>
    <col min="11" max="11" width="17.453125" style="204" customWidth="1"/>
    <col min="12" max="12" width="15.7265625" style="204" customWidth="1"/>
    <col min="13" max="13" width="43.1796875" style="204" customWidth="1"/>
    <col min="14" max="14" width="1.54296875" style="205" customWidth="1"/>
    <col min="15" max="15" width="5.81640625" style="205" hidden="1" customWidth="1"/>
    <col min="16" max="16" width="6.81640625" style="205" hidden="1" customWidth="1"/>
    <col min="17" max="17" width="2.453125" style="205" hidden="1" customWidth="1"/>
    <col min="18" max="18" width="2.81640625" style="205" hidden="1" customWidth="1"/>
    <col min="19" max="19" width="5.81640625" style="205" hidden="1" customWidth="1"/>
    <col min="20" max="16384" width="8.54296875" style="205" hidden="1"/>
  </cols>
  <sheetData>
    <row r="1" spans="2:19" ht="25.5" customHeight="1" x14ac:dyDescent="0.25"/>
    <row r="2" spans="2:19" ht="32.25" customHeight="1" x14ac:dyDescent="0.25">
      <c r="B2" s="862" t="s">
        <v>933</v>
      </c>
      <c r="C2" s="862"/>
      <c r="D2" s="862"/>
      <c r="E2" s="862"/>
      <c r="F2" s="862"/>
      <c r="G2" s="862"/>
      <c r="H2" s="206"/>
      <c r="I2" s="206"/>
      <c r="J2" s="207"/>
      <c r="K2" s="207"/>
      <c r="L2" s="208"/>
      <c r="M2" s="207"/>
    </row>
    <row r="3" spans="2:19" ht="11.25" customHeight="1" x14ac:dyDescent="0.25">
      <c r="B3" s="11"/>
      <c r="C3" s="11"/>
      <c r="D3" s="11"/>
      <c r="E3" s="11"/>
      <c r="F3" s="11"/>
      <c r="G3" s="206"/>
      <c r="H3" s="206"/>
      <c r="I3" s="206"/>
      <c r="J3" s="207"/>
      <c r="K3" s="207"/>
      <c r="L3" s="209"/>
      <c r="M3" s="207"/>
    </row>
    <row r="4" spans="2:19" ht="60" customHeight="1" x14ac:dyDescent="0.25">
      <c r="B4" s="863" t="s">
        <v>934</v>
      </c>
      <c r="C4" s="864"/>
      <c r="D4" s="864"/>
      <c r="E4" s="864"/>
      <c r="F4" s="864"/>
      <c r="G4" s="864"/>
      <c r="H4" s="864"/>
      <c r="I4" s="864"/>
      <c r="J4" s="864"/>
      <c r="K4" s="864"/>
      <c r="L4" s="864"/>
      <c r="M4" s="865"/>
    </row>
    <row r="5" spans="2:19" ht="13.5" x14ac:dyDescent="0.25">
      <c r="B5" s="871"/>
      <c r="C5" s="871"/>
      <c r="D5" s="871"/>
      <c r="E5" s="871"/>
      <c r="F5" s="871"/>
      <c r="G5" s="871"/>
      <c r="H5" s="871"/>
      <c r="I5" s="871"/>
      <c r="J5" s="871"/>
      <c r="K5" s="871"/>
      <c r="L5" s="871"/>
      <c r="M5" s="210"/>
    </row>
    <row r="6" spans="2:19" ht="18" customHeight="1" x14ac:dyDescent="0.3">
      <c r="B6" s="880" t="s">
        <v>78</v>
      </c>
      <c r="C6" s="880"/>
      <c r="D6" s="880"/>
      <c r="E6" s="881" t="str">
        <f>IF(ISBLANK('Site Details'!C6),"",'Site Details'!C6)</f>
        <v/>
      </c>
      <c r="F6" s="881"/>
      <c r="G6" s="881"/>
      <c r="H6" s="210"/>
      <c r="I6" s="210"/>
      <c r="J6" s="210"/>
      <c r="K6" s="210"/>
      <c r="L6" s="210"/>
      <c r="M6" s="210"/>
    </row>
    <row r="7" spans="2:19" ht="18" customHeight="1" x14ac:dyDescent="0.3">
      <c r="B7" s="880" t="s">
        <v>64</v>
      </c>
      <c r="C7" s="880"/>
      <c r="D7" s="880"/>
      <c r="E7" s="881" t="str">
        <f>IF(ISBLANK('Site Details'!C7),"",'Site Details'!C7)</f>
        <v/>
      </c>
      <c r="F7" s="881"/>
      <c r="G7" s="881"/>
      <c r="H7" s="210"/>
      <c r="I7" s="210"/>
      <c r="J7" s="210"/>
      <c r="K7" s="210"/>
      <c r="L7" s="210"/>
      <c r="M7" s="210"/>
    </row>
    <row r="8" spans="2:19" ht="13.5" x14ac:dyDescent="0.25">
      <c r="B8" s="211"/>
      <c r="C8" s="211"/>
      <c r="D8" s="211"/>
      <c r="E8" s="211"/>
      <c r="F8" s="211"/>
      <c r="G8" s="211"/>
      <c r="H8" s="211"/>
      <c r="I8" s="211"/>
      <c r="J8" s="211"/>
      <c r="K8" s="211"/>
      <c r="L8" s="211"/>
      <c r="M8" s="211"/>
    </row>
    <row r="9" spans="2:19" ht="23.25" customHeight="1" thickBot="1" x14ac:dyDescent="0.3">
      <c r="B9" s="866" t="s">
        <v>933</v>
      </c>
      <c r="C9" s="867"/>
      <c r="D9" s="867"/>
      <c r="E9" s="867"/>
      <c r="F9" s="867"/>
      <c r="G9" s="867"/>
      <c r="H9" s="867"/>
      <c r="I9" s="867"/>
      <c r="J9" s="867"/>
      <c r="K9" s="867"/>
      <c r="L9" s="867"/>
      <c r="M9" s="868"/>
    </row>
    <row r="10" spans="2:19" ht="23.25" hidden="1" customHeight="1" x14ac:dyDescent="0.25">
      <c r="B10" s="869"/>
      <c r="C10" s="869"/>
      <c r="D10" s="869"/>
      <c r="E10" s="869"/>
      <c r="F10" s="869"/>
      <c r="G10" s="869"/>
      <c r="H10" s="869"/>
      <c r="I10" s="869"/>
      <c r="J10" s="869"/>
      <c r="K10" s="869"/>
      <c r="L10" s="869"/>
      <c r="M10" s="869"/>
    </row>
    <row r="11" spans="2:19" ht="14" hidden="1" thickBot="1" x14ac:dyDescent="0.3">
      <c r="B11" s="870"/>
      <c r="C11" s="870"/>
      <c r="D11" s="238" t="s">
        <v>109</v>
      </c>
      <c r="E11" s="239"/>
      <c r="F11" s="872" t="s">
        <v>935</v>
      </c>
      <c r="G11" s="872"/>
      <c r="H11" s="872"/>
      <c r="I11" s="872"/>
      <c r="J11" s="872"/>
      <c r="K11" s="873"/>
      <c r="L11" s="872"/>
      <c r="M11" s="212"/>
      <c r="O11" s="205" t="s">
        <v>228</v>
      </c>
    </row>
    <row r="12" spans="2:19" ht="38.5" hidden="1" customHeight="1" thickBot="1" x14ac:dyDescent="0.3">
      <c r="B12" s="874" t="s">
        <v>936</v>
      </c>
      <c r="C12" s="875"/>
      <c r="D12" s="237"/>
      <c r="E12" s="213"/>
      <c r="F12" s="876" t="s">
        <v>937</v>
      </c>
      <c r="G12" s="877"/>
      <c r="H12" s="877"/>
      <c r="I12" s="877"/>
      <c r="J12" s="877"/>
      <c r="K12" s="878"/>
      <c r="L12" s="879"/>
      <c r="M12" s="214"/>
      <c r="O12" s="205" t="s">
        <v>938</v>
      </c>
    </row>
    <row r="13" spans="2:19" ht="40.5" x14ac:dyDescent="0.25">
      <c r="B13" s="230" t="s">
        <v>939</v>
      </c>
      <c r="C13" s="231" t="s">
        <v>940</v>
      </c>
      <c r="D13" s="232" t="s">
        <v>941</v>
      </c>
      <c r="E13" s="233" t="s">
        <v>942</v>
      </c>
      <c r="F13" s="233" t="s">
        <v>943</v>
      </c>
      <c r="G13" s="234" t="s">
        <v>944</v>
      </c>
      <c r="H13" s="232" t="s">
        <v>945</v>
      </c>
      <c r="I13" s="232" t="s">
        <v>946</v>
      </c>
      <c r="J13" s="232" t="s">
        <v>947</v>
      </c>
      <c r="K13" s="232" t="s">
        <v>948</v>
      </c>
      <c r="L13" s="235" t="s">
        <v>949</v>
      </c>
      <c r="M13" s="236" t="s">
        <v>950</v>
      </c>
      <c r="S13" s="205" t="s">
        <v>951</v>
      </c>
    </row>
    <row r="14" spans="2:19" ht="30" customHeight="1" x14ac:dyDescent="0.25">
      <c r="B14" s="215"/>
      <c r="C14" s="66"/>
      <c r="D14" s="249" t="str">
        <f>IFERROR(VLOOKUP(C14,'Data (hidden)'!Q:R,2,FALSE),"")</f>
        <v/>
      </c>
      <c r="E14" s="155"/>
      <c r="F14" s="155"/>
      <c r="G14" s="155"/>
      <c r="H14" s="156"/>
      <c r="I14" s="156"/>
      <c r="J14" s="155"/>
      <c r="K14" s="155"/>
      <c r="L14" s="157"/>
      <c r="M14" s="216"/>
      <c r="S14" s="205" t="s">
        <v>952</v>
      </c>
    </row>
    <row r="15" spans="2:19" ht="30" customHeight="1" x14ac:dyDescent="0.25">
      <c r="B15" s="215"/>
      <c r="C15" s="66"/>
      <c r="D15" s="249" t="str">
        <f>IFERROR(VLOOKUP(C15,'Data (hidden)'!Q:R,2,FALSE),"")</f>
        <v/>
      </c>
      <c r="E15" s="155"/>
      <c r="F15" s="155"/>
      <c r="G15" s="155"/>
      <c r="H15" s="155"/>
      <c r="I15" s="155"/>
      <c r="J15" s="155"/>
      <c r="K15" s="155"/>
      <c r="L15" s="157"/>
      <c r="M15" s="216"/>
    </row>
    <row r="16" spans="2:19" ht="30" customHeight="1" x14ac:dyDescent="0.25">
      <c r="B16" s="215"/>
      <c r="C16" s="66"/>
      <c r="D16" s="249" t="str">
        <f>IFERROR(VLOOKUP(C16,'Data (hidden)'!Q:R,2,FALSE),"")</f>
        <v/>
      </c>
      <c r="E16" s="155"/>
      <c r="F16" s="155"/>
      <c r="G16" s="155"/>
      <c r="H16" s="155"/>
      <c r="I16" s="155"/>
      <c r="J16" s="155"/>
      <c r="K16" s="155"/>
      <c r="L16" s="157"/>
      <c r="M16" s="216"/>
    </row>
    <row r="17" spans="2:19" ht="30" customHeight="1" x14ac:dyDescent="0.25">
      <c r="B17" s="215"/>
      <c r="C17" s="66"/>
      <c r="D17" s="249" t="str">
        <f>IFERROR(VLOOKUP(C17,'Data (hidden)'!Q:R,2,FALSE),"")</f>
        <v/>
      </c>
      <c r="E17" s="155"/>
      <c r="F17" s="155"/>
      <c r="G17" s="155"/>
      <c r="H17" s="155"/>
      <c r="I17" s="155"/>
      <c r="J17" s="155"/>
      <c r="K17" s="155"/>
      <c r="L17" s="157"/>
      <c r="M17" s="216"/>
      <c r="S17" s="205" t="s">
        <v>953</v>
      </c>
    </row>
    <row r="18" spans="2:19" ht="30" customHeight="1" x14ac:dyDescent="0.25">
      <c r="B18" s="215"/>
      <c r="C18" s="66"/>
      <c r="D18" s="249" t="str">
        <f>IFERROR(VLOOKUP(C18,'Data (hidden)'!Q:R,2,FALSE),"")</f>
        <v/>
      </c>
      <c r="E18" s="155"/>
      <c r="F18" s="155"/>
      <c r="G18" s="155"/>
      <c r="H18" s="155"/>
      <c r="I18" s="155"/>
      <c r="J18" s="155"/>
      <c r="K18" s="155"/>
      <c r="L18" s="157"/>
      <c r="M18" s="216"/>
      <c r="S18" s="205" t="s">
        <v>952</v>
      </c>
    </row>
    <row r="19" spans="2:19" ht="30" customHeight="1" x14ac:dyDescent="0.25">
      <c r="B19" s="215"/>
      <c r="C19" s="66"/>
      <c r="D19" s="249" t="str">
        <f>IFERROR(VLOOKUP(C19,'Data (hidden)'!Q:R,2,FALSE),"")</f>
        <v/>
      </c>
      <c r="E19" s="155"/>
      <c r="F19" s="155"/>
      <c r="G19" s="155"/>
      <c r="H19" s="155"/>
      <c r="I19" s="155"/>
      <c r="J19" s="155"/>
      <c r="K19" s="155"/>
      <c r="L19" s="157"/>
      <c r="M19" s="216"/>
      <c r="S19" s="205" t="s">
        <v>938</v>
      </c>
    </row>
    <row r="20" spans="2:19" s="217" customFormat="1" ht="30" customHeight="1" x14ac:dyDescent="0.25">
      <c r="B20" s="215"/>
      <c r="C20" s="66"/>
      <c r="D20" s="249" t="str">
        <f>IFERROR(VLOOKUP(C20,'Data (hidden)'!Q:R,2,FALSE),"")</f>
        <v/>
      </c>
      <c r="E20" s="155"/>
      <c r="F20" s="155"/>
      <c r="G20" s="155"/>
      <c r="H20" s="155"/>
      <c r="I20" s="155"/>
      <c r="J20" s="155"/>
      <c r="K20" s="155"/>
      <c r="L20" s="157"/>
      <c r="M20" s="216"/>
    </row>
    <row r="21" spans="2:19" ht="30" customHeight="1" x14ac:dyDescent="0.25">
      <c r="B21" s="215"/>
      <c r="C21" s="66"/>
      <c r="D21" s="249" t="str">
        <f>IFERROR(VLOOKUP(C21,'Data (hidden)'!Q:R,2,FALSE),"")</f>
        <v/>
      </c>
      <c r="E21" s="155"/>
      <c r="F21" s="155"/>
      <c r="G21" s="155"/>
      <c r="H21" s="155"/>
      <c r="I21" s="155"/>
      <c r="J21" s="155"/>
      <c r="K21" s="155"/>
      <c r="L21" s="157"/>
      <c r="M21" s="216"/>
    </row>
    <row r="22" spans="2:19" ht="30" customHeight="1" x14ac:dyDescent="0.25">
      <c r="B22" s="215"/>
      <c r="C22" s="66"/>
      <c r="D22" s="249" t="str">
        <f>IFERROR(VLOOKUP(C22,'Data (hidden)'!Q:R,2,FALSE),"")</f>
        <v/>
      </c>
      <c r="E22" s="155"/>
      <c r="F22" s="155"/>
      <c r="G22" s="155"/>
      <c r="H22" s="155"/>
      <c r="I22" s="155"/>
      <c r="J22" s="155"/>
      <c r="K22" s="155"/>
      <c r="L22" s="157"/>
      <c r="M22" s="216"/>
    </row>
    <row r="23" spans="2:19" ht="30" customHeight="1" x14ac:dyDescent="0.25">
      <c r="B23" s="215"/>
      <c r="C23" s="66"/>
      <c r="D23" s="249" t="str">
        <f>IFERROR(VLOOKUP(C23,'Data (hidden)'!Q:R,2,FALSE),"")</f>
        <v/>
      </c>
      <c r="E23" s="155"/>
      <c r="F23" s="155"/>
      <c r="G23" s="155"/>
      <c r="H23" s="155"/>
      <c r="I23" s="155"/>
      <c r="J23" s="155"/>
      <c r="K23" s="155"/>
      <c r="L23" s="157"/>
      <c r="M23" s="216"/>
    </row>
    <row r="24" spans="2:19" ht="30" customHeight="1" x14ac:dyDescent="0.25">
      <c r="B24" s="215"/>
      <c r="C24" s="66"/>
      <c r="D24" s="249" t="str">
        <f>IFERROR(VLOOKUP(C24,'Data (hidden)'!Q:R,2,FALSE),"")</f>
        <v/>
      </c>
      <c r="E24" s="155"/>
      <c r="F24" s="155"/>
      <c r="G24" s="155"/>
      <c r="H24" s="155"/>
      <c r="I24" s="155"/>
      <c r="J24" s="155"/>
      <c r="K24" s="155"/>
      <c r="L24" s="157"/>
      <c r="M24" s="216"/>
    </row>
    <row r="25" spans="2:19" s="217" customFormat="1" ht="30" customHeight="1" x14ac:dyDescent="0.25">
      <c r="B25" s="215"/>
      <c r="C25" s="66"/>
      <c r="D25" s="249" t="str">
        <f>IFERROR(VLOOKUP(C25,'Data (hidden)'!Q:R,2,FALSE),"")</f>
        <v/>
      </c>
      <c r="E25" s="155"/>
      <c r="F25" s="155"/>
      <c r="G25" s="155"/>
      <c r="H25" s="155"/>
      <c r="I25" s="155"/>
      <c r="J25" s="155"/>
      <c r="K25" s="155"/>
      <c r="L25" s="157"/>
      <c r="M25" s="216"/>
    </row>
    <row r="26" spans="2:19" ht="30" customHeight="1" x14ac:dyDescent="0.25">
      <c r="B26" s="215"/>
      <c r="C26" s="66"/>
      <c r="D26" s="249" t="str">
        <f>IFERROR(VLOOKUP(C26,'Data (hidden)'!Q:R,2,FALSE),"")</f>
        <v/>
      </c>
      <c r="E26" s="155"/>
      <c r="F26" s="155"/>
      <c r="G26" s="155"/>
      <c r="H26" s="155"/>
      <c r="I26" s="155"/>
      <c r="J26" s="155"/>
      <c r="K26" s="155"/>
      <c r="L26" s="157"/>
      <c r="M26" s="216"/>
    </row>
    <row r="27" spans="2:19" ht="30" customHeight="1" x14ac:dyDescent="0.25">
      <c r="B27" s="218"/>
      <c r="C27" s="219"/>
      <c r="D27" s="249" t="str">
        <f>IFERROR(VLOOKUP(C27,'Data (hidden)'!Q:R,2,FALSE),"")</f>
        <v/>
      </c>
      <c r="E27" s="155"/>
      <c r="F27" s="155"/>
      <c r="G27" s="155"/>
      <c r="H27" s="155"/>
      <c r="I27" s="155"/>
      <c r="J27" s="155"/>
      <c r="K27" s="155"/>
      <c r="L27" s="220"/>
      <c r="M27" s="216"/>
    </row>
    <row r="28" spans="2:19" ht="30" customHeight="1" thickBot="1" x14ac:dyDescent="0.3">
      <c r="B28" s="221"/>
      <c r="C28" s="222"/>
      <c r="D28" s="249" t="str">
        <f>IFERROR(VLOOKUP(C28,'Data (hidden)'!Q:R,2,FALSE),"")</f>
        <v/>
      </c>
      <c r="E28" s="223"/>
      <c r="F28" s="223"/>
      <c r="G28" s="223"/>
      <c r="H28" s="223"/>
      <c r="I28" s="223"/>
      <c r="J28" s="223"/>
      <c r="K28" s="224"/>
      <c r="L28" s="223"/>
      <c r="M28" s="225"/>
    </row>
    <row r="29" spans="2:19" ht="14" thickBot="1" x14ac:dyDescent="0.3">
      <c r="E29" s="227"/>
      <c r="F29" s="227"/>
    </row>
    <row r="30" spans="2:19" ht="26.25" customHeight="1" thickBot="1" x14ac:dyDescent="0.3">
      <c r="B30" s="853" t="s">
        <v>954</v>
      </c>
      <c r="C30" s="854"/>
      <c r="D30" s="855"/>
      <c r="E30" s="228"/>
      <c r="F30" s="228"/>
      <c r="I30" s="853" t="s">
        <v>955</v>
      </c>
      <c r="J30" s="854"/>
      <c r="K30" s="855"/>
    </row>
    <row r="31" spans="2:19" ht="15.75" customHeight="1" thickBot="1" x14ac:dyDescent="0.3">
      <c r="B31" s="240" t="s">
        <v>956</v>
      </c>
      <c r="C31" s="858"/>
      <c r="D31" s="859"/>
      <c r="E31" s="229"/>
      <c r="F31" s="206"/>
      <c r="I31" s="242" t="s">
        <v>237</v>
      </c>
      <c r="J31" s="851"/>
      <c r="K31" s="852"/>
    </row>
    <row r="32" spans="2:19" ht="18.75" customHeight="1" thickBot="1" x14ac:dyDescent="0.3">
      <c r="B32" s="241" t="s">
        <v>957</v>
      </c>
      <c r="C32" s="860"/>
      <c r="D32" s="861"/>
      <c r="E32" s="229"/>
      <c r="F32" s="206"/>
      <c r="I32" s="243" t="s">
        <v>238</v>
      </c>
      <c r="J32" s="849"/>
      <c r="K32" s="850"/>
    </row>
    <row r="33" spans="2:6" ht="15" customHeight="1" x14ac:dyDescent="0.25">
      <c r="B33" s="847" t="s">
        <v>958</v>
      </c>
      <c r="C33" s="856"/>
      <c r="D33" s="857"/>
      <c r="E33" s="213"/>
      <c r="F33" s="213"/>
    </row>
    <row r="34" spans="2:6" ht="15" customHeight="1" x14ac:dyDescent="0.25">
      <c r="B34" s="847"/>
      <c r="C34" s="856"/>
      <c r="D34" s="857"/>
      <c r="E34" s="213"/>
      <c r="F34" s="213"/>
    </row>
    <row r="35" spans="2:6" ht="41.25" customHeight="1" thickBot="1" x14ac:dyDescent="0.3">
      <c r="B35" s="848"/>
      <c r="C35" s="849"/>
      <c r="D35" s="850"/>
      <c r="E35" s="213"/>
      <c r="F35" s="213"/>
    </row>
    <row r="36" spans="2:6" ht="13.5" x14ac:dyDescent="0.25"/>
    <row r="37" spans="2:6" ht="14.25" customHeight="1" x14ac:dyDescent="0.25"/>
    <row r="38" spans="2:6" ht="14.25" customHeight="1" x14ac:dyDescent="0.25"/>
  </sheetData>
  <sheetProtection algorithmName="SHA-512" hashValue="5BP2hDIaIuahwkddNK0M1eKE43etv+AfBKS0QpNG3JhA8lROYGwDZ4xlkSUlbLRgq1SVKdRYxkniBnlRRnE29Q==" saltValue="Y1d27CCi7knewPmMei+LXw==" spinCount="100000" sheet="1" objects="1" scenarios="1" selectLockedCells="1"/>
  <mergeCells count="21">
    <mergeCell ref="B12:C12"/>
    <mergeCell ref="F12:L12"/>
    <mergeCell ref="B6:D6"/>
    <mergeCell ref="B7:D7"/>
    <mergeCell ref="E6:G6"/>
    <mergeCell ref="E7:G7"/>
    <mergeCell ref="B2:G2"/>
    <mergeCell ref="B4:M4"/>
    <mergeCell ref="B9:M9"/>
    <mergeCell ref="B10:M10"/>
    <mergeCell ref="B11:C11"/>
    <mergeCell ref="B5:L5"/>
    <mergeCell ref="F11:L11"/>
    <mergeCell ref="B33:B35"/>
    <mergeCell ref="J32:K32"/>
    <mergeCell ref="J31:K31"/>
    <mergeCell ref="I30:K30"/>
    <mergeCell ref="C33:D35"/>
    <mergeCell ref="B30:D30"/>
    <mergeCell ref="C31:D31"/>
    <mergeCell ref="C32:D32"/>
  </mergeCells>
  <conditionalFormatting sqref="B14:C28 E14:M28">
    <cfRule type="containsBlanks" dxfId="3" priority="2">
      <formula>LEN(TRIM(B14))=0</formula>
    </cfRule>
  </conditionalFormatting>
  <conditionalFormatting sqref="C31:C33">
    <cfRule type="containsBlanks" dxfId="2" priority="3">
      <formula>LEN(TRIM(C31))=0</formula>
    </cfRule>
  </conditionalFormatting>
  <conditionalFormatting sqref="D12:E12">
    <cfRule type="containsBlanks" dxfId="1" priority="4">
      <formula>LEN(TRIM(D12))=0</formula>
    </cfRule>
  </conditionalFormatting>
  <conditionalFormatting sqref="J31:J32">
    <cfRule type="containsBlanks" dxfId="0" priority="1">
      <formula>LEN(TRIM(J31))=0</formula>
    </cfRule>
  </conditionalFormatting>
  <dataValidations count="2">
    <dataValidation type="list" allowBlank="1" showInputMessage="1" showErrorMessage="1" sqref="D12:E12" xr:uid="{68A49196-1F1D-4998-BEB9-0CA76C2F1CD5}">
      <formula1>$O$11:$O$11</formula1>
    </dataValidation>
    <dataValidation type="list" allowBlank="1" showInputMessage="1" showErrorMessage="1" sqref="L14:L28" xr:uid="{91AC0751-7C55-4236-9CA6-767A5683677B}">
      <formula1>$S$17:$S$19</formula1>
    </dataValidation>
  </dataValidations>
  <hyperlinks>
    <hyperlink ref="M5" r:id="rId1" display="Please follow G&amp;R Code: Constraints &amp; Consultation" xr:uid="{8370F66D-9D45-44E0-9A79-539C35FB57C7}"/>
  </hyperlinks>
  <pageMargins left="0.70866141732283472" right="0.70866141732283472" top="0.74803149606299213" bottom="0.74803149606299213" header="0.31496062992125984" footer="0.31496062992125984"/>
  <pageSetup paperSize="9" scale="68" orientation="landscape" r:id="rId2"/>
  <headerFooter>
    <oddHeader>&amp;R&amp;"-,Italic"NB: Mandatory fields highlighted in yellow.</oddHeader>
    <oddFooter>&amp;CCS Woodland Creation 2017 Case Notes V.1.5</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24577" r:id="rId5" name="Check Box 1">
              <controlPr defaultSize="0" autoFill="0" autoLine="0" autoPict="0">
                <anchor moveWithCells="1">
                  <from>
                    <xdr:col>10</xdr:col>
                    <xdr:colOff>717550</xdr:colOff>
                    <xdr:row>29</xdr:row>
                    <xdr:rowOff>57150</xdr:rowOff>
                  </from>
                  <to>
                    <xdr:col>10</xdr:col>
                    <xdr:colOff>1066800</xdr:colOff>
                    <xdr:row>29</xdr:row>
                    <xdr:rowOff>260350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27755A0C-9471-4924-BC4D-11F292DA6387}">
          <x14:formula1>
            <xm:f>'Data (hidden)'!$S$2:$S$4</xm:f>
          </x14:formula1>
          <xm:sqref>B14:B28</xm:sqref>
        </x14:dataValidation>
        <x14:dataValidation type="list" allowBlank="1" showInputMessage="1" showErrorMessage="1" xr:uid="{02CBF3D8-A1ED-475D-B15C-C2AFEC9C12C9}">
          <x14:formula1>
            <xm:f>'Data (hidden)'!$Q$2:$Q$15</xm:f>
          </x14:formula1>
          <xm:sqref>C14:C28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A48A0-CF10-4BAA-8E75-E859320006DE}">
  <sheetPr codeName="Sheet3">
    <tabColor rgb="FF62A60E"/>
    <pageSetUpPr fitToPage="1"/>
  </sheetPr>
  <dimension ref="A1:E35"/>
  <sheetViews>
    <sheetView showGridLines="0" topLeftCell="A12" zoomScaleNormal="100" zoomScalePageLayoutView="70" workbookViewId="0">
      <selection activeCell="C21" sqref="C21"/>
    </sheetView>
  </sheetViews>
  <sheetFormatPr defaultColWidth="0" defaultRowHeight="14.5" zeroHeight="1" x14ac:dyDescent="0.35"/>
  <cols>
    <col min="1" max="1" width="4" style="158" customWidth="1"/>
    <col min="2" max="2" width="73.1796875" style="158" customWidth="1"/>
    <col min="3" max="3" width="60.54296875" style="158" customWidth="1"/>
    <col min="4" max="4" width="8.7265625" style="158" customWidth="1"/>
    <col min="5" max="5" width="0" style="158" hidden="1" customWidth="1"/>
    <col min="6" max="16384" width="8.7265625" style="158" hidden="1"/>
  </cols>
  <sheetData>
    <row r="1" spans="1:5" x14ac:dyDescent="0.35">
      <c r="A1"/>
      <c r="B1"/>
      <c r="C1"/>
      <c r="D1" s="247"/>
    </row>
    <row r="2" spans="1:5" ht="48" customHeight="1" x14ac:dyDescent="0.35">
      <c r="A2" s="247"/>
      <c r="B2" s="248" t="s">
        <v>61</v>
      </c>
      <c r="C2" s="248"/>
      <c r="D2" s="248"/>
      <c r="E2" s="384"/>
    </row>
    <row r="3" spans="1:5" s="385" customFormat="1" ht="54.75" customHeight="1" x14ac:dyDescent="0.35">
      <c r="A3" s="261"/>
      <c r="B3" s="627" t="s">
        <v>1429</v>
      </c>
      <c r="C3" s="628"/>
      <c r="D3" s="248"/>
      <c r="E3" s="384"/>
    </row>
    <row r="4" spans="1:5" x14ac:dyDescent="0.35">
      <c r="A4" s="247"/>
      <c r="B4" s="247"/>
      <c r="C4" s="247"/>
      <c r="D4" s="247"/>
    </row>
    <row r="5" spans="1:5" ht="15" x14ac:dyDescent="0.35">
      <c r="A5" s="247"/>
      <c r="B5" s="581" t="s">
        <v>62</v>
      </c>
      <c r="C5" s="582"/>
      <c r="D5" s="247"/>
    </row>
    <row r="6" spans="1:5" ht="28.5" customHeight="1" x14ac:dyDescent="0.35">
      <c r="A6" s="247"/>
      <c r="B6" s="3" t="s">
        <v>63</v>
      </c>
      <c r="C6" s="246"/>
      <c r="D6" s="247"/>
    </row>
    <row r="7" spans="1:5" ht="28.5" customHeight="1" x14ac:dyDescent="0.35">
      <c r="A7" s="247"/>
      <c r="B7" s="3" t="s">
        <v>64</v>
      </c>
      <c r="C7" s="388"/>
      <c r="D7" s="247"/>
    </row>
    <row r="8" spans="1:5" ht="28.5" customHeight="1" x14ac:dyDescent="0.35">
      <c r="A8" s="247"/>
      <c r="B8" s="3" t="s">
        <v>65</v>
      </c>
      <c r="C8" s="389"/>
      <c r="D8" s="247"/>
    </row>
    <row r="9" spans="1:5" ht="28.5" customHeight="1" x14ac:dyDescent="0.35">
      <c r="A9" s="247"/>
      <c r="B9" s="3" t="s">
        <v>66</v>
      </c>
      <c r="C9" s="388"/>
      <c r="D9" s="247"/>
    </row>
    <row r="10" spans="1:5" ht="30" customHeight="1" x14ac:dyDescent="0.35">
      <c r="A10" s="247"/>
      <c r="B10" s="390" t="s">
        <v>1519</v>
      </c>
      <c r="C10" s="631"/>
      <c r="D10" s="247"/>
    </row>
    <row r="11" spans="1:5" s="352" customFormat="1" ht="15.75" customHeight="1" x14ac:dyDescent="0.35">
      <c r="A11" s="262"/>
      <c r="B11" s="350" t="str">
        <f>HYPERLINK("https://www.forestresearch.gov.uk/tools-and-resources/fthr/ecological-site-classification/","Ecological Site Classification (ESC) - Forest Research")</f>
        <v>Ecological Site Classification (ESC) - Forest Research</v>
      </c>
      <c r="C11" s="632"/>
      <c r="D11" s="262"/>
    </row>
    <row r="12" spans="1:5" ht="28.5" customHeight="1" x14ac:dyDescent="0.35">
      <c r="A12" s="247"/>
      <c r="B12" s="3" t="s">
        <v>1091</v>
      </c>
      <c r="C12" s="388"/>
      <c r="D12" s="247"/>
    </row>
    <row r="13" spans="1:5" ht="31.5" customHeight="1" x14ac:dyDescent="0.35">
      <c r="A13" s="247"/>
      <c r="B13" s="3" t="s">
        <v>1496</v>
      </c>
      <c r="C13" s="388"/>
      <c r="D13" s="247"/>
    </row>
    <row r="14" spans="1:5" ht="28.5" customHeight="1" x14ac:dyDescent="0.35">
      <c r="A14" s="247"/>
      <c r="B14" s="3" t="s">
        <v>67</v>
      </c>
      <c r="C14" s="388"/>
      <c r="D14" s="247"/>
    </row>
    <row r="15" spans="1:5" ht="28.5" customHeight="1" x14ac:dyDescent="0.35">
      <c r="A15" s="247"/>
      <c r="B15" s="3" t="s">
        <v>68</v>
      </c>
      <c r="C15" s="388"/>
      <c r="D15" s="247"/>
    </row>
    <row r="16" spans="1:5" x14ac:dyDescent="0.35">
      <c r="A16" s="247"/>
      <c r="B16" s="245" t="s">
        <v>69</v>
      </c>
      <c r="C16" s="391"/>
      <c r="D16" s="247"/>
    </row>
    <row r="17" spans="1:4" ht="27" x14ac:dyDescent="0.35">
      <c r="A17" s="247"/>
      <c r="B17" s="3" t="s">
        <v>70</v>
      </c>
      <c r="C17" s="388"/>
      <c r="D17" s="247"/>
    </row>
    <row r="18" spans="1:4" x14ac:dyDescent="0.35">
      <c r="A18" s="247"/>
      <c r="B18" s="245" t="s">
        <v>69</v>
      </c>
      <c r="C18" s="391"/>
      <c r="D18" s="247"/>
    </row>
    <row r="19" spans="1:4" ht="27" x14ac:dyDescent="0.35">
      <c r="A19" s="247"/>
      <c r="B19" s="3" t="s">
        <v>71</v>
      </c>
      <c r="C19" s="388"/>
      <c r="D19" s="247"/>
    </row>
    <row r="20" spans="1:4" s="386" customFormat="1" ht="40" customHeight="1" x14ac:dyDescent="0.35">
      <c r="A20" s="10"/>
      <c r="B20" s="245" t="s">
        <v>72</v>
      </c>
      <c r="C20" s="391"/>
      <c r="D20" s="10"/>
    </row>
    <row r="21" spans="1:4" ht="27" x14ac:dyDescent="0.35">
      <c r="A21" s="247"/>
      <c r="B21" s="3" t="s">
        <v>73</v>
      </c>
      <c r="C21" s="388"/>
      <c r="D21" s="247"/>
    </row>
    <row r="22" spans="1:4" x14ac:dyDescent="0.35">
      <c r="A22" s="247"/>
      <c r="B22" s="247"/>
      <c r="C22" s="247"/>
      <c r="D22" s="247"/>
    </row>
    <row r="23" spans="1:4" ht="15" x14ac:dyDescent="0.35">
      <c r="A23" s="247"/>
      <c r="B23" s="581" t="s">
        <v>74</v>
      </c>
      <c r="C23" s="582"/>
      <c r="D23" s="247"/>
    </row>
    <row r="24" spans="1:4" x14ac:dyDescent="0.35">
      <c r="A24" s="247"/>
      <c r="B24" s="629" t="s">
        <v>1430</v>
      </c>
      <c r="C24" s="630"/>
      <c r="D24" s="247"/>
    </row>
    <row r="25" spans="1:4" ht="31" customHeight="1" x14ac:dyDescent="0.35">
      <c r="A25" s="247"/>
      <c r="B25" s="263" t="s">
        <v>1431</v>
      </c>
      <c r="C25" s="388"/>
      <c r="D25" s="247"/>
    </row>
    <row r="26" spans="1:4" ht="28.5" customHeight="1" x14ac:dyDescent="0.35">
      <c r="A26" s="247"/>
      <c r="B26" s="264" t="s">
        <v>1432</v>
      </c>
      <c r="C26" s="633"/>
      <c r="D26" s="247"/>
    </row>
    <row r="27" spans="1:4" s="352" customFormat="1" ht="16.5" customHeight="1" x14ac:dyDescent="0.35">
      <c r="A27" s="265"/>
      <c r="B27" s="349" t="str">
        <f>HYPERLINK("https://www.forestergis.com/Apps/MapBrowser/","Forester GIS")</f>
        <v>Forester GIS</v>
      </c>
      <c r="C27" s="634"/>
      <c r="D27" s="262"/>
    </row>
    <row r="28" spans="1:4" ht="31" customHeight="1" x14ac:dyDescent="0.35">
      <c r="A28" s="247"/>
      <c r="B28" s="263" t="s">
        <v>1433</v>
      </c>
      <c r="C28" s="388"/>
      <c r="D28" s="247"/>
    </row>
    <row r="29" spans="1:4" ht="31" customHeight="1" x14ac:dyDescent="0.35">
      <c r="A29" s="247"/>
      <c r="B29" s="263" t="s">
        <v>1434</v>
      </c>
      <c r="C29" s="388"/>
      <c r="D29" s="247"/>
    </row>
    <row r="30" spans="1:4" ht="31" customHeight="1" x14ac:dyDescent="0.35">
      <c r="A30" s="247"/>
      <c r="B30" s="263" t="s">
        <v>1435</v>
      </c>
      <c r="C30" s="388"/>
      <c r="D30" s="247"/>
    </row>
    <row r="31" spans="1:4" x14ac:dyDescent="0.35">
      <c r="A31" s="247"/>
      <c r="B31" s="247"/>
      <c r="C31" s="247"/>
      <c r="D31" s="247"/>
    </row>
    <row r="32" spans="1:4" ht="15" x14ac:dyDescent="0.35">
      <c r="A32" s="247"/>
      <c r="B32" s="581" t="s">
        <v>76</v>
      </c>
      <c r="C32" s="582"/>
      <c r="D32" s="247"/>
    </row>
    <row r="33" spans="1:4" ht="44.25" customHeight="1" x14ac:dyDescent="0.35">
      <c r="A33" s="247"/>
      <c r="B33" s="625" t="s">
        <v>1436</v>
      </c>
      <c r="C33" s="626"/>
      <c r="D33" s="247"/>
    </row>
    <row r="34" spans="1:4" s="352" customFormat="1" ht="24.75" customHeight="1" x14ac:dyDescent="0.35">
      <c r="A34" s="262"/>
      <c r="B34" s="325" t="str">
        <f>HYPERLINK("https://www.gov.uk/government/publications/a-guide-to-planning-new-woodland-in-england","A guide to planning new woodland in England - GOV.UK")</f>
        <v>A guide to planning new woodland in England - GOV.UK</v>
      </c>
      <c r="C34" s="295"/>
      <c r="D34" s="262"/>
    </row>
    <row r="35" spans="1:4" x14ac:dyDescent="0.35">
      <c r="A35" s="247"/>
      <c r="B35"/>
      <c r="C35" s="247"/>
      <c r="D35" s="247"/>
    </row>
  </sheetData>
  <sheetProtection algorithmName="SHA-512" hashValue="AS1Kqisr5KhbT+KEmZhy1h1uW5CRWTGE8lGQ1V0Q844XzQnEhQCHz1g06Ey5+aXGbglcJnBjSgONpwxcowIE0g==" saltValue="LoeY9nWol6n9PPvmRvtEhA==" spinCount="100000" sheet="1" objects="1" scenarios="1"/>
  <mergeCells count="8">
    <mergeCell ref="B32:C32"/>
    <mergeCell ref="B33:C33"/>
    <mergeCell ref="B5:C5"/>
    <mergeCell ref="B23:C23"/>
    <mergeCell ref="B3:C3"/>
    <mergeCell ref="B24:C24"/>
    <mergeCell ref="C10:C11"/>
    <mergeCell ref="C26:C27"/>
  </mergeCells>
  <conditionalFormatting sqref="B10">
    <cfRule type="expression" dxfId="80" priority="7">
      <formula>NOT($C$9=(#REF!))</formula>
    </cfRule>
  </conditionalFormatting>
  <conditionalFormatting sqref="C6">
    <cfRule type="containsBlanks" dxfId="76" priority="18">
      <formula>LEN(TRIM(C6))=0</formula>
    </cfRule>
  </conditionalFormatting>
  <conditionalFormatting sqref="C10">
    <cfRule type="notContainsBlanks" dxfId="75" priority="2">
      <formula>LEN(TRIM(C10))&gt;0</formula>
    </cfRule>
  </conditionalFormatting>
  <conditionalFormatting sqref="C12:C21 C7:C10">
    <cfRule type="containsBlanks" dxfId="74" priority="13">
      <formula>LEN(TRIM(C7))=0</formula>
    </cfRule>
  </conditionalFormatting>
  <conditionalFormatting sqref="C25:C26 C28:C30">
    <cfRule type="cellIs" dxfId="73" priority="8" operator="equal">
      <formula>#REF!</formula>
    </cfRule>
    <cfRule type="containsBlanks" dxfId="72" priority="15">
      <formula>LEN(TRIM(C25))=0</formula>
    </cfRule>
  </conditionalFormatting>
  <dataValidations count="2">
    <dataValidation type="decimal" allowBlank="1" showInputMessage="1" showErrorMessage="1" sqref="C8" xr:uid="{6D22F711-404A-4E32-924E-F7F26FE5DA16}">
      <formula1>0</formula1>
      <formula2>1E+21</formula2>
    </dataValidation>
    <dataValidation type="list" errorStyle="information" allowBlank="1" errorTitle="Local Authority" error="You may type a local authority not shown in the list if required" promptTitle="Local Authority" sqref="C13" xr:uid="{05CA3259-2290-4960-94FF-09C4710A6213}">
      <formula1>Local_Authorities</formula1>
    </dataValidation>
  </dataValidations>
  <hyperlinks>
    <hyperlink ref="B11" r:id="rId1" display="https://www.forestresearch.gov.uk/tools-and-resources/fthr/ecological-site-classification/" xr:uid="{00549889-6D83-4631-8715-615525E3B241}"/>
    <hyperlink ref="B27" r:id="rId2" display="Forester GIS" xr:uid="{21E4B8FC-65E5-44A7-A816-E685D60DE27E}"/>
    <hyperlink ref="B34" r:id="rId3" display="https://www.gov.uk/government/publications/a-guide-to-planning-new-woodland-in-england" xr:uid="{56949A9E-137E-4335-8E28-8499F89BCD44}"/>
  </hyperlinks>
  <pageMargins left="0.70866141732283472" right="0.70866141732283472" top="0.74803149606299213" bottom="0.74803149606299213" header="0.31496062992125984" footer="0.31496062992125984"/>
  <pageSetup paperSize="9" scale="59" orientation="portrait" r:id="rId4"/>
  <drawing r:id="rId5"/>
  <extLst>
    <ext xmlns:x14="http://schemas.microsoft.com/office/spreadsheetml/2009/9/main" uri="{78C0D931-6437-407d-A8EE-F0AAD7539E65}">
      <x14:conditionalFormattings>
        <x14:conditionalFormatting xmlns:xm="http://schemas.microsoft.com/office/excel/2006/main">
          <x14:cfRule type="expression" priority="11" id="{B068B3BF-FB79-4C65-9742-53CADFE03EE5}">
            <xm:f>NOT($C$15='Data (hidden)'!$B$4)</xm:f>
            <x14:dxf>
              <fill>
                <patternFill>
                  <bgColor theme="1" tint="0.499984740745262"/>
                </patternFill>
              </fill>
            </x14:dxf>
          </x14:cfRule>
          <xm:sqref>B16:C16</xm:sqref>
        </x14:conditionalFormatting>
        <x14:conditionalFormatting xmlns:xm="http://schemas.microsoft.com/office/excel/2006/main">
          <x14:cfRule type="expression" priority="10" id="{1CDD7CAE-C0B6-4CA2-ABF8-BC4B79854A46}">
            <xm:f>NOT($C$17='Data (hidden)'!$B$4)</xm:f>
            <x14:dxf>
              <fill>
                <patternFill>
                  <bgColor theme="1" tint="0.499984740745262"/>
                </patternFill>
              </fill>
            </x14:dxf>
          </x14:cfRule>
          <xm:sqref>B18:C18</xm:sqref>
        </x14:conditionalFormatting>
        <x14:conditionalFormatting xmlns:xm="http://schemas.microsoft.com/office/excel/2006/main">
          <x14:cfRule type="expression" priority="9" id="{77B208DA-62B8-4920-8692-2686E71395AE}">
            <xm:f>NOT($C$19='Data (hidden)'!$C$7)</xm:f>
            <x14:dxf>
              <fill>
                <patternFill>
                  <bgColor theme="1" tint="0.499984740745262"/>
                </patternFill>
              </fill>
            </x14:dxf>
          </x14:cfRule>
          <xm:sqref>B20:C20</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6F22C391-4650-4DAA-915C-23E47591ED69}">
          <x14:formula1>
            <xm:f>'Data (hidden)'!$B$4:$B$5</xm:f>
          </x14:formula1>
          <xm:sqref>C17 C15</xm:sqref>
        </x14:dataValidation>
        <x14:dataValidation type="list" allowBlank="1" showInputMessage="1" showErrorMessage="1" xr:uid="{AC0E4A9F-0731-4BCF-A337-49A2833F8002}">
          <x14:formula1>
            <xm:f>'Data (hidden)'!$D$3:$D$5</xm:f>
          </x14:formula1>
          <xm:sqref>C21</xm:sqref>
        </x14:dataValidation>
        <x14:dataValidation type="list" allowBlank="1" showInputMessage="1" showErrorMessage="1" errorTitle="Invalid SBI" error="Please enter a valid SBI number. This is a unique 9 digit number provided by the Rural Payments service. " xr:uid="{25112892-B21C-4979-9E9D-5391B6AAD889}">
          <x14:formula1>
            <xm:f>'Data (hidden)'!$C$3:$C$7</xm:f>
          </x14:formula1>
          <xm:sqref>C19</xm:sqref>
        </x14:dataValidation>
        <x14:dataValidation type="list" allowBlank="1" showInputMessage="1" showErrorMessage="1" xr:uid="{D87A762F-37F2-420D-9820-94A942AB35A3}">
          <x14:formula1>
            <xm:f>'Data (hidden)'!$A$3:$A$5</xm:f>
          </x14:formula1>
          <xm:sqref>C9</xm:sqref>
        </x14:dataValidation>
        <x14:dataValidation type="list" allowBlank="1" showInputMessage="1" showErrorMessage="1" xr:uid="{A516535A-FCD5-489F-A186-4458884E1892}">
          <x14:formula1>
            <xm:f>'Data (hidden)'!$E$3:$E$4</xm:f>
          </x14:formula1>
          <xm:sqref>C25:C26 C28:C30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4EA46-863F-439A-AD29-562D1A305868}">
  <sheetPr codeName="Sheet20">
    <tabColor theme="1"/>
  </sheetPr>
  <dimension ref="A1:T297"/>
  <sheetViews>
    <sheetView workbookViewId="0">
      <selection activeCell="B3" sqref="B3"/>
    </sheetView>
  </sheetViews>
  <sheetFormatPr defaultRowHeight="14.5" x14ac:dyDescent="0.35"/>
  <cols>
    <col min="1" max="5" width="14.1796875" customWidth="1"/>
    <col min="6" max="8" width="23.26953125" customWidth="1"/>
    <col min="9" max="9" width="33.54296875" customWidth="1"/>
    <col min="10" max="10" width="21.54296875" customWidth="1"/>
    <col min="11" max="11" width="61.54296875" customWidth="1"/>
    <col min="12" max="12" width="50.453125" customWidth="1"/>
    <col min="14" max="14" width="10.26953125" customWidth="1"/>
    <col min="15" max="15" width="18.453125" customWidth="1"/>
    <col min="16" max="16" width="15.1796875" customWidth="1"/>
    <col min="17" max="17" width="20.26953125" customWidth="1"/>
    <col min="18" max="18" width="19.26953125" customWidth="1"/>
    <col min="19" max="19" width="12.453125" customWidth="1"/>
    <col min="20" max="20" width="25.54296875" customWidth="1"/>
  </cols>
  <sheetData>
    <row r="1" spans="1:20" ht="111.75" customHeight="1" thickBot="1" x14ac:dyDescent="0.4">
      <c r="A1" s="67" t="s">
        <v>959</v>
      </c>
      <c r="B1" s="68"/>
      <c r="C1" s="68"/>
      <c r="D1" s="68"/>
      <c r="E1" s="69"/>
      <c r="F1" s="67" t="s">
        <v>960</v>
      </c>
      <c r="G1" s="68"/>
      <c r="H1" s="68"/>
      <c r="I1" s="69"/>
      <c r="J1" s="70" t="s">
        <v>961</v>
      </c>
      <c r="K1" s="151" t="s">
        <v>184</v>
      </c>
      <c r="L1" s="152"/>
      <c r="M1" s="71"/>
      <c r="N1" s="882" t="s">
        <v>962</v>
      </c>
      <c r="O1" s="883"/>
      <c r="P1" s="175" t="s">
        <v>963</v>
      </c>
      <c r="Q1" s="183" t="s">
        <v>964</v>
      </c>
      <c r="R1" s="183" t="s">
        <v>965</v>
      </c>
      <c r="S1" s="183" t="s">
        <v>939</v>
      </c>
      <c r="T1" s="255" t="s">
        <v>1093</v>
      </c>
    </row>
    <row r="2" spans="1:20" ht="72.5" x14ac:dyDescent="0.35">
      <c r="A2" s="1" t="s">
        <v>966</v>
      </c>
      <c r="B2" s="1" t="s">
        <v>967</v>
      </c>
      <c r="C2" s="1" t="s">
        <v>968</v>
      </c>
      <c r="D2" s="1" t="s">
        <v>969</v>
      </c>
      <c r="E2" s="1" t="s">
        <v>75</v>
      </c>
      <c r="F2" s="1" t="s">
        <v>970</v>
      </c>
      <c r="G2" s="1" t="s">
        <v>971</v>
      </c>
      <c r="H2" s="1" t="s">
        <v>972</v>
      </c>
      <c r="I2" s="1" t="s">
        <v>973</v>
      </c>
      <c r="J2" s="1" t="s">
        <v>113</v>
      </c>
      <c r="K2" s="1" t="s">
        <v>974</v>
      </c>
      <c r="L2" s="1" t="s">
        <v>975</v>
      </c>
      <c r="M2" s="1" t="s">
        <v>976</v>
      </c>
      <c r="N2" s="147" t="s">
        <v>497</v>
      </c>
      <c r="O2" s="176" t="s">
        <v>977</v>
      </c>
      <c r="P2" s="177" t="s">
        <v>711</v>
      </c>
      <c r="Q2" s="163" t="s">
        <v>978</v>
      </c>
      <c r="R2" s="164" t="s">
        <v>979</v>
      </c>
      <c r="S2" s="173" t="s">
        <v>980</v>
      </c>
      <c r="T2" t="s">
        <v>1095</v>
      </c>
    </row>
    <row r="3" spans="1:20" ht="72.5" x14ac:dyDescent="0.35">
      <c r="A3" s="2" t="s">
        <v>981</v>
      </c>
      <c r="B3" s="1" t="s">
        <v>982</v>
      </c>
      <c r="C3" s="2" t="s">
        <v>983</v>
      </c>
      <c r="D3" s="2" t="s">
        <v>984</v>
      </c>
      <c r="E3" s="2" t="s">
        <v>985</v>
      </c>
      <c r="F3" t="s">
        <v>986</v>
      </c>
      <c r="G3" s="2" t="s">
        <v>987</v>
      </c>
      <c r="H3" s="2" t="s">
        <v>228</v>
      </c>
      <c r="I3" t="s">
        <v>988</v>
      </c>
      <c r="J3" s="2" t="s">
        <v>989</v>
      </c>
      <c r="K3" t="s">
        <v>990</v>
      </c>
      <c r="L3" t="s">
        <v>991</v>
      </c>
      <c r="M3" t="s">
        <v>992</v>
      </c>
      <c r="N3" s="178" t="s">
        <v>503</v>
      </c>
      <c r="O3" s="176" t="s">
        <v>977</v>
      </c>
      <c r="P3" s="177" t="s">
        <v>716</v>
      </c>
      <c r="Q3" s="163" t="s">
        <v>993</v>
      </c>
      <c r="R3" s="164" t="s">
        <v>994</v>
      </c>
      <c r="S3" s="173" t="s">
        <v>995</v>
      </c>
      <c r="T3" t="s">
        <v>1096</v>
      </c>
    </row>
    <row r="4" spans="1:20" ht="87" x14ac:dyDescent="0.35">
      <c r="A4" s="2" t="s">
        <v>996</v>
      </c>
      <c r="B4" t="s">
        <v>228</v>
      </c>
      <c r="C4" s="2" t="s">
        <v>997</v>
      </c>
      <c r="D4" s="2" t="s">
        <v>998</v>
      </c>
      <c r="E4" s="2" t="s">
        <v>999</v>
      </c>
      <c r="F4" t="s">
        <v>1000</v>
      </c>
      <c r="G4" s="2" t="s">
        <v>1001</v>
      </c>
      <c r="H4" s="2" t="s">
        <v>952</v>
      </c>
      <c r="I4" t="s">
        <v>1002</v>
      </c>
      <c r="J4" s="2" t="s">
        <v>1003</v>
      </c>
      <c r="K4" t="s">
        <v>1004</v>
      </c>
      <c r="L4" t="s">
        <v>1005</v>
      </c>
      <c r="M4" t="s">
        <v>1006</v>
      </c>
      <c r="N4" s="179" t="s">
        <v>509</v>
      </c>
      <c r="O4" s="176" t="s">
        <v>977</v>
      </c>
      <c r="P4" s="177" t="s">
        <v>722</v>
      </c>
      <c r="Q4" s="163" t="s">
        <v>1007</v>
      </c>
      <c r="R4" s="164" t="s">
        <v>994</v>
      </c>
      <c r="S4" s="173" t="s">
        <v>1008</v>
      </c>
      <c r="T4" t="s">
        <v>1097</v>
      </c>
    </row>
    <row r="5" spans="1:20" ht="145" x14ac:dyDescent="0.35">
      <c r="A5" s="2" t="s">
        <v>1009</v>
      </c>
      <c r="B5" s="2" t="s">
        <v>952</v>
      </c>
      <c r="C5" s="2" t="s">
        <v>1010</v>
      </c>
      <c r="D5" s="2" t="s">
        <v>1011</v>
      </c>
      <c r="E5" s="2"/>
      <c r="F5" t="s">
        <v>1012</v>
      </c>
      <c r="G5" s="2" t="s">
        <v>997</v>
      </c>
      <c r="H5" s="1" t="s">
        <v>1013</v>
      </c>
      <c r="J5" t="s">
        <v>1014</v>
      </c>
      <c r="K5" t="s">
        <v>1015</v>
      </c>
      <c r="L5" t="s">
        <v>1016</v>
      </c>
      <c r="M5" t="s">
        <v>1017</v>
      </c>
      <c r="N5" s="178" t="s">
        <v>512</v>
      </c>
      <c r="O5" s="176" t="s">
        <v>977</v>
      </c>
      <c r="P5" s="177" t="s">
        <v>734</v>
      </c>
      <c r="Q5" s="163" t="s">
        <v>1018</v>
      </c>
      <c r="R5" s="164" t="s">
        <v>1019</v>
      </c>
      <c r="S5" s="165"/>
      <c r="T5" t="s">
        <v>1098</v>
      </c>
    </row>
    <row r="6" spans="1:20" ht="72.5" x14ac:dyDescent="0.35">
      <c r="C6" s="2" t="s">
        <v>1020</v>
      </c>
      <c r="G6" s="2" t="s">
        <v>1021</v>
      </c>
      <c r="H6" s="2" t="s">
        <v>1022</v>
      </c>
      <c r="K6" t="s">
        <v>1023</v>
      </c>
      <c r="L6" t="s">
        <v>1024</v>
      </c>
      <c r="N6" s="178" t="s">
        <v>515</v>
      </c>
      <c r="O6" s="176" t="s">
        <v>977</v>
      </c>
      <c r="P6" s="177" t="s">
        <v>752</v>
      </c>
      <c r="Q6" s="163" t="s">
        <v>1025</v>
      </c>
      <c r="R6" s="164" t="s">
        <v>1026</v>
      </c>
      <c r="S6" s="165"/>
      <c r="T6" t="s">
        <v>1099</v>
      </c>
    </row>
    <row r="7" spans="1:20" ht="58" x14ac:dyDescent="0.35">
      <c r="C7" s="2" t="s">
        <v>1027</v>
      </c>
      <c r="G7" s="2" t="s">
        <v>1028</v>
      </c>
      <c r="H7" s="2" t="s">
        <v>1029</v>
      </c>
      <c r="K7" t="s">
        <v>1030</v>
      </c>
      <c r="L7" t="s">
        <v>1031</v>
      </c>
      <c r="N7" s="178" t="s">
        <v>519</v>
      </c>
      <c r="O7" s="176" t="s">
        <v>977</v>
      </c>
      <c r="P7" s="177" t="s">
        <v>758</v>
      </c>
      <c r="Q7" s="163" t="s">
        <v>1032</v>
      </c>
      <c r="R7" s="164" t="s">
        <v>994</v>
      </c>
      <c r="S7" s="165"/>
      <c r="T7" t="s">
        <v>1100</v>
      </c>
    </row>
    <row r="8" spans="1:20" x14ac:dyDescent="0.35">
      <c r="G8" s="2" t="s">
        <v>1033</v>
      </c>
      <c r="K8" t="s">
        <v>1034</v>
      </c>
      <c r="L8" t="s">
        <v>1035</v>
      </c>
      <c r="N8" s="178" t="s">
        <v>522</v>
      </c>
      <c r="O8" s="176" t="s">
        <v>977</v>
      </c>
      <c r="P8" s="177" t="s">
        <v>764</v>
      </c>
      <c r="Q8" s="163" t="s">
        <v>1036</v>
      </c>
      <c r="R8" s="164" t="s">
        <v>1037</v>
      </c>
      <c r="S8" s="165"/>
      <c r="T8" t="s">
        <v>1101</v>
      </c>
    </row>
    <row r="9" spans="1:20" ht="43.5" x14ac:dyDescent="0.35">
      <c r="G9" s="2" t="s">
        <v>1038</v>
      </c>
      <c r="K9" t="s">
        <v>1039</v>
      </c>
      <c r="N9" s="178" t="s">
        <v>527</v>
      </c>
      <c r="O9" s="176" t="s">
        <v>977</v>
      </c>
      <c r="P9" s="177" t="s">
        <v>770</v>
      </c>
      <c r="Q9" s="163" t="s">
        <v>1040</v>
      </c>
      <c r="R9" s="164" t="s">
        <v>1041</v>
      </c>
      <c r="S9" s="165"/>
      <c r="T9" t="s">
        <v>1102</v>
      </c>
    </row>
    <row r="10" spans="1:20" ht="43.5" x14ac:dyDescent="0.35">
      <c r="G10" s="2" t="s">
        <v>1042</v>
      </c>
      <c r="K10" t="s">
        <v>1043</v>
      </c>
      <c r="N10" s="178" t="s">
        <v>532</v>
      </c>
      <c r="O10" s="176" t="s">
        <v>977</v>
      </c>
      <c r="P10" s="177" t="s">
        <v>776</v>
      </c>
      <c r="Q10" s="163" t="s">
        <v>1044</v>
      </c>
      <c r="R10" s="164" t="s">
        <v>994</v>
      </c>
      <c r="S10" s="165"/>
      <c r="T10" t="s">
        <v>1103</v>
      </c>
    </row>
    <row r="11" spans="1:20" ht="29" x14ac:dyDescent="0.35">
      <c r="G11" s="2" t="s">
        <v>1045</v>
      </c>
      <c r="K11" t="s">
        <v>1046</v>
      </c>
      <c r="N11" s="178" t="s">
        <v>378</v>
      </c>
      <c r="O11" s="176" t="s">
        <v>977</v>
      </c>
      <c r="P11" s="177" t="s">
        <v>788</v>
      </c>
      <c r="Q11" s="163" t="s">
        <v>1047</v>
      </c>
      <c r="R11" s="164" t="s">
        <v>994</v>
      </c>
      <c r="S11" s="165"/>
      <c r="T11" t="s">
        <v>1104</v>
      </c>
    </row>
    <row r="12" spans="1:20" ht="29" x14ac:dyDescent="0.35">
      <c r="G12" s="2" t="s">
        <v>1048</v>
      </c>
      <c r="K12" t="s">
        <v>1049</v>
      </c>
      <c r="N12" s="178" t="s">
        <v>543</v>
      </c>
      <c r="O12" s="176" t="s">
        <v>977</v>
      </c>
      <c r="P12" s="177" t="s">
        <v>792</v>
      </c>
      <c r="Q12" s="180" t="s">
        <v>1050</v>
      </c>
      <c r="R12" s="181" t="s">
        <v>994</v>
      </c>
      <c r="S12" s="166"/>
      <c r="T12" t="s">
        <v>1105</v>
      </c>
    </row>
    <row r="13" spans="1:20" ht="29" x14ac:dyDescent="0.35">
      <c r="G13" s="2" t="s">
        <v>1051</v>
      </c>
      <c r="K13" t="s">
        <v>1052</v>
      </c>
      <c r="N13" s="178" t="s">
        <v>549</v>
      </c>
      <c r="O13" s="176" t="s">
        <v>977</v>
      </c>
      <c r="P13" s="177" t="s">
        <v>795</v>
      </c>
      <c r="Q13" s="163" t="s">
        <v>1053</v>
      </c>
      <c r="R13" s="164" t="s">
        <v>1054</v>
      </c>
      <c r="S13" s="166"/>
      <c r="T13" t="s">
        <v>1106</v>
      </c>
    </row>
    <row r="14" spans="1:20" ht="87" x14ac:dyDescent="0.35">
      <c r="G14" s="2" t="s">
        <v>1055</v>
      </c>
      <c r="K14" t="s">
        <v>1056</v>
      </c>
      <c r="N14" s="178" t="s">
        <v>555</v>
      </c>
      <c r="O14" s="176" t="s">
        <v>977</v>
      </c>
      <c r="P14" s="177" t="s">
        <v>801</v>
      </c>
      <c r="Q14" s="163" t="s">
        <v>1057</v>
      </c>
      <c r="R14" s="164" t="s">
        <v>263</v>
      </c>
      <c r="S14" s="163"/>
      <c r="T14" t="s">
        <v>1107</v>
      </c>
    </row>
    <row r="15" spans="1:20" ht="87" x14ac:dyDescent="0.35">
      <c r="K15" t="s">
        <v>1058</v>
      </c>
      <c r="N15" s="178" t="s">
        <v>561</v>
      </c>
      <c r="O15" s="176" t="s">
        <v>977</v>
      </c>
      <c r="P15" s="177" t="s">
        <v>804</v>
      </c>
      <c r="Q15" s="168" t="s">
        <v>1059</v>
      </c>
      <c r="R15" s="182" t="s">
        <v>1060</v>
      </c>
      <c r="S15" s="169"/>
      <c r="T15" t="s">
        <v>1108</v>
      </c>
    </row>
    <row r="16" spans="1:20" x14ac:dyDescent="0.35">
      <c r="K16" t="s">
        <v>1061</v>
      </c>
      <c r="N16" s="178" t="s">
        <v>567</v>
      </c>
      <c r="O16" s="176" t="s">
        <v>977</v>
      </c>
      <c r="P16" s="177" t="s">
        <v>814</v>
      </c>
      <c r="Q16" s="170"/>
      <c r="R16" s="171"/>
      <c r="S16" s="172"/>
      <c r="T16" t="s">
        <v>1109</v>
      </c>
    </row>
    <row r="17" spans="11:20" x14ac:dyDescent="0.35">
      <c r="K17" t="s">
        <v>1062</v>
      </c>
      <c r="N17" s="178" t="s">
        <v>573</v>
      </c>
      <c r="O17" s="176" t="s">
        <v>977</v>
      </c>
      <c r="P17" s="177" t="s">
        <v>831</v>
      </c>
      <c r="T17" t="s">
        <v>1110</v>
      </c>
    </row>
    <row r="18" spans="11:20" x14ac:dyDescent="0.35">
      <c r="K18" t="s">
        <v>1063</v>
      </c>
      <c r="N18" s="178" t="s">
        <v>579</v>
      </c>
      <c r="O18" s="176" t="s">
        <v>977</v>
      </c>
      <c r="P18" s="177" t="s">
        <v>837</v>
      </c>
      <c r="T18" t="s">
        <v>1111</v>
      </c>
    </row>
    <row r="19" spans="11:20" x14ac:dyDescent="0.35">
      <c r="K19" t="s">
        <v>1064</v>
      </c>
      <c r="N19" s="178" t="s">
        <v>585</v>
      </c>
      <c r="O19" s="176" t="s">
        <v>977</v>
      </c>
      <c r="P19" s="177" t="s">
        <v>843</v>
      </c>
      <c r="T19" t="s">
        <v>1112</v>
      </c>
    </row>
    <row r="20" spans="11:20" ht="29" x14ac:dyDescent="0.35">
      <c r="K20" t="s">
        <v>1065</v>
      </c>
      <c r="N20" s="178" t="s">
        <v>591</v>
      </c>
      <c r="O20" s="176" t="s">
        <v>977</v>
      </c>
      <c r="P20" s="177" t="s">
        <v>849</v>
      </c>
      <c r="Q20" s="167" t="s">
        <v>1066</v>
      </c>
      <c r="R20" s="167"/>
      <c r="S20" s="167"/>
      <c r="T20" t="s">
        <v>1113</v>
      </c>
    </row>
    <row r="21" spans="11:20" x14ac:dyDescent="0.35">
      <c r="K21" t="s">
        <v>1067</v>
      </c>
      <c r="N21" s="178" t="s">
        <v>597</v>
      </c>
      <c r="O21" s="176" t="s">
        <v>977</v>
      </c>
      <c r="P21" s="177" t="s">
        <v>873</v>
      </c>
      <c r="Q21" s="163" t="s">
        <v>1068</v>
      </c>
      <c r="R21" s="164" t="s">
        <v>1069</v>
      </c>
      <c r="S21" s="165"/>
      <c r="T21" t="s">
        <v>1114</v>
      </c>
    </row>
    <row r="22" spans="11:20" x14ac:dyDescent="0.35">
      <c r="K22" t="s">
        <v>1070</v>
      </c>
      <c r="N22" s="178" t="s">
        <v>603</v>
      </c>
      <c r="O22" s="176" t="s">
        <v>977</v>
      </c>
      <c r="P22" s="177" t="s">
        <v>885</v>
      </c>
      <c r="T22" t="s">
        <v>1115</v>
      </c>
    </row>
    <row r="23" spans="11:20" x14ac:dyDescent="0.35">
      <c r="K23" t="s">
        <v>1071</v>
      </c>
      <c r="N23" s="178" t="s">
        <v>609</v>
      </c>
      <c r="O23" s="176" t="s">
        <v>977</v>
      </c>
      <c r="P23" s="177" t="s">
        <v>888</v>
      </c>
      <c r="T23" t="s">
        <v>1116</v>
      </c>
    </row>
    <row r="24" spans="11:20" x14ac:dyDescent="0.35">
      <c r="K24" t="s">
        <v>1072</v>
      </c>
      <c r="N24" s="178" t="s">
        <v>615</v>
      </c>
      <c r="O24" s="176" t="s">
        <v>977</v>
      </c>
      <c r="P24" s="177" t="s">
        <v>891</v>
      </c>
      <c r="T24" t="s">
        <v>1117</v>
      </c>
    </row>
    <row r="25" spans="11:20" x14ac:dyDescent="0.35">
      <c r="K25" t="s">
        <v>1073</v>
      </c>
      <c r="N25" s="178" t="s">
        <v>621</v>
      </c>
      <c r="O25" s="176" t="s">
        <v>977</v>
      </c>
      <c r="P25" s="177" t="s">
        <v>894</v>
      </c>
      <c r="T25" t="s">
        <v>1118</v>
      </c>
    </row>
    <row r="26" spans="11:20" x14ac:dyDescent="0.35">
      <c r="K26" t="s">
        <v>1074</v>
      </c>
      <c r="N26" s="178" t="s">
        <v>627</v>
      </c>
      <c r="O26" s="176" t="s">
        <v>977</v>
      </c>
      <c r="P26" s="177" t="s">
        <v>897</v>
      </c>
      <c r="T26" t="s">
        <v>1119</v>
      </c>
    </row>
    <row r="27" spans="11:20" x14ac:dyDescent="0.35">
      <c r="K27" t="s">
        <v>1075</v>
      </c>
      <c r="N27" s="178" t="s">
        <v>633</v>
      </c>
      <c r="O27" s="176" t="s">
        <v>977</v>
      </c>
      <c r="P27" s="177" t="s">
        <v>900</v>
      </c>
      <c r="T27" t="s">
        <v>1120</v>
      </c>
    </row>
    <row r="28" spans="11:20" x14ac:dyDescent="0.35">
      <c r="K28" t="s">
        <v>1076</v>
      </c>
      <c r="N28" s="178" t="s">
        <v>639</v>
      </c>
      <c r="O28" s="176" t="s">
        <v>977</v>
      </c>
      <c r="P28" s="177" t="s">
        <v>928</v>
      </c>
      <c r="T28" t="s">
        <v>1121</v>
      </c>
    </row>
    <row r="29" spans="11:20" x14ac:dyDescent="0.35">
      <c r="K29" t="s">
        <v>1077</v>
      </c>
      <c r="N29" s="178" t="s">
        <v>645</v>
      </c>
      <c r="O29" s="176" t="s">
        <v>977</v>
      </c>
      <c r="P29" s="177" t="s">
        <v>931</v>
      </c>
      <c r="T29" t="s">
        <v>1122</v>
      </c>
    </row>
    <row r="30" spans="11:20" x14ac:dyDescent="0.35">
      <c r="K30" t="s">
        <v>1078</v>
      </c>
      <c r="N30" s="178" t="s">
        <v>651</v>
      </c>
      <c r="O30" s="176" t="s">
        <v>977</v>
      </c>
      <c r="P30" s="177" t="s">
        <v>524</v>
      </c>
      <c r="T30" t="s">
        <v>1123</v>
      </c>
    </row>
    <row r="31" spans="11:20" x14ac:dyDescent="0.35">
      <c r="K31" t="s">
        <v>1079</v>
      </c>
      <c r="N31" s="178" t="s">
        <v>657</v>
      </c>
      <c r="O31" s="176" t="s">
        <v>977</v>
      </c>
      <c r="P31" s="177" t="s">
        <v>529</v>
      </c>
      <c r="T31" t="s">
        <v>1124</v>
      </c>
    </row>
    <row r="32" spans="11:20" x14ac:dyDescent="0.35">
      <c r="K32" t="s">
        <v>164</v>
      </c>
      <c r="N32" s="178" t="s">
        <v>663</v>
      </c>
      <c r="O32" s="176" t="s">
        <v>977</v>
      </c>
      <c r="P32" s="177" t="s">
        <v>546</v>
      </c>
      <c r="T32" t="s">
        <v>1125</v>
      </c>
    </row>
    <row r="33" spans="14:20" x14ac:dyDescent="0.35">
      <c r="N33" s="178" t="s">
        <v>669</v>
      </c>
      <c r="O33" s="176" t="s">
        <v>977</v>
      </c>
      <c r="P33" s="177" t="s">
        <v>552</v>
      </c>
      <c r="T33" t="s">
        <v>1126</v>
      </c>
    </row>
    <row r="34" spans="14:20" x14ac:dyDescent="0.35">
      <c r="N34" s="178" t="s">
        <v>675</v>
      </c>
      <c r="O34" s="176" t="s">
        <v>977</v>
      </c>
      <c r="P34" s="177" t="s">
        <v>564</v>
      </c>
      <c r="T34" t="s">
        <v>1127</v>
      </c>
    </row>
    <row r="35" spans="14:20" x14ac:dyDescent="0.35">
      <c r="N35" s="178" t="s">
        <v>681</v>
      </c>
      <c r="O35" s="176" t="s">
        <v>977</v>
      </c>
      <c r="P35" s="177" t="s">
        <v>576</v>
      </c>
      <c r="T35" t="s">
        <v>1128</v>
      </c>
    </row>
    <row r="36" spans="14:20" x14ac:dyDescent="0.35">
      <c r="N36" s="178" t="s">
        <v>687</v>
      </c>
      <c r="O36" s="176" t="s">
        <v>977</v>
      </c>
      <c r="P36" s="177" t="s">
        <v>582</v>
      </c>
      <c r="T36" t="s">
        <v>1129</v>
      </c>
    </row>
    <row r="37" spans="14:20" x14ac:dyDescent="0.35">
      <c r="N37" s="178" t="s">
        <v>693</v>
      </c>
      <c r="O37" s="176" t="s">
        <v>977</v>
      </c>
      <c r="P37" s="177" t="s">
        <v>588</v>
      </c>
      <c r="T37" t="s">
        <v>1130</v>
      </c>
    </row>
    <row r="38" spans="14:20" x14ac:dyDescent="0.35">
      <c r="N38" s="178" t="s">
        <v>711</v>
      </c>
      <c r="O38" s="176" t="s">
        <v>1080</v>
      </c>
      <c r="P38" s="177" t="s">
        <v>594</v>
      </c>
      <c r="T38" t="s">
        <v>1131</v>
      </c>
    </row>
    <row r="39" spans="14:20" x14ac:dyDescent="0.35">
      <c r="N39" s="178" t="s">
        <v>716</v>
      </c>
      <c r="O39" s="176" t="s">
        <v>1080</v>
      </c>
      <c r="P39" s="177" t="s">
        <v>630</v>
      </c>
      <c r="T39" t="s">
        <v>1132</v>
      </c>
    </row>
    <row r="40" spans="14:20" x14ac:dyDescent="0.35">
      <c r="N40" s="178" t="s">
        <v>722</v>
      </c>
      <c r="O40" s="176" t="s">
        <v>1080</v>
      </c>
      <c r="P40" s="177" t="s">
        <v>642</v>
      </c>
      <c r="T40" t="s">
        <v>1133</v>
      </c>
    </row>
    <row r="41" spans="14:20" x14ac:dyDescent="0.35">
      <c r="N41" s="178" t="s">
        <v>728</v>
      </c>
      <c r="O41" s="176" t="s">
        <v>1080</v>
      </c>
      <c r="P41" s="177" t="s">
        <v>648</v>
      </c>
      <c r="T41" t="s">
        <v>1134</v>
      </c>
    </row>
    <row r="42" spans="14:20" x14ac:dyDescent="0.35">
      <c r="N42" s="178" t="s">
        <v>734</v>
      </c>
      <c r="O42" s="176" t="s">
        <v>1080</v>
      </c>
      <c r="P42" s="177" t="s">
        <v>654</v>
      </c>
      <c r="T42" t="s">
        <v>1135</v>
      </c>
    </row>
    <row r="43" spans="14:20" x14ac:dyDescent="0.35">
      <c r="N43" s="178" t="s">
        <v>740</v>
      </c>
      <c r="O43" s="176" t="s">
        <v>1080</v>
      </c>
      <c r="P43" s="177" t="s">
        <v>660</v>
      </c>
      <c r="T43" t="s">
        <v>1136</v>
      </c>
    </row>
    <row r="44" spans="14:20" x14ac:dyDescent="0.35">
      <c r="N44" s="178" t="s">
        <v>746</v>
      </c>
      <c r="O44" s="176" t="s">
        <v>1080</v>
      </c>
      <c r="P44" s="177" t="s">
        <v>672</v>
      </c>
      <c r="T44" t="s">
        <v>1137</v>
      </c>
    </row>
    <row r="45" spans="14:20" x14ac:dyDescent="0.35">
      <c r="N45" s="178" t="s">
        <v>752</v>
      </c>
      <c r="O45" s="176" t="s">
        <v>1080</v>
      </c>
      <c r="P45" s="177" t="s">
        <v>678</v>
      </c>
      <c r="T45" t="s">
        <v>1138</v>
      </c>
    </row>
    <row r="46" spans="14:20" x14ac:dyDescent="0.35">
      <c r="N46" s="178" t="s">
        <v>758</v>
      </c>
      <c r="O46" s="176" t="s">
        <v>1080</v>
      </c>
      <c r="P46" s="177" t="s">
        <v>684</v>
      </c>
      <c r="T46" t="s">
        <v>1139</v>
      </c>
    </row>
    <row r="47" spans="14:20" x14ac:dyDescent="0.35">
      <c r="N47" s="178" t="s">
        <v>764</v>
      </c>
      <c r="O47" s="176" t="s">
        <v>1080</v>
      </c>
      <c r="P47" s="177" t="s">
        <v>690</v>
      </c>
      <c r="T47" t="s">
        <v>1140</v>
      </c>
    </row>
    <row r="48" spans="14:20" x14ac:dyDescent="0.35">
      <c r="N48" s="178" t="s">
        <v>770</v>
      </c>
      <c r="O48" s="176" t="s">
        <v>1080</v>
      </c>
      <c r="P48" s="177" t="s">
        <v>699</v>
      </c>
      <c r="T48" t="s">
        <v>1141</v>
      </c>
    </row>
    <row r="49" spans="14:20" x14ac:dyDescent="0.35">
      <c r="N49" s="178" t="s">
        <v>776</v>
      </c>
      <c r="O49" s="176" t="s">
        <v>1080</v>
      </c>
      <c r="P49" s="177" t="s">
        <v>702</v>
      </c>
      <c r="T49" t="s">
        <v>1142</v>
      </c>
    </row>
    <row r="50" spans="14:20" x14ac:dyDescent="0.35">
      <c r="N50" s="178" t="s">
        <v>782</v>
      </c>
      <c r="O50" s="176" t="s">
        <v>1080</v>
      </c>
      <c r="P50" s="177" t="s">
        <v>709</v>
      </c>
      <c r="T50" t="s">
        <v>1143</v>
      </c>
    </row>
    <row r="51" spans="14:20" x14ac:dyDescent="0.35">
      <c r="N51" s="178" t="s">
        <v>785</v>
      </c>
      <c r="O51" s="176" t="s">
        <v>1080</v>
      </c>
      <c r="P51" s="177" t="s">
        <v>719</v>
      </c>
      <c r="T51" t="s">
        <v>1144</v>
      </c>
    </row>
    <row r="52" spans="14:20" x14ac:dyDescent="0.35">
      <c r="N52" s="178" t="s">
        <v>788</v>
      </c>
      <c r="O52" s="176" t="s">
        <v>1080</v>
      </c>
      <c r="P52" s="177" t="s">
        <v>725</v>
      </c>
      <c r="T52" t="s">
        <v>1145</v>
      </c>
    </row>
    <row r="53" spans="14:20" x14ac:dyDescent="0.35">
      <c r="N53" s="178" t="s">
        <v>792</v>
      </c>
      <c r="O53" s="176" t="s">
        <v>1080</v>
      </c>
      <c r="P53" s="177" t="s">
        <v>731</v>
      </c>
      <c r="T53" t="s">
        <v>1146</v>
      </c>
    </row>
    <row r="54" spans="14:20" x14ac:dyDescent="0.35">
      <c r="N54" s="178" t="s">
        <v>795</v>
      </c>
      <c r="O54" s="176" t="s">
        <v>1080</v>
      </c>
      <c r="P54" s="177" t="s">
        <v>737</v>
      </c>
      <c r="T54" t="s">
        <v>1147</v>
      </c>
    </row>
    <row r="55" spans="14:20" x14ac:dyDescent="0.35">
      <c r="N55" s="178" t="s">
        <v>801</v>
      </c>
      <c r="O55" s="176" t="s">
        <v>1080</v>
      </c>
      <c r="P55" s="177" t="s">
        <v>743</v>
      </c>
      <c r="T55" t="s">
        <v>1148</v>
      </c>
    </row>
    <row r="56" spans="14:20" x14ac:dyDescent="0.35">
      <c r="N56" s="178" t="s">
        <v>804</v>
      </c>
      <c r="O56" s="176" t="s">
        <v>1080</v>
      </c>
      <c r="P56" s="177" t="s">
        <v>749</v>
      </c>
      <c r="T56" t="s">
        <v>1149</v>
      </c>
    </row>
    <row r="57" spans="14:20" x14ac:dyDescent="0.35">
      <c r="N57" s="178" t="s">
        <v>807</v>
      </c>
      <c r="O57" s="176" t="s">
        <v>1080</v>
      </c>
      <c r="P57" s="176"/>
      <c r="T57" t="s">
        <v>1150</v>
      </c>
    </row>
    <row r="58" spans="14:20" x14ac:dyDescent="0.35">
      <c r="N58" s="178" t="s">
        <v>811</v>
      </c>
      <c r="O58" s="176" t="s">
        <v>1080</v>
      </c>
      <c r="P58" s="176"/>
      <c r="T58" t="s">
        <v>1151</v>
      </c>
    </row>
    <row r="59" spans="14:20" x14ac:dyDescent="0.35">
      <c r="N59" s="178" t="s">
        <v>814</v>
      </c>
      <c r="O59" s="176" t="s">
        <v>1080</v>
      </c>
      <c r="P59" s="176"/>
      <c r="T59" t="s">
        <v>1152</v>
      </c>
    </row>
    <row r="60" spans="14:20" x14ac:dyDescent="0.35">
      <c r="N60" s="178" t="s">
        <v>819</v>
      </c>
      <c r="O60" s="176" t="s">
        <v>1080</v>
      </c>
      <c r="P60" s="176"/>
      <c r="T60" t="s">
        <v>1153</v>
      </c>
    </row>
    <row r="61" spans="14:20" x14ac:dyDescent="0.35">
      <c r="N61" s="178" t="s">
        <v>825</v>
      </c>
      <c r="O61" s="176" t="s">
        <v>1080</v>
      </c>
      <c r="P61" s="176"/>
      <c r="T61" t="s">
        <v>1154</v>
      </c>
    </row>
    <row r="62" spans="14:20" x14ac:dyDescent="0.35">
      <c r="N62" s="178" t="s">
        <v>831</v>
      </c>
      <c r="O62" s="176" t="s">
        <v>1080</v>
      </c>
      <c r="P62" s="176"/>
      <c r="T62" t="s">
        <v>1155</v>
      </c>
    </row>
    <row r="63" spans="14:20" x14ac:dyDescent="0.35">
      <c r="N63" s="178" t="s">
        <v>837</v>
      </c>
      <c r="O63" s="176" t="s">
        <v>1080</v>
      </c>
      <c r="P63" s="176"/>
      <c r="T63" t="s">
        <v>1156</v>
      </c>
    </row>
    <row r="64" spans="14:20" x14ac:dyDescent="0.35">
      <c r="N64" s="178" t="s">
        <v>843</v>
      </c>
      <c r="O64" s="176" t="s">
        <v>1080</v>
      </c>
      <c r="P64" s="176"/>
      <c r="T64" t="s">
        <v>1157</v>
      </c>
    </row>
    <row r="65" spans="14:20" x14ac:dyDescent="0.35">
      <c r="N65" s="178" t="s">
        <v>849</v>
      </c>
      <c r="O65" s="176" t="s">
        <v>1080</v>
      </c>
      <c r="P65" s="176"/>
      <c r="T65" t="s">
        <v>1158</v>
      </c>
    </row>
    <row r="66" spans="14:20" x14ac:dyDescent="0.35">
      <c r="N66" s="178" t="s">
        <v>855</v>
      </c>
      <c r="O66" s="176" t="s">
        <v>1080</v>
      </c>
      <c r="P66" s="176"/>
      <c r="T66" t="s">
        <v>1159</v>
      </c>
    </row>
    <row r="67" spans="14:20" x14ac:dyDescent="0.35">
      <c r="N67" s="178" t="s">
        <v>861</v>
      </c>
      <c r="O67" s="176" t="s">
        <v>1080</v>
      </c>
      <c r="P67" s="176"/>
      <c r="T67" t="s">
        <v>1160</v>
      </c>
    </row>
    <row r="68" spans="14:20" x14ac:dyDescent="0.35">
      <c r="N68" s="178" t="s">
        <v>867</v>
      </c>
      <c r="O68" s="176" t="s">
        <v>1080</v>
      </c>
      <c r="P68" s="176"/>
      <c r="T68" t="s">
        <v>1161</v>
      </c>
    </row>
    <row r="69" spans="14:20" x14ac:dyDescent="0.35">
      <c r="N69" s="178" t="s">
        <v>873</v>
      </c>
      <c r="O69" s="176" t="s">
        <v>1080</v>
      </c>
      <c r="P69" s="176"/>
      <c r="T69" t="s">
        <v>1162</v>
      </c>
    </row>
    <row r="70" spans="14:20" x14ac:dyDescent="0.35">
      <c r="N70" s="178" t="s">
        <v>879</v>
      </c>
      <c r="O70" s="176" t="s">
        <v>1080</v>
      </c>
      <c r="P70" s="176"/>
      <c r="T70" t="s">
        <v>1163</v>
      </c>
    </row>
    <row r="71" spans="14:20" x14ac:dyDescent="0.35">
      <c r="N71" s="178" t="s">
        <v>885</v>
      </c>
      <c r="O71" s="176" t="s">
        <v>1080</v>
      </c>
      <c r="P71" s="176"/>
      <c r="T71" t="s">
        <v>1164</v>
      </c>
    </row>
    <row r="72" spans="14:20" x14ac:dyDescent="0.35">
      <c r="N72" s="178" t="s">
        <v>888</v>
      </c>
      <c r="O72" s="176" t="s">
        <v>1080</v>
      </c>
      <c r="P72" s="176"/>
      <c r="T72" t="s">
        <v>1165</v>
      </c>
    </row>
    <row r="73" spans="14:20" x14ac:dyDescent="0.35">
      <c r="N73" s="178" t="s">
        <v>891</v>
      </c>
      <c r="O73" s="176" t="s">
        <v>1080</v>
      </c>
      <c r="P73" s="176"/>
      <c r="T73" t="s">
        <v>1166</v>
      </c>
    </row>
    <row r="74" spans="14:20" x14ac:dyDescent="0.35">
      <c r="N74" s="178" t="s">
        <v>894</v>
      </c>
      <c r="O74" s="176" t="s">
        <v>1080</v>
      </c>
      <c r="P74" s="176"/>
      <c r="T74" t="s">
        <v>1167</v>
      </c>
    </row>
    <row r="75" spans="14:20" x14ac:dyDescent="0.35">
      <c r="N75" s="178" t="s">
        <v>897</v>
      </c>
      <c r="O75" s="176" t="s">
        <v>1080</v>
      </c>
      <c r="P75" s="176"/>
      <c r="T75" t="s">
        <v>1168</v>
      </c>
    </row>
    <row r="76" spans="14:20" x14ac:dyDescent="0.35">
      <c r="N76" s="178" t="s">
        <v>900</v>
      </c>
      <c r="O76" s="176" t="s">
        <v>1080</v>
      </c>
      <c r="P76" s="176"/>
      <c r="T76" t="s">
        <v>1169</v>
      </c>
    </row>
    <row r="77" spans="14:20" x14ac:dyDescent="0.35">
      <c r="N77" s="178" t="s">
        <v>907</v>
      </c>
      <c r="O77" s="176" t="s">
        <v>1081</v>
      </c>
      <c r="P77" s="176"/>
      <c r="T77" t="s">
        <v>1170</v>
      </c>
    </row>
    <row r="78" spans="14:20" x14ac:dyDescent="0.35">
      <c r="N78" s="178" t="s">
        <v>911</v>
      </c>
      <c r="O78" s="176" t="s">
        <v>1081</v>
      </c>
      <c r="P78" s="176"/>
      <c r="T78" t="s">
        <v>1171</v>
      </c>
    </row>
    <row r="79" spans="14:20" x14ac:dyDescent="0.35">
      <c r="N79" s="178" t="s">
        <v>915</v>
      </c>
      <c r="O79" s="176" t="s">
        <v>1081</v>
      </c>
      <c r="P79" s="176"/>
      <c r="T79" t="s">
        <v>1172</v>
      </c>
    </row>
    <row r="80" spans="14:20" x14ac:dyDescent="0.35">
      <c r="N80" s="178" t="s">
        <v>918</v>
      </c>
      <c r="O80" s="176" t="s">
        <v>1081</v>
      </c>
      <c r="P80" s="176"/>
      <c r="T80" t="s">
        <v>1173</v>
      </c>
    </row>
    <row r="81" spans="14:20" x14ac:dyDescent="0.35">
      <c r="N81" s="178" t="s">
        <v>921</v>
      </c>
      <c r="O81" s="176" t="s">
        <v>1081</v>
      </c>
      <c r="P81" s="176"/>
      <c r="T81" t="s">
        <v>1174</v>
      </c>
    </row>
    <row r="82" spans="14:20" x14ac:dyDescent="0.35">
      <c r="N82" s="178" t="s">
        <v>924</v>
      </c>
      <c r="O82" s="176" t="s">
        <v>1081</v>
      </c>
      <c r="P82" s="176"/>
      <c r="T82" t="s">
        <v>1175</v>
      </c>
    </row>
    <row r="83" spans="14:20" x14ac:dyDescent="0.35">
      <c r="N83" s="178" t="s">
        <v>928</v>
      </c>
      <c r="O83" s="176" t="s">
        <v>1081</v>
      </c>
      <c r="P83" s="176"/>
      <c r="T83" t="s">
        <v>1176</v>
      </c>
    </row>
    <row r="84" spans="14:20" x14ac:dyDescent="0.35">
      <c r="N84" s="178" t="s">
        <v>931</v>
      </c>
      <c r="O84" s="176" t="s">
        <v>1081</v>
      </c>
      <c r="P84" s="176"/>
      <c r="T84" t="s">
        <v>1177</v>
      </c>
    </row>
    <row r="85" spans="14:20" x14ac:dyDescent="0.35">
      <c r="N85" s="178" t="s">
        <v>500</v>
      </c>
      <c r="O85" s="176" t="s">
        <v>1082</v>
      </c>
      <c r="P85" s="176"/>
      <c r="T85" t="s">
        <v>1178</v>
      </c>
    </row>
    <row r="86" spans="14:20" x14ac:dyDescent="0.35">
      <c r="N86" s="178" t="s">
        <v>506</v>
      </c>
      <c r="O86" s="176" t="s">
        <v>1082</v>
      </c>
      <c r="P86" s="176"/>
      <c r="T86" t="s">
        <v>1179</v>
      </c>
    </row>
    <row r="87" spans="14:20" x14ac:dyDescent="0.35">
      <c r="N87" s="178" t="s">
        <v>524</v>
      </c>
      <c r="O87" s="176" t="s">
        <v>1083</v>
      </c>
      <c r="P87" s="176"/>
      <c r="T87" t="s">
        <v>1180</v>
      </c>
    </row>
    <row r="88" spans="14:20" x14ac:dyDescent="0.35">
      <c r="N88" s="178" t="s">
        <v>529</v>
      </c>
      <c r="O88" s="176" t="s">
        <v>1083</v>
      </c>
      <c r="P88" s="176"/>
      <c r="T88" t="s">
        <v>1181</v>
      </c>
    </row>
    <row r="89" spans="14:20" x14ac:dyDescent="0.35">
      <c r="N89" s="178" t="s">
        <v>535</v>
      </c>
      <c r="O89" s="176" t="s">
        <v>1083</v>
      </c>
      <c r="P89" s="176"/>
      <c r="T89" t="s">
        <v>1182</v>
      </c>
    </row>
    <row r="90" spans="14:20" x14ac:dyDescent="0.35">
      <c r="N90" s="178" t="s">
        <v>540</v>
      </c>
      <c r="O90" s="176" t="s">
        <v>1083</v>
      </c>
      <c r="P90" s="176"/>
      <c r="T90" t="s">
        <v>1183</v>
      </c>
    </row>
    <row r="91" spans="14:20" x14ac:dyDescent="0.35">
      <c r="N91" s="178" t="s">
        <v>546</v>
      </c>
      <c r="O91" s="176" t="s">
        <v>1083</v>
      </c>
      <c r="P91" s="176"/>
      <c r="T91" t="s">
        <v>1184</v>
      </c>
    </row>
    <row r="92" spans="14:20" x14ac:dyDescent="0.35">
      <c r="N92" s="178" t="s">
        <v>552</v>
      </c>
      <c r="O92" s="176" t="s">
        <v>1083</v>
      </c>
      <c r="P92" s="176"/>
      <c r="T92" t="s">
        <v>1185</v>
      </c>
    </row>
    <row r="93" spans="14:20" x14ac:dyDescent="0.35">
      <c r="N93" s="178" t="s">
        <v>558</v>
      </c>
      <c r="O93" s="176" t="s">
        <v>1083</v>
      </c>
      <c r="P93" s="176"/>
      <c r="T93" t="s">
        <v>1186</v>
      </c>
    </row>
    <row r="94" spans="14:20" x14ac:dyDescent="0.35">
      <c r="N94" s="178" t="s">
        <v>564</v>
      </c>
      <c r="O94" s="176" t="s">
        <v>1083</v>
      </c>
      <c r="P94" s="176"/>
      <c r="T94" t="s">
        <v>1187</v>
      </c>
    </row>
    <row r="95" spans="14:20" x14ac:dyDescent="0.35">
      <c r="N95" s="178" t="s">
        <v>570</v>
      </c>
      <c r="O95" s="176" t="s">
        <v>1083</v>
      </c>
      <c r="P95" s="176"/>
      <c r="T95" t="s">
        <v>1188</v>
      </c>
    </row>
    <row r="96" spans="14:20" x14ac:dyDescent="0.35">
      <c r="N96" s="178" t="s">
        <v>576</v>
      </c>
      <c r="O96" s="176" t="s">
        <v>1083</v>
      </c>
      <c r="P96" s="176"/>
      <c r="T96" t="s">
        <v>1189</v>
      </c>
    </row>
    <row r="97" spans="14:20" x14ac:dyDescent="0.35">
      <c r="N97" s="178" t="s">
        <v>582</v>
      </c>
      <c r="O97" s="176" t="s">
        <v>1083</v>
      </c>
      <c r="P97" s="176"/>
      <c r="T97" t="s">
        <v>1190</v>
      </c>
    </row>
    <row r="98" spans="14:20" x14ac:dyDescent="0.35">
      <c r="N98" s="178" t="s">
        <v>588</v>
      </c>
      <c r="O98" s="176" t="s">
        <v>1083</v>
      </c>
      <c r="P98" s="176"/>
      <c r="T98" t="s">
        <v>1191</v>
      </c>
    </row>
    <row r="99" spans="14:20" x14ac:dyDescent="0.35">
      <c r="N99" s="178" t="s">
        <v>594</v>
      </c>
      <c r="O99" s="176" t="s">
        <v>1083</v>
      </c>
      <c r="P99" s="176"/>
      <c r="T99" t="s">
        <v>1192</v>
      </c>
    </row>
    <row r="100" spans="14:20" x14ac:dyDescent="0.35">
      <c r="N100" s="178" t="s">
        <v>600</v>
      </c>
      <c r="O100" s="176" t="s">
        <v>1083</v>
      </c>
      <c r="P100" s="176"/>
      <c r="T100" t="s">
        <v>1193</v>
      </c>
    </row>
    <row r="101" spans="14:20" x14ac:dyDescent="0.35">
      <c r="N101" s="178" t="s">
        <v>606</v>
      </c>
      <c r="O101" s="176" t="s">
        <v>1083</v>
      </c>
      <c r="P101" s="176"/>
      <c r="T101" t="s">
        <v>1194</v>
      </c>
    </row>
    <row r="102" spans="14:20" x14ac:dyDescent="0.35">
      <c r="N102" s="178" t="s">
        <v>612</v>
      </c>
      <c r="O102" s="176" t="s">
        <v>1083</v>
      </c>
      <c r="P102" s="176"/>
      <c r="T102" t="s">
        <v>1195</v>
      </c>
    </row>
    <row r="103" spans="14:20" x14ac:dyDescent="0.35">
      <c r="N103" s="178" t="s">
        <v>618</v>
      </c>
      <c r="O103" s="176" t="s">
        <v>1083</v>
      </c>
      <c r="P103" s="176"/>
      <c r="T103" t="s">
        <v>1196</v>
      </c>
    </row>
    <row r="104" spans="14:20" x14ac:dyDescent="0.35">
      <c r="N104" s="178" t="s">
        <v>624</v>
      </c>
      <c r="O104" s="176" t="s">
        <v>1083</v>
      </c>
      <c r="P104" s="176"/>
      <c r="T104" t="s">
        <v>1197</v>
      </c>
    </row>
    <row r="105" spans="14:20" x14ac:dyDescent="0.35">
      <c r="N105" s="178" t="s">
        <v>630</v>
      </c>
      <c r="O105" s="176" t="s">
        <v>1083</v>
      </c>
      <c r="P105" s="176"/>
      <c r="T105" t="s">
        <v>1198</v>
      </c>
    </row>
    <row r="106" spans="14:20" x14ac:dyDescent="0.35">
      <c r="N106" s="178" t="s">
        <v>636</v>
      </c>
      <c r="O106" s="176" t="s">
        <v>1083</v>
      </c>
      <c r="P106" s="176"/>
      <c r="T106" t="s">
        <v>1199</v>
      </c>
    </row>
    <row r="107" spans="14:20" x14ac:dyDescent="0.35">
      <c r="N107" s="178" t="s">
        <v>642</v>
      </c>
      <c r="O107" s="176" t="s">
        <v>1083</v>
      </c>
      <c r="P107" s="176"/>
      <c r="T107" t="s">
        <v>1200</v>
      </c>
    </row>
    <row r="108" spans="14:20" x14ac:dyDescent="0.35">
      <c r="N108" s="178" t="s">
        <v>648</v>
      </c>
      <c r="O108" s="176" t="s">
        <v>1083</v>
      </c>
      <c r="P108" s="176"/>
      <c r="T108" t="s">
        <v>1201</v>
      </c>
    </row>
    <row r="109" spans="14:20" x14ac:dyDescent="0.35">
      <c r="N109" s="177" t="s">
        <v>654</v>
      </c>
      <c r="O109" s="176" t="s">
        <v>1083</v>
      </c>
      <c r="P109" s="176"/>
      <c r="T109" t="s">
        <v>1202</v>
      </c>
    </row>
    <row r="110" spans="14:20" x14ac:dyDescent="0.35">
      <c r="N110" s="177" t="s">
        <v>660</v>
      </c>
      <c r="O110" s="176" t="s">
        <v>1083</v>
      </c>
      <c r="P110" s="176"/>
      <c r="T110" t="s">
        <v>1203</v>
      </c>
    </row>
    <row r="111" spans="14:20" x14ac:dyDescent="0.35">
      <c r="N111" s="177" t="s">
        <v>666</v>
      </c>
      <c r="O111" s="176" t="s">
        <v>1083</v>
      </c>
      <c r="P111" s="176"/>
      <c r="T111" t="s">
        <v>1204</v>
      </c>
    </row>
    <row r="112" spans="14:20" x14ac:dyDescent="0.35">
      <c r="N112" s="177" t="s">
        <v>672</v>
      </c>
      <c r="O112" s="176" t="s">
        <v>1083</v>
      </c>
      <c r="P112" s="176"/>
      <c r="T112" t="s">
        <v>1205</v>
      </c>
    </row>
    <row r="113" spans="14:20" x14ac:dyDescent="0.35">
      <c r="N113" s="177" t="s">
        <v>678</v>
      </c>
      <c r="O113" s="176" t="s">
        <v>1083</v>
      </c>
      <c r="P113" s="176"/>
      <c r="T113" t="s">
        <v>1206</v>
      </c>
    </row>
    <row r="114" spans="14:20" x14ac:dyDescent="0.35">
      <c r="N114" s="177" t="s">
        <v>684</v>
      </c>
      <c r="O114" s="176" t="s">
        <v>1083</v>
      </c>
      <c r="P114" s="176"/>
      <c r="T114" t="s">
        <v>1207</v>
      </c>
    </row>
    <row r="115" spans="14:20" x14ac:dyDescent="0.35">
      <c r="N115" s="177" t="s">
        <v>690</v>
      </c>
      <c r="O115" s="176" t="s">
        <v>1083</v>
      </c>
      <c r="P115" s="176"/>
      <c r="T115" t="s">
        <v>1208</v>
      </c>
    </row>
    <row r="116" spans="14:20" x14ac:dyDescent="0.35">
      <c r="N116" s="177" t="s">
        <v>696</v>
      </c>
      <c r="O116" s="176" t="s">
        <v>1083</v>
      </c>
      <c r="P116" s="176"/>
      <c r="T116" t="s">
        <v>1209</v>
      </c>
    </row>
    <row r="117" spans="14:20" x14ac:dyDescent="0.35">
      <c r="N117" s="177" t="s">
        <v>699</v>
      </c>
      <c r="O117" s="176" t="s">
        <v>1083</v>
      </c>
      <c r="P117" s="176"/>
      <c r="T117" t="s">
        <v>1210</v>
      </c>
    </row>
    <row r="118" spans="14:20" x14ac:dyDescent="0.35">
      <c r="N118" s="177" t="s">
        <v>702</v>
      </c>
      <c r="O118" s="176" t="s">
        <v>1083</v>
      </c>
      <c r="P118" s="176"/>
      <c r="T118" t="s">
        <v>1211</v>
      </c>
    </row>
    <row r="119" spans="14:20" x14ac:dyDescent="0.35">
      <c r="N119" s="177" t="s">
        <v>706</v>
      </c>
      <c r="O119" s="176" t="s">
        <v>1083</v>
      </c>
      <c r="P119" s="176"/>
      <c r="T119" t="s">
        <v>1212</v>
      </c>
    </row>
    <row r="120" spans="14:20" x14ac:dyDescent="0.35">
      <c r="N120" s="177" t="s">
        <v>709</v>
      </c>
      <c r="O120" s="176" t="s">
        <v>1083</v>
      </c>
      <c r="P120" s="176"/>
      <c r="T120" t="s">
        <v>1213</v>
      </c>
    </row>
    <row r="121" spans="14:20" x14ac:dyDescent="0.35">
      <c r="N121" s="177" t="s">
        <v>714</v>
      </c>
      <c r="O121" s="176" t="s">
        <v>1083</v>
      </c>
      <c r="P121" s="176"/>
      <c r="T121" t="s">
        <v>1214</v>
      </c>
    </row>
    <row r="122" spans="14:20" x14ac:dyDescent="0.35">
      <c r="N122" s="177" t="s">
        <v>719</v>
      </c>
      <c r="O122" s="176" t="s">
        <v>1083</v>
      </c>
      <c r="P122" s="176"/>
      <c r="T122" t="s">
        <v>1215</v>
      </c>
    </row>
    <row r="123" spans="14:20" x14ac:dyDescent="0.35">
      <c r="N123" s="177" t="s">
        <v>725</v>
      </c>
      <c r="O123" s="176" t="s">
        <v>1083</v>
      </c>
      <c r="P123" s="176"/>
      <c r="T123" t="s">
        <v>1216</v>
      </c>
    </row>
    <row r="124" spans="14:20" x14ac:dyDescent="0.35">
      <c r="N124" s="177" t="s">
        <v>731</v>
      </c>
      <c r="O124" s="176" t="s">
        <v>1083</v>
      </c>
      <c r="P124" s="176"/>
      <c r="T124" t="s">
        <v>1217</v>
      </c>
    </row>
    <row r="125" spans="14:20" x14ac:dyDescent="0.35">
      <c r="N125" s="177" t="s">
        <v>737</v>
      </c>
      <c r="O125" s="176" t="s">
        <v>1083</v>
      </c>
      <c r="P125" s="176"/>
      <c r="T125" t="s">
        <v>1218</v>
      </c>
    </row>
    <row r="126" spans="14:20" x14ac:dyDescent="0.35">
      <c r="N126" s="177" t="s">
        <v>743</v>
      </c>
      <c r="O126" s="176" t="s">
        <v>1083</v>
      </c>
      <c r="P126" s="176"/>
      <c r="T126" t="s">
        <v>1219</v>
      </c>
    </row>
    <row r="127" spans="14:20" x14ac:dyDescent="0.35">
      <c r="N127" s="177" t="s">
        <v>749</v>
      </c>
      <c r="O127" s="176" t="s">
        <v>1083</v>
      </c>
      <c r="P127" s="176"/>
      <c r="T127" t="s">
        <v>1220</v>
      </c>
    </row>
    <row r="128" spans="14:20" x14ac:dyDescent="0.35">
      <c r="N128" s="177" t="s">
        <v>755</v>
      </c>
      <c r="O128" s="176" t="s">
        <v>1083</v>
      </c>
      <c r="P128" s="176"/>
      <c r="T128" t="s">
        <v>1221</v>
      </c>
    </row>
    <row r="129" spans="14:20" x14ac:dyDescent="0.35">
      <c r="N129" s="177" t="s">
        <v>761</v>
      </c>
      <c r="O129" s="176" t="s">
        <v>1083</v>
      </c>
      <c r="P129" s="176"/>
      <c r="T129" t="s">
        <v>1222</v>
      </c>
    </row>
    <row r="130" spans="14:20" x14ac:dyDescent="0.35">
      <c r="N130" s="177" t="s">
        <v>767</v>
      </c>
      <c r="O130" s="176" t="s">
        <v>1083</v>
      </c>
      <c r="P130" s="176"/>
      <c r="T130" t="s">
        <v>1223</v>
      </c>
    </row>
    <row r="131" spans="14:20" x14ac:dyDescent="0.35">
      <c r="N131" s="177" t="s">
        <v>773</v>
      </c>
      <c r="O131" s="176" t="s">
        <v>1083</v>
      </c>
      <c r="P131" s="176"/>
      <c r="T131" t="s">
        <v>1224</v>
      </c>
    </row>
    <row r="132" spans="14:20" x14ac:dyDescent="0.35">
      <c r="N132" s="177" t="s">
        <v>779</v>
      </c>
      <c r="O132" s="176" t="s">
        <v>1083</v>
      </c>
      <c r="P132" s="176"/>
      <c r="T132" t="s">
        <v>1225</v>
      </c>
    </row>
    <row r="133" spans="14:20" x14ac:dyDescent="0.35">
      <c r="N133" s="177" t="s">
        <v>798</v>
      </c>
      <c r="O133" s="176" t="s">
        <v>1084</v>
      </c>
      <c r="P133" s="176"/>
      <c r="T133" t="s">
        <v>1226</v>
      </c>
    </row>
    <row r="134" spans="14:20" x14ac:dyDescent="0.35">
      <c r="N134" s="177" t="s">
        <v>816</v>
      </c>
      <c r="O134" s="176" t="s">
        <v>1085</v>
      </c>
      <c r="P134" s="176"/>
      <c r="T134" t="s">
        <v>1227</v>
      </c>
    </row>
    <row r="135" spans="14:20" x14ac:dyDescent="0.35">
      <c r="N135" s="177" t="s">
        <v>822</v>
      </c>
      <c r="O135" s="176" t="s">
        <v>1085</v>
      </c>
      <c r="P135" s="176"/>
      <c r="T135" t="s">
        <v>1228</v>
      </c>
    </row>
    <row r="136" spans="14:20" x14ac:dyDescent="0.35">
      <c r="N136" s="177" t="s">
        <v>828</v>
      </c>
      <c r="O136" s="176" t="s">
        <v>1085</v>
      </c>
      <c r="P136" s="176"/>
      <c r="T136" t="s">
        <v>1229</v>
      </c>
    </row>
    <row r="137" spans="14:20" x14ac:dyDescent="0.35">
      <c r="N137" s="177" t="s">
        <v>834</v>
      </c>
      <c r="O137" s="176" t="s">
        <v>1085</v>
      </c>
      <c r="P137" s="176"/>
      <c r="T137" t="s">
        <v>1230</v>
      </c>
    </row>
    <row r="138" spans="14:20" x14ac:dyDescent="0.35">
      <c r="N138" s="177" t="s">
        <v>840</v>
      </c>
      <c r="O138" s="176" t="s">
        <v>1085</v>
      </c>
      <c r="P138" s="176"/>
      <c r="T138" t="s">
        <v>1231</v>
      </c>
    </row>
    <row r="139" spans="14:20" x14ac:dyDescent="0.35">
      <c r="N139" s="177" t="s">
        <v>846</v>
      </c>
      <c r="O139" s="176" t="s">
        <v>1085</v>
      </c>
      <c r="P139" s="176"/>
      <c r="T139" t="s">
        <v>1232</v>
      </c>
    </row>
    <row r="140" spans="14:20" x14ac:dyDescent="0.35">
      <c r="N140" s="177" t="s">
        <v>852</v>
      </c>
      <c r="O140" s="176" t="s">
        <v>1085</v>
      </c>
      <c r="P140" s="176"/>
      <c r="T140" t="s">
        <v>1233</v>
      </c>
    </row>
    <row r="141" spans="14:20" x14ac:dyDescent="0.35">
      <c r="N141" s="177" t="s">
        <v>858</v>
      </c>
      <c r="O141" s="176" t="s">
        <v>1085</v>
      </c>
      <c r="P141" s="176"/>
      <c r="T141" t="s">
        <v>1234</v>
      </c>
    </row>
    <row r="142" spans="14:20" x14ac:dyDescent="0.35">
      <c r="N142" s="177" t="s">
        <v>864</v>
      </c>
      <c r="O142" s="176" t="s">
        <v>1085</v>
      </c>
      <c r="P142" s="176"/>
      <c r="T142" t="s">
        <v>1235</v>
      </c>
    </row>
    <row r="143" spans="14:20" x14ac:dyDescent="0.35">
      <c r="N143" s="177" t="s">
        <v>870</v>
      </c>
      <c r="O143" s="176" t="s">
        <v>1085</v>
      </c>
      <c r="P143" s="176"/>
      <c r="T143" t="s">
        <v>1236</v>
      </c>
    </row>
    <row r="144" spans="14:20" x14ac:dyDescent="0.35">
      <c r="N144" s="177" t="s">
        <v>876</v>
      </c>
      <c r="O144" s="176" t="s">
        <v>1085</v>
      </c>
      <c r="P144" s="176"/>
      <c r="T144" t="s">
        <v>1237</v>
      </c>
    </row>
    <row r="145" spans="14:20" x14ac:dyDescent="0.35">
      <c r="N145" s="177" t="s">
        <v>882</v>
      </c>
      <c r="O145" s="176" t="s">
        <v>1085</v>
      </c>
      <c r="P145" s="176"/>
      <c r="T145" t="s">
        <v>1238</v>
      </c>
    </row>
    <row r="146" spans="14:20" ht="43.5" x14ac:dyDescent="0.35">
      <c r="N146" s="174" t="s">
        <v>963</v>
      </c>
      <c r="O146" s="176"/>
      <c r="P146" s="176"/>
      <c r="T146" t="s">
        <v>1239</v>
      </c>
    </row>
    <row r="147" spans="14:20" x14ac:dyDescent="0.35">
      <c r="N147" s="177" t="s">
        <v>711</v>
      </c>
      <c r="O147" s="176"/>
      <c r="P147" s="176"/>
      <c r="T147" t="s">
        <v>1240</v>
      </c>
    </row>
    <row r="148" spans="14:20" x14ac:dyDescent="0.35">
      <c r="N148" s="177" t="s">
        <v>716</v>
      </c>
      <c r="O148" s="176"/>
      <c r="P148" s="176"/>
      <c r="T148" t="s">
        <v>1241</v>
      </c>
    </row>
    <row r="149" spans="14:20" x14ac:dyDescent="0.35">
      <c r="N149" s="177" t="s">
        <v>722</v>
      </c>
      <c r="O149" s="176"/>
      <c r="P149" s="176"/>
      <c r="T149" t="s">
        <v>1242</v>
      </c>
    </row>
    <row r="150" spans="14:20" x14ac:dyDescent="0.35">
      <c r="N150" s="177" t="s">
        <v>734</v>
      </c>
      <c r="O150" s="176"/>
      <c r="P150" s="176"/>
      <c r="T150" t="s">
        <v>1243</v>
      </c>
    </row>
    <row r="151" spans="14:20" x14ac:dyDescent="0.35">
      <c r="N151" s="177" t="s">
        <v>752</v>
      </c>
      <c r="O151" s="176"/>
      <c r="P151" s="176"/>
      <c r="T151" t="s">
        <v>1244</v>
      </c>
    </row>
    <row r="152" spans="14:20" x14ac:dyDescent="0.35">
      <c r="N152" s="177" t="s">
        <v>758</v>
      </c>
      <c r="O152" s="176"/>
      <c r="P152" s="176"/>
      <c r="T152" t="s">
        <v>1245</v>
      </c>
    </row>
    <row r="153" spans="14:20" x14ac:dyDescent="0.35">
      <c r="N153" s="177" t="s">
        <v>764</v>
      </c>
      <c r="O153" s="176"/>
      <c r="P153" s="176"/>
      <c r="T153" t="s">
        <v>1246</v>
      </c>
    </row>
    <row r="154" spans="14:20" x14ac:dyDescent="0.35">
      <c r="N154" s="177" t="s">
        <v>770</v>
      </c>
      <c r="O154" s="176"/>
      <c r="P154" s="176"/>
      <c r="T154" t="s">
        <v>1247</v>
      </c>
    </row>
    <row r="155" spans="14:20" x14ac:dyDescent="0.35">
      <c r="N155" s="177" t="s">
        <v>776</v>
      </c>
      <c r="O155" s="176"/>
      <c r="P155" s="176"/>
      <c r="T155" t="s">
        <v>1248</v>
      </c>
    </row>
    <row r="156" spans="14:20" x14ac:dyDescent="0.35">
      <c r="N156" s="177" t="s">
        <v>788</v>
      </c>
      <c r="O156" s="176"/>
      <c r="P156" s="176"/>
      <c r="T156" t="s">
        <v>1249</v>
      </c>
    </row>
    <row r="157" spans="14:20" x14ac:dyDescent="0.35">
      <c r="N157" s="177" t="s">
        <v>792</v>
      </c>
      <c r="O157" s="176"/>
      <c r="P157" s="176"/>
      <c r="T157" t="s">
        <v>1250</v>
      </c>
    </row>
    <row r="158" spans="14:20" x14ac:dyDescent="0.35">
      <c r="N158" s="177" t="s">
        <v>795</v>
      </c>
      <c r="O158" s="176"/>
      <c r="P158" s="176"/>
      <c r="T158" t="s">
        <v>1251</v>
      </c>
    </row>
    <row r="159" spans="14:20" x14ac:dyDescent="0.35">
      <c r="N159" s="177" t="s">
        <v>801</v>
      </c>
      <c r="O159" s="176"/>
      <c r="P159" s="176"/>
      <c r="T159" t="s">
        <v>1252</v>
      </c>
    </row>
    <row r="160" spans="14:20" x14ac:dyDescent="0.35">
      <c r="N160" s="177" t="s">
        <v>804</v>
      </c>
      <c r="O160" s="176"/>
      <c r="P160" s="176"/>
      <c r="T160" t="s">
        <v>1253</v>
      </c>
    </row>
    <row r="161" spans="14:20" x14ac:dyDescent="0.35">
      <c r="N161" s="177" t="s">
        <v>814</v>
      </c>
      <c r="O161" s="176"/>
      <c r="P161" s="176"/>
      <c r="T161" t="s">
        <v>1254</v>
      </c>
    </row>
    <row r="162" spans="14:20" x14ac:dyDescent="0.35">
      <c r="N162" s="177" t="s">
        <v>831</v>
      </c>
      <c r="O162" s="176"/>
      <c r="P162" s="176"/>
      <c r="T162" t="s">
        <v>1255</v>
      </c>
    </row>
    <row r="163" spans="14:20" x14ac:dyDescent="0.35">
      <c r="N163" s="177" t="s">
        <v>837</v>
      </c>
      <c r="O163" s="176"/>
      <c r="P163" s="176"/>
      <c r="T163" t="s">
        <v>1256</v>
      </c>
    </row>
    <row r="164" spans="14:20" x14ac:dyDescent="0.35">
      <c r="N164" s="177" t="s">
        <v>843</v>
      </c>
      <c r="O164" s="176"/>
      <c r="P164" s="176"/>
      <c r="T164" t="s">
        <v>1257</v>
      </c>
    </row>
    <row r="165" spans="14:20" x14ac:dyDescent="0.35">
      <c r="N165" s="177" t="s">
        <v>849</v>
      </c>
      <c r="O165" s="176"/>
      <c r="P165" s="176"/>
      <c r="T165" t="s">
        <v>1258</v>
      </c>
    </row>
    <row r="166" spans="14:20" x14ac:dyDescent="0.35">
      <c r="N166" s="177" t="s">
        <v>873</v>
      </c>
      <c r="O166" s="176"/>
      <c r="P166" s="176"/>
      <c r="T166" t="s">
        <v>1259</v>
      </c>
    </row>
    <row r="167" spans="14:20" x14ac:dyDescent="0.35">
      <c r="N167" s="177" t="s">
        <v>885</v>
      </c>
      <c r="O167" s="176"/>
      <c r="P167" s="176"/>
      <c r="T167" t="s">
        <v>1260</v>
      </c>
    </row>
    <row r="168" spans="14:20" x14ac:dyDescent="0.35">
      <c r="N168" s="177" t="s">
        <v>888</v>
      </c>
      <c r="O168" s="176"/>
      <c r="P168" s="176"/>
      <c r="T168" t="s">
        <v>1261</v>
      </c>
    </row>
    <row r="169" spans="14:20" x14ac:dyDescent="0.35">
      <c r="N169" s="177" t="s">
        <v>891</v>
      </c>
      <c r="O169" s="176"/>
      <c r="P169" s="176"/>
      <c r="T169" t="s">
        <v>1262</v>
      </c>
    </row>
    <row r="170" spans="14:20" x14ac:dyDescent="0.35">
      <c r="N170" s="177" t="s">
        <v>894</v>
      </c>
      <c r="O170" s="176"/>
      <c r="P170" s="176"/>
      <c r="T170" t="s">
        <v>1263</v>
      </c>
    </row>
    <row r="171" spans="14:20" x14ac:dyDescent="0.35">
      <c r="N171" s="177" t="s">
        <v>897</v>
      </c>
      <c r="O171" s="176"/>
      <c r="P171" s="176"/>
      <c r="T171" t="s">
        <v>1264</v>
      </c>
    </row>
    <row r="172" spans="14:20" x14ac:dyDescent="0.35">
      <c r="N172" s="177" t="s">
        <v>900</v>
      </c>
      <c r="O172" s="176"/>
      <c r="P172" s="176"/>
      <c r="T172" t="s">
        <v>1265</v>
      </c>
    </row>
    <row r="173" spans="14:20" x14ac:dyDescent="0.35">
      <c r="N173" s="177" t="s">
        <v>928</v>
      </c>
      <c r="O173" s="176"/>
      <c r="P173" s="176"/>
      <c r="T173" t="s">
        <v>1266</v>
      </c>
    </row>
    <row r="174" spans="14:20" x14ac:dyDescent="0.35">
      <c r="N174" s="177" t="s">
        <v>931</v>
      </c>
      <c r="O174" s="176"/>
      <c r="P174" s="176"/>
      <c r="T174" t="s">
        <v>1267</v>
      </c>
    </row>
    <row r="175" spans="14:20" x14ac:dyDescent="0.35">
      <c r="N175" s="177" t="s">
        <v>524</v>
      </c>
      <c r="O175" s="176"/>
      <c r="P175" s="176"/>
      <c r="T175" t="s">
        <v>1268</v>
      </c>
    </row>
    <row r="176" spans="14:20" x14ac:dyDescent="0.35">
      <c r="N176" s="177" t="s">
        <v>529</v>
      </c>
      <c r="O176" s="176"/>
      <c r="P176" s="176"/>
      <c r="T176" t="s">
        <v>1269</v>
      </c>
    </row>
    <row r="177" spans="14:20" x14ac:dyDescent="0.35">
      <c r="N177" s="177" t="s">
        <v>546</v>
      </c>
      <c r="O177" s="176"/>
      <c r="P177" s="176"/>
      <c r="T177" t="s">
        <v>1270</v>
      </c>
    </row>
    <row r="178" spans="14:20" x14ac:dyDescent="0.35">
      <c r="N178" s="177" t="s">
        <v>552</v>
      </c>
      <c r="O178" s="176"/>
      <c r="P178" s="176"/>
      <c r="T178" t="s">
        <v>1271</v>
      </c>
    </row>
    <row r="179" spans="14:20" x14ac:dyDescent="0.35">
      <c r="N179" s="177" t="s">
        <v>564</v>
      </c>
      <c r="O179" s="176"/>
      <c r="P179" s="176"/>
      <c r="T179" t="s">
        <v>1272</v>
      </c>
    </row>
    <row r="180" spans="14:20" x14ac:dyDescent="0.35">
      <c r="N180" s="177" t="s">
        <v>576</v>
      </c>
      <c r="O180" s="176"/>
      <c r="P180" s="176"/>
      <c r="T180" t="s">
        <v>1273</v>
      </c>
    </row>
    <row r="181" spans="14:20" x14ac:dyDescent="0.35">
      <c r="N181" s="177" t="s">
        <v>582</v>
      </c>
      <c r="O181" s="176"/>
      <c r="P181" s="176"/>
      <c r="T181" t="s">
        <v>1274</v>
      </c>
    </row>
    <row r="182" spans="14:20" x14ac:dyDescent="0.35">
      <c r="N182" s="177" t="s">
        <v>588</v>
      </c>
      <c r="O182" s="176"/>
      <c r="P182" s="176"/>
      <c r="T182" t="s">
        <v>1275</v>
      </c>
    </row>
    <row r="183" spans="14:20" x14ac:dyDescent="0.35">
      <c r="N183" s="177" t="s">
        <v>594</v>
      </c>
      <c r="O183" s="176"/>
      <c r="P183" s="176"/>
      <c r="T183" t="s">
        <v>1276</v>
      </c>
    </row>
    <row r="184" spans="14:20" x14ac:dyDescent="0.35">
      <c r="N184" s="177" t="s">
        <v>630</v>
      </c>
      <c r="O184" s="176"/>
      <c r="P184" s="176"/>
      <c r="T184" t="s">
        <v>1277</v>
      </c>
    </row>
    <row r="185" spans="14:20" x14ac:dyDescent="0.35">
      <c r="N185" s="177" t="s">
        <v>642</v>
      </c>
      <c r="O185" s="176"/>
      <c r="P185" s="176"/>
      <c r="T185" t="s">
        <v>1278</v>
      </c>
    </row>
    <row r="186" spans="14:20" x14ac:dyDescent="0.35">
      <c r="N186" s="177" t="s">
        <v>648</v>
      </c>
      <c r="O186" s="176"/>
      <c r="P186" s="176"/>
      <c r="T186" t="s">
        <v>1279</v>
      </c>
    </row>
    <row r="187" spans="14:20" x14ac:dyDescent="0.35">
      <c r="N187" s="177" t="s">
        <v>654</v>
      </c>
      <c r="O187" s="176"/>
      <c r="P187" s="176"/>
      <c r="T187" t="s">
        <v>1280</v>
      </c>
    </row>
    <row r="188" spans="14:20" x14ac:dyDescent="0.35">
      <c r="N188" s="177" t="s">
        <v>660</v>
      </c>
      <c r="O188" s="176"/>
      <c r="P188" s="176"/>
      <c r="T188" t="s">
        <v>1281</v>
      </c>
    </row>
    <row r="189" spans="14:20" x14ac:dyDescent="0.35">
      <c r="N189" s="177" t="s">
        <v>672</v>
      </c>
      <c r="O189" s="176"/>
      <c r="P189" s="176"/>
      <c r="T189" t="s">
        <v>1282</v>
      </c>
    </row>
    <row r="190" spans="14:20" x14ac:dyDescent="0.35">
      <c r="N190" s="177" t="s">
        <v>678</v>
      </c>
      <c r="O190" s="176"/>
      <c r="P190" s="176"/>
      <c r="T190" t="s">
        <v>1283</v>
      </c>
    </row>
    <row r="191" spans="14:20" x14ac:dyDescent="0.35">
      <c r="N191" s="177" t="s">
        <v>684</v>
      </c>
      <c r="O191" s="176"/>
      <c r="P191" s="176"/>
      <c r="T191" t="s">
        <v>1284</v>
      </c>
    </row>
    <row r="192" spans="14:20" x14ac:dyDescent="0.35">
      <c r="N192" s="177" t="s">
        <v>690</v>
      </c>
      <c r="O192" s="176"/>
      <c r="P192" s="176"/>
      <c r="T192" t="s">
        <v>1285</v>
      </c>
    </row>
    <row r="193" spans="14:20" x14ac:dyDescent="0.35">
      <c r="N193" s="177" t="s">
        <v>699</v>
      </c>
      <c r="O193" s="176"/>
      <c r="P193" s="176"/>
      <c r="T193" t="s">
        <v>1286</v>
      </c>
    </row>
    <row r="194" spans="14:20" x14ac:dyDescent="0.35">
      <c r="N194" s="177" t="s">
        <v>702</v>
      </c>
      <c r="O194" s="176"/>
      <c r="P194" s="176"/>
      <c r="T194" t="s">
        <v>1287</v>
      </c>
    </row>
    <row r="195" spans="14:20" x14ac:dyDescent="0.35">
      <c r="N195" s="177" t="s">
        <v>709</v>
      </c>
      <c r="O195" s="176"/>
      <c r="P195" s="176"/>
      <c r="T195" t="s">
        <v>1288</v>
      </c>
    </row>
    <row r="196" spans="14:20" x14ac:dyDescent="0.35">
      <c r="N196" s="177" t="s">
        <v>719</v>
      </c>
      <c r="O196" s="176"/>
      <c r="P196" s="176"/>
      <c r="T196" t="s">
        <v>1289</v>
      </c>
    </row>
    <row r="197" spans="14:20" x14ac:dyDescent="0.35">
      <c r="N197" s="177" t="s">
        <v>725</v>
      </c>
      <c r="O197" s="176"/>
      <c r="P197" s="176"/>
      <c r="T197" t="s">
        <v>1290</v>
      </c>
    </row>
    <row r="198" spans="14:20" x14ac:dyDescent="0.35">
      <c r="N198" s="177" t="s">
        <v>731</v>
      </c>
      <c r="O198" s="176"/>
      <c r="P198" s="176"/>
      <c r="T198" t="s">
        <v>1291</v>
      </c>
    </row>
    <row r="199" spans="14:20" x14ac:dyDescent="0.35">
      <c r="N199" s="177" t="s">
        <v>737</v>
      </c>
      <c r="O199" s="176"/>
      <c r="P199" s="176"/>
      <c r="T199" t="s">
        <v>1292</v>
      </c>
    </row>
    <row r="200" spans="14:20" x14ac:dyDescent="0.35">
      <c r="N200" s="177" t="s">
        <v>743</v>
      </c>
      <c r="O200" s="176"/>
      <c r="P200" s="176"/>
      <c r="T200" t="s">
        <v>1293</v>
      </c>
    </row>
    <row r="201" spans="14:20" x14ac:dyDescent="0.35">
      <c r="N201" s="177" t="s">
        <v>749</v>
      </c>
      <c r="O201" s="176"/>
      <c r="P201" s="176"/>
      <c r="T201" t="s">
        <v>1294</v>
      </c>
    </row>
    <row r="202" spans="14:20" x14ac:dyDescent="0.35">
      <c r="T202" t="s">
        <v>1295</v>
      </c>
    </row>
    <row r="203" spans="14:20" x14ac:dyDescent="0.35">
      <c r="T203" t="s">
        <v>1296</v>
      </c>
    </row>
    <row r="204" spans="14:20" x14ac:dyDescent="0.35">
      <c r="T204" t="s">
        <v>1297</v>
      </c>
    </row>
    <row r="205" spans="14:20" x14ac:dyDescent="0.35">
      <c r="T205" t="s">
        <v>1298</v>
      </c>
    </row>
    <row r="206" spans="14:20" x14ac:dyDescent="0.35">
      <c r="T206" t="s">
        <v>1299</v>
      </c>
    </row>
    <row r="207" spans="14:20" x14ac:dyDescent="0.35">
      <c r="T207" t="s">
        <v>1300</v>
      </c>
    </row>
    <row r="208" spans="14:20" x14ac:dyDescent="0.35">
      <c r="T208" t="s">
        <v>1301</v>
      </c>
    </row>
    <row r="209" spans="20:20" x14ac:dyDescent="0.35">
      <c r="T209" t="s">
        <v>1302</v>
      </c>
    </row>
    <row r="210" spans="20:20" x14ac:dyDescent="0.35">
      <c r="T210" t="s">
        <v>1303</v>
      </c>
    </row>
    <row r="211" spans="20:20" x14ac:dyDescent="0.35">
      <c r="T211" t="s">
        <v>1304</v>
      </c>
    </row>
    <row r="212" spans="20:20" x14ac:dyDescent="0.35">
      <c r="T212" t="s">
        <v>1305</v>
      </c>
    </row>
    <row r="213" spans="20:20" x14ac:dyDescent="0.35">
      <c r="T213" t="s">
        <v>1306</v>
      </c>
    </row>
    <row r="214" spans="20:20" x14ac:dyDescent="0.35">
      <c r="T214" t="s">
        <v>1307</v>
      </c>
    </row>
    <row r="215" spans="20:20" x14ac:dyDescent="0.35">
      <c r="T215" t="s">
        <v>1308</v>
      </c>
    </row>
    <row r="216" spans="20:20" x14ac:dyDescent="0.35">
      <c r="T216" t="s">
        <v>1309</v>
      </c>
    </row>
    <row r="217" spans="20:20" x14ac:dyDescent="0.35">
      <c r="T217" t="s">
        <v>1310</v>
      </c>
    </row>
    <row r="218" spans="20:20" x14ac:dyDescent="0.35">
      <c r="T218" t="s">
        <v>1311</v>
      </c>
    </row>
    <row r="219" spans="20:20" x14ac:dyDescent="0.35">
      <c r="T219" t="s">
        <v>1312</v>
      </c>
    </row>
    <row r="220" spans="20:20" x14ac:dyDescent="0.35">
      <c r="T220" t="s">
        <v>1313</v>
      </c>
    </row>
    <row r="221" spans="20:20" x14ac:dyDescent="0.35">
      <c r="T221" t="s">
        <v>1314</v>
      </c>
    </row>
    <row r="222" spans="20:20" x14ac:dyDescent="0.35">
      <c r="T222" t="s">
        <v>1315</v>
      </c>
    </row>
    <row r="223" spans="20:20" x14ac:dyDescent="0.35">
      <c r="T223" t="s">
        <v>1316</v>
      </c>
    </row>
    <row r="224" spans="20:20" x14ac:dyDescent="0.35">
      <c r="T224" t="s">
        <v>1317</v>
      </c>
    </row>
    <row r="225" spans="20:20" x14ac:dyDescent="0.35">
      <c r="T225" t="s">
        <v>1318</v>
      </c>
    </row>
    <row r="226" spans="20:20" x14ac:dyDescent="0.35">
      <c r="T226" t="s">
        <v>1319</v>
      </c>
    </row>
    <row r="227" spans="20:20" x14ac:dyDescent="0.35">
      <c r="T227" t="s">
        <v>1320</v>
      </c>
    </row>
    <row r="228" spans="20:20" x14ac:dyDescent="0.35">
      <c r="T228" t="s">
        <v>1321</v>
      </c>
    </row>
    <row r="229" spans="20:20" x14ac:dyDescent="0.35">
      <c r="T229" t="s">
        <v>1322</v>
      </c>
    </row>
    <row r="230" spans="20:20" x14ac:dyDescent="0.35">
      <c r="T230" t="s">
        <v>1323</v>
      </c>
    </row>
    <row r="231" spans="20:20" x14ac:dyDescent="0.35">
      <c r="T231" t="s">
        <v>1324</v>
      </c>
    </row>
    <row r="232" spans="20:20" x14ac:dyDescent="0.35">
      <c r="T232" t="s">
        <v>1325</v>
      </c>
    </row>
    <row r="233" spans="20:20" x14ac:dyDescent="0.35">
      <c r="T233" t="s">
        <v>1326</v>
      </c>
    </row>
    <row r="234" spans="20:20" x14ac:dyDescent="0.35">
      <c r="T234" t="s">
        <v>1327</v>
      </c>
    </row>
    <row r="235" spans="20:20" x14ac:dyDescent="0.35">
      <c r="T235" t="s">
        <v>1328</v>
      </c>
    </row>
    <row r="236" spans="20:20" x14ac:dyDescent="0.35">
      <c r="T236" t="s">
        <v>1329</v>
      </c>
    </row>
    <row r="237" spans="20:20" x14ac:dyDescent="0.35">
      <c r="T237" t="s">
        <v>1330</v>
      </c>
    </row>
    <row r="238" spans="20:20" x14ac:dyDescent="0.35">
      <c r="T238" t="s">
        <v>1331</v>
      </c>
    </row>
    <row r="239" spans="20:20" x14ac:dyDescent="0.35">
      <c r="T239" t="s">
        <v>1332</v>
      </c>
    </row>
    <row r="240" spans="20:20" x14ac:dyDescent="0.35">
      <c r="T240" t="s">
        <v>1333</v>
      </c>
    </row>
    <row r="241" spans="20:20" x14ac:dyDescent="0.35">
      <c r="T241" t="s">
        <v>1334</v>
      </c>
    </row>
    <row r="242" spans="20:20" x14ac:dyDescent="0.35">
      <c r="T242" t="s">
        <v>1335</v>
      </c>
    </row>
    <row r="243" spans="20:20" x14ac:dyDescent="0.35">
      <c r="T243" t="s">
        <v>1336</v>
      </c>
    </row>
    <row r="244" spans="20:20" x14ac:dyDescent="0.35">
      <c r="T244" t="s">
        <v>1337</v>
      </c>
    </row>
    <row r="245" spans="20:20" x14ac:dyDescent="0.35">
      <c r="T245" t="s">
        <v>1338</v>
      </c>
    </row>
    <row r="246" spans="20:20" x14ac:dyDescent="0.35">
      <c r="T246" t="s">
        <v>1339</v>
      </c>
    </row>
    <row r="247" spans="20:20" x14ac:dyDescent="0.35">
      <c r="T247" t="s">
        <v>1340</v>
      </c>
    </row>
    <row r="248" spans="20:20" x14ac:dyDescent="0.35">
      <c r="T248" t="s">
        <v>1341</v>
      </c>
    </row>
    <row r="249" spans="20:20" x14ac:dyDescent="0.35">
      <c r="T249" t="s">
        <v>1342</v>
      </c>
    </row>
    <row r="250" spans="20:20" x14ac:dyDescent="0.35">
      <c r="T250" t="s">
        <v>1343</v>
      </c>
    </row>
    <row r="251" spans="20:20" x14ac:dyDescent="0.35">
      <c r="T251" t="s">
        <v>1344</v>
      </c>
    </row>
    <row r="252" spans="20:20" x14ac:dyDescent="0.35">
      <c r="T252" t="s">
        <v>1345</v>
      </c>
    </row>
    <row r="253" spans="20:20" x14ac:dyDescent="0.35">
      <c r="T253" t="s">
        <v>1346</v>
      </c>
    </row>
    <row r="254" spans="20:20" x14ac:dyDescent="0.35">
      <c r="T254" t="s">
        <v>1347</v>
      </c>
    </row>
    <row r="255" spans="20:20" x14ac:dyDescent="0.35">
      <c r="T255" t="s">
        <v>1348</v>
      </c>
    </row>
    <row r="256" spans="20:20" x14ac:dyDescent="0.35">
      <c r="T256" t="s">
        <v>1349</v>
      </c>
    </row>
    <row r="257" spans="20:20" x14ac:dyDescent="0.35">
      <c r="T257" t="s">
        <v>1350</v>
      </c>
    </row>
    <row r="258" spans="20:20" x14ac:dyDescent="0.35">
      <c r="T258" t="s">
        <v>1351</v>
      </c>
    </row>
    <row r="259" spans="20:20" x14ac:dyDescent="0.35">
      <c r="T259" t="s">
        <v>1352</v>
      </c>
    </row>
    <row r="260" spans="20:20" x14ac:dyDescent="0.35">
      <c r="T260" t="s">
        <v>1353</v>
      </c>
    </row>
    <row r="261" spans="20:20" x14ac:dyDescent="0.35">
      <c r="T261" t="s">
        <v>1354</v>
      </c>
    </row>
    <row r="262" spans="20:20" x14ac:dyDescent="0.35">
      <c r="T262" t="s">
        <v>1355</v>
      </c>
    </row>
    <row r="263" spans="20:20" x14ac:dyDescent="0.35">
      <c r="T263" t="s">
        <v>1356</v>
      </c>
    </row>
    <row r="264" spans="20:20" x14ac:dyDescent="0.35">
      <c r="T264" t="s">
        <v>1357</v>
      </c>
    </row>
    <row r="265" spans="20:20" x14ac:dyDescent="0.35">
      <c r="T265" t="s">
        <v>1358</v>
      </c>
    </row>
    <row r="266" spans="20:20" x14ac:dyDescent="0.35">
      <c r="T266" t="s">
        <v>1359</v>
      </c>
    </row>
    <row r="267" spans="20:20" x14ac:dyDescent="0.35">
      <c r="T267" t="s">
        <v>1360</v>
      </c>
    </row>
    <row r="268" spans="20:20" x14ac:dyDescent="0.35">
      <c r="T268" t="s">
        <v>1361</v>
      </c>
    </row>
    <row r="269" spans="20:20" x14ac:dyDescent="0.35">
      <c r="T269" t="s">
        <v>1362</v>
      </c>
    </row>
    <row r="270" spans="20:20" x14ac:dyDescent="0.35">
      <c r="T270" t="s">
        <v>1363</v>
      </c>
    </row>
    <row r="271" spans="20:20" x14ac:dyDescent="0.35">
      <c r="T271" t="s">
        <v>1364</v>
      </c>
    </row>
    <row r="272" spans="20:20" x14ac:dyDescent="0.35">
      <c r="T272" t="s">
        <v>1365</v>
      </c>
    </row>
    <row r="273" spans="20:20" x14ac:dyDescent="0.35">
      <c r="T273" t="s">
        <v>1366</v>
      </c>
    </row>
    <row r="274" spans="20:20" x14ac:dyDescent="0.35">
      <c r="T274" t="s">
        <v>1367</v>
      </c>
    </row>
    <row r="275" spans="20:20" x14ac:dyDescent="0.35">
      <c r="T275" t="s">
        <v>1368</v>
      </c>
    </row>
    <row r="276" spans="20:20" x14ac:dyDescent="0.35">
      <c r="T276" t="s">
        <v>1369</v>
      </c>
    </row>
    <row r="277" spans="20:20" x14ac:dyDescent="0.35">
      <c r="T277" t="s">
        <v>1370</v>
      </c>
    </row>
    <row r="278" spans="20:20" x14ac:dyDescent="0.35">
      <c r="T278" t="s">
        <v>1371</v>
      </c>
    </row>
    <row r="279" spans="20:20" x14ac:dyDescent="0.35">
      <c r="T279" t="s">
        <v>1372</v>
      </c>
    </row>
    <row r="280" spans="20:20" x14ac:dyDescent="0.35">
      <c r="T280" t="s">
        <v>1373</v>
      </c>
    </row>
    <row r="281" spans="20:20" x14ac:dyDescent="0.35">
      <c r="T281" t="s">
        <v>1374</v>
      </c>
    </row>
    <row r="282" spans="20:20" x14ac:dyDescent="0.35">
      <c r="T282" t="s">
        <v>1375</v>
      </c>
    </row>
    <row r="283" spans="20:20" x14ac:dyDescent="0.35">
      <c r="T283" t="s">
        <v>1376</v>
      </c>
    </row>
    <row r="284" spans="20:20" x14ac:dyDescent="0.35">
      <c r="T284" t="s">
        <v>1377</v>
      </c>
    </row>
    <row r="285" spans="20:20" x14ac:dyDescent="0.35">
      <c r="T285" t="s">
        <v>1378</v>
      </c>
    </row>
    <row r="286" spans="20:20" x14ac:dyDescent="0.35">
      <c r="T286" t="s">
        <v>1379</v>
      </c>
    </row>
    <row r="287" spans="20:20" x14ac:dyDescent="0.35">
      <c r="T287" t="s">
        <v>1380</v>
      </c>
    </row>
    <row r="288" spans="20:20" x14ac:dyDescent="0.35">
      <c r="T288" t="s">
        <v>1381</v>
      </c>
    </row>
    <row r="289" spans="20:20" x14ac:dyDescent="0.35">
      <c r="T289" t="s">
        <v>1382</v>
      </c>
    </row>
    <row r="290" spans="20:20" x14ac:dyDescent="0.35">
      <c r="T290" t="s">
        <v>1383</v>
      </c>
    </row>
    <row r="291" spans="20:20" x14ac:dyDescent="0.35">
      <c r="T291" t="s">
        <v>1384</v>
      </c>
    </row>
    <row r="292" spans="20:20" x14ac:dyDescent="0.35">
      <c r="T292" t="s">
        <v>1385</v>
      </c>
    </row>
    <row r="293" spans="20:20" x14ac:dyDescent="0.35">
      <c r="T293" t="s">
        <v>1386</v>
      </c>
    </row>
    <row r="294" spans="20:20" x14ac:dyDescent="0.35">
      <c r="T294" t="s">
        <v>1387</v>
      </c>
    </row>
    <row r="295" spans="20:20" x14ac:dyDescent="0.35">
      <c r="T295" t="s">
        <v>1388</v>
      </c>
    </row>
    <row r="296" spans="20:20" x14ac:dyDescent="0.35">
      <c r="T296" t="s">
        <v>1389</v>
      </c>
    </row>
    <row r="297" spans="20:20" x14ac:dyDescent="0.35">
      <c r="T297" t="s">
        <v>1390</v>
      </c>
    </row>
  </sheetData>
  <mergeCells count="1">
    <mergeCell ref="N1:O1"/>
  </mergeCells>
  <pageMargins left="0.7" right="0.7" top="0.75" bottom="0.75" header="0.3" footer="0.3"/>
  <pageSetup paperSize="9" orientation="portrait" r:id="rId1"/>
  <drawing r:id="rId2"/>
  <tableParts count="3">
    <tablePart r:id="rId3"/>
    <tablePart r:id="rId4"/>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6668C-C63C-4663-AC46-7EBF440AA829}">
  <sheetPr codeName="Sheet4">
    <tabColor rgb="FF62A60E"/>
    <pageSetUpPr fitToPage="1"/>
  </sheetPr>
  <dimension ref="A1:XFC54"/>
  <sheetViews>
    <sheetView showGridLines="0" topLeftCell="A25" zoomScaleNormal="100" workbookViewId="0">
      <selection activeCell="C34" sqref="C34"/>
    </sheetView>
  </sheetViews>
  <sheetFormatPr defaultColWidth="0" defaultRowHeight="14.5" zeroHeight="1" x14ac:dyDescent="0.35"/>
  <cols>
    <col min="1" max="1" width="3.453125" customWidth="1"/>
    <col min="2" max="2" width="52.81640625" customWidth="1"/>
    <col min="3" max="3" width="66" customWidth="1"/>
    <col min="4" max="4" width="6" customWidth="1"/>
    <col min="5" max="16383" width="8.7265625" hidden="1"/>
    <col min="16384" max="16384" width="6" hidden="1"/>
  </cols>
  <sheetData>
    <row r="1" spans="2:4" x14ac:dyDescent="0.35"/>
    <row r="2" spans="2:4" ht="43" customHeight="1" x14ac:dyDescent="0.45">
      <c r="B2" s="639" t="s">
        <v>77</v>
      </c>
      <c r="C2" s="639"/>
      <c r="D2" s="387"/>
    </row>
    <row r="3" spans="2:4" ht="11.5" customHeight="1" x14ac:dyDescent="0.45">
      <c r="B3" s="393"/>
      <c r="C3" s="393"/>
      <c r="D3" s="387"/>
    </row>
    <row r="4" spans="2:4" s="176" customFormat="1" ht="57.75" customHeight="1" x14ac:dyDescent="0.35">
      <c r="B4" s="640" t="s">
        <v>1428</v>
      </c>
      <c r="C4" s="640"/>
      <c r="D4" s="387"/>
    </row>
    <row r="5" spans="2:4" x14ac:dyDescent="0.35"/>
    <row r="6" spans="2:4" ht="21" customHeight="1" x14ac:dyDescent="0.35">
      <c r="B6" s="3" t="s">
        <v>78</v>
      </c>
      <c r="C6" s="159" t="str">
        <f>IF(ISBLANK('Site Details'!C6),"",'Site Details'!C6)</f>
        <v/>
      </c>
    </row>
    <row r="7" spans="2:4" ht="21" customHeight="1" x14ac:dyDescent="0.35">
      <c r="B7" s="3" t="s">
        <v>64</v>
      </c>
      <c r="C7" s="159" t="str">
        <f>IF(ISBLANK('Site Details'!C7),"",'Site Details'!C7)</f>
        <v/>
      </c>
    </row>
    <row r="8" spans="2:4" x14ac:dyDescent="0.35"/>
    <row r="9" spans="2:4" ht="15" x14ac:dyDescent="0.35">
      <c r="B9" s="581" t="s">
        <v>79</v>
      </c>
      <c r="C9" s="582"/>
    </row>
    <row r="10" spans="2:4" ht="17.25" customHeight="1" x14ac:dyDescent="0.35">
      <c r="B10" s="3" t="s">
        <v>80</v>
      </c>
      <c r="C10" s="388"/>
    </row>
    <row r="11" spans="2:4" ht="17.25" customHeight="1" x14ac:dyDescent="0.35">
      <c r="B11" s="3" t="s">
        <v>81</v>
      </c>
      <c r="C11" s="388"/>
    </row>
    <row r="12" spans="2:4" ht="17.25" customHeight="1" x14ac:dyDescent="0.35">
      <c r="B12" s="3" t="s">
        <v>82</v>
      </c>
      <c r="C12" s="388"/>
    </row>
    <row r="13" spans="2:4" ht="17.25" customHeight="1" x14ac:dyDescent="0.35">
      <c r="B13" s="3" t="s">
        <v>83</v>
      </c>
      <c r="C13" s="394"/>
    </row>
    <row r="14" spans="2:4" ht="17.25" customHeight="1" x14ac:dyDescent="0.35">
      <c r="B14" s="3" t="s">
        <v>84</v>
      </c>
      <c r="C14" s="394"/>
    </row>
    <row r="15" spans="2:4" ht="17.25" customHeight="1" x14ac:dyDescent="0.35">
      <c r="B15" s="3" t="s">
        <v>85</v>
      </c>
      <c r="C15" s="395"/>
    </row>
    <row r="16" spans="2:4" x14ac:dyDescent="0.35">
      <c r="B16" s="3" t="s">
        <v>86</v>
      </c>
      <c r="C16" s="388"/>
    </row>
    <row r="17" spans="2:5" ht="17.25" customHeight="1" x14ac:dyDescent="0.35">
      <c r="B17" s="3" t="s">
        <v>87</v>
      </c>
      <c r="C17" s="388"/>
    </row>
    <row r="18" spans="2:5" ht="17.25" customHeight="1" x14ac:dyDescent="0.35">
      <c r="B18" s="3" t="s">
        <v>88</v>
      </c>
      <c r="C18" s="388"/>
    </row>
    <row r="19" spans="2:5" ht="17.25" customHeight="1" x14ac:dyDescent="0.35">
      <c r="B19" s="3" t="s">
        <v>89</v>
      </c>
      <c r="C19" s="388"/>
    </row>
    <row r="20" spans="2:5" ht="17.25" customHeight="1" x14ac:dyDescent="0.35">
      <c r="B20" s="3" t="s">
        <v>90</v>
      </c>
      <c r="C20" s="388"/>
    </row>
    <row r="21" spans="2:5" ht="35.25" customHeight="1" x14ac:dyDescent="0.35">
      <c r="B21" s="3" t="s">
        <v>91</v>
      </c>
      <c r="C21" s="388"/>
    </row>
    <row r="22" spans="2:5" ht="19" customHeight="1" x14ac:dyDescent="0.35"/>
    <row r="23" spans="2:5" ht="15" x14ac:dyDescent="0.35">
      <c r="B23" s="581" t="s">
        <v>92</v>
      </c>
      <c r="C23" s="582"/>
    </row>
    <row r="24" spans="2:5" ht="85.5" customHeight="1" x14ac:dyDescent="0.35">
      <c r="B24" s="641" t="s">
        <v>1425</v>
      </c>
      <c r="C24" s="642"/>
    </row>
    <row r="25" spans="2:5" s="357" customFormat="1" ht="18.75" customHeight="1" x14ac:dyDescent="0.35">
      <c r="B25" s="643" t="str">
        <f>HYPERLINK("https://www.gov.uk/guidance/update-personal-and-business-details-in-the-rural-payments-service","Register and update your details with the Rural Payments Agency - GOV.UK")</f>
        <v>Register and update your details with the Rural Payments Agency - GOV.UK</v>
      </c>
      <c r="C25" s="644"/>
    </row>
    <row r="26" spans="2:5" s="10" customFormat="1" ht="17.25" customHeight="1" x14ac:dyDescent="0.35">
      <c r="B26" s="3" t="s">
        <v>93</v>
      </c>
      <c r="C26" s="388"/>
      <c r="E26"/>
    </row>
    <row r="27" spans="2:5" s="10" customFormat="1" ht="17.25" customHeight="1" x14ac:dyDescent="0.35">
      <c r="B27" s="3" t="s">
        <v>94</v>
      </c>
      <c r="C27" s="388"/>
      <c r="E27"/>
    </row>
    <row r="28" spans="2:5" s="10" customFormat="1" ht="17.25" customHeight="1" x14ac:dyDescent="0.35">
      <c r="B28" s="3" t="s">
        <v>95</v>
      </c>
      <c r="C28" s="394"/>
      <c r="E28"/>
    </row>
    <row r="29" spans="2:5" s="10" customFormat="1" ht="32.25" customHeight="1" x14ac:dyDescent="0.35">
      <c r="B29" s="3" t="s">
        <v>96</v>
      </c>
      <c r="C29" s="388"/>
      <c r="E29"/>
    </row>
    <row r="30" spans="2:5" x14ac:dyDescent="0.35"/>
    <row r="31" spans="2:5" ht="15" x14ac:dyDescent="0.35">
      <c r="B31" s="581" t="s">
        <v>97</v>
      </c>
      <c r="C31" s="582"/>
    </row>
    <row r="32" spans="2:5" ht="57.75" customHeight="1" x14ac:dyDescent="0.35">
      <c r="B32" s="637" t="s">
        <v>1426</v>
      </c>
      <c r="C32" s="638"/>
    </row>
    <row r="33" spans="1:3" s="357" customFormat="1" ht="17.25" customHeight="1" x14ac:dyDescent="0.35">
      <c r="B33" s="325" t="str">
        <f>HYPERLINK("https://www.gov.uk/government/publications/forestry-commission-agent-authority-form","Forestry Commission agent authority form - GOV.UK")</f>
        <v>Forestry Commission agent authority form - GOV.UK</v>
      </c>
      <c r="C33" s="260"/>
    </row>
    <row r="34" spans="1:3" ht="48" customHeight="1" x14ac:dyDescent="0.35">
      <c r="B34" s="3" t="s">
        <v>98</v>
      </c>
      <c r="C34" s="388"/>
    </row>
    <row r="35" spans="1:3" ht="19.5" customHeight="1" x14ac:dyDescent="0.35">
      <c r="B35" s="3" t="s">
        <v>99</v>
      </c>
      <c r="C35" s="388"/>
    </row>
    <row r="36" spans="1:3" ht="33.75" customHeight="1" x14ac:dyDescent="0.35">
      <c r="B36" s="3" t="s">
        <v>100</v>
      </c>
      <c r="C36" s="388"/>
    </row>
    <row r="37" spans="1:3" ht="31.5" customHeight="1" x14ac:dyDescent="0.35">
      <c r="B37" s="3" t="s">
        <v>101</v>
      </c>
      <c r="C37" s="396"/>
    </row>
    <row r="38" spans="1:3" x14ac:dyDescent="0.35">
      <c r="B38" s="397" t="s">
        <v>1427</v>
      </c>
    </row>
    <row r="39" spans="1:3" ht="15" x14ac:dyDescent="0.35">
      <c r="B39" s="581" t="s">
        <v>12</v>
      </c>
      <c r="C39" s="582"/>
    </row>
    <row r="40" spans="1:3" s="357" customFormat="1" ht="18.75" customHeight="1" x14ac:dyDescent="0.35">
      <c r="B40" s="635" t="s">
        <v>1427</v>
      </c>
      <c r="C40" s="636"/>
    </row>
    <row r="41" spans="1:3" s="357" customFormat="1" ht="18" customHeight="1" x14ac:dyDescent="0.35">
      <c r="A41" s="398"/>
      <c r="B41" s="325" t="str">
        <f>HYPERLINK("https://www.gov.uk/government/publications/woodland-creation-planning-grant-application-form","Woodland Creation Planning Grant documentation - GOV.UK")</f>
        <v>Woodland Creation Planning Grant documentation - GOV.UK</v>
      </c>
      <c r="C41" s="399"/>
    </row>
    <row r="42" spans="1:3" x14ac:dyDescent="0.35">
      <c r="B42" s="369"/>
      <c r="C42" s="369"/>
    </row>
    <row r="49" customFormat="1" hidden="1" x14ac:dyDescent="0.35"/>
    <row r="50" customFormat="1" hidden="1" x14ac:dyDescent="0.35"/>
    <row r="51" customFormat="1" hidden="1" x14ac:dyDescent="0.35"/>
    <row r="52" customFormat="1" hidden="1" x14ac:dyDescent="0.35"/>
    <row r="53" customFormat="1" hidden="1" x14ac:dyDescent="0.35"/>
    <row r="54" customFormat="1" hidden="1" x14ac:dyDescent="0.35"/>
  </sheetData>
  <sheetProtection algorithmName="SHA-512" hashValue="jRtFOgo9gfLaMNTrbvy7e1cvvUr0BeI7MAErsOGiTW7eRhORWpEymBO53l/8J0wiNxMDfTMJkwnCK8WY7dbBKg==" saltValue="WEZY1H3amJ9tlq4fkpnw2Q==" spinCount="100000" sheet="1" objects="1" scenarios="1"/>
  <mergeCells count="10">
    <mergeCell ref="B39:C39"/>
    <mergeCell ref="B40:C40"/>
    <mergeCell ref="B32:C32"/>
    <mergeCell ref="B2:C2"/>
    <mergeCell ref="B9:C9"/>
    <mergeCell ref="B31:C31"/>
    <mergeCell ref="B4:C4"/>
    <mergeCell ref="B23:C23"/>
    <mergeCell ref="B24:C24"/>
    <mergeCell ref="B25:C25"/>
  </mergeCells>
  <conditionalFormatting sqref="B35:C37">
    <cfRule type="expression" dxfId="71" priority="1">
      <formula>$C$34=#REF!</formula>
    </cfRule>
  </conditionalFormatting>
  <conditionalFormatting sqref="C10:C21 C26:C29">
    <cfRule type="containsBlanks" dxfId="70" priority="4">
      <formula>LEN(TRIM(C10))=0</formula>
    </cfRule>
  </conditionalFormatting>
  <conditionalFormatting sqref="C34:C37">
    <cfRule type="containsBlanks" dxfId="69" priority="3">
      <formula>LEN(TRIM(C34))=0</formula>
    </cfRule>
  </conditionalFormatting>
  <hyperlinks>
    <hyperlink ref="B25" r:id="rId1" display="https://www.gov.uk/guidance/update-personal-and-business-details-in-the-rural-payments-service" xr:uid="{F65343FC-3A8A-40EC-9403-BCBD658C7EDE}"/>
    <hyperlink ref="B33" r:id="rId2" display="https://www.gov.uk/government/publications/forestry-commission-agent-authority-form" xr:uid="{65560DE3-C228-4204-B6AE-24E03DE83020}"/>
    <hyperlink ref="B41" r:id="rId3" display="Woodland Creation Planning Grant documentation - GOV.UK" xr:uid="{65FDFA45-24F0-47CA-B75D-D358DD0AB84A}"/>
  </hyperlinks>
  <pageMargins left="0.70866141732283472" right="0.70866141732283472" top="0.74803149606299213" bottom="0.74803149606299213" header="0.31496062992125984" footer="0.31496062992125984"/>
  <pageSetup paperSize="9" scale="69" orientation="portrait" r:id="rId4"/>
  <drawing r:id="rId5"/>
  <extLst>
    <ext xmlns:x14="http://schemas.microsoft.com/office/spreadsheetml/2009/9/main" uri="{CCE6A557-97BC-4b89-ADB6-D9C93CAAB3DF}">
      <x14:dataValidations xmlns:xm="http://schemas.microsoft.com/office/excel/2006/main" count="5">
        <x14:dataValidation type="list" allowBlank="1" showInputMessage="1" showErrorMessage="1" xr:uid="{18E4747F-4B31-4ACD-B332-7336FFC33533}">
          <x14:formula1>
            <xm:f>'Data (hidden)'!$F$3:$F$5</xm:f>
          </x14:formula1>
          <xm:sqref>C21</xm:sqref>
        </x14:dataValidation>
        <x14:dataValidation type="list" allowBlank="1" showInputMessage="1" showErrorMessage="1" xr:uid="{1FBFEC5E-FC1E-466A-AE86-7B18AEB5E42F}">
          <x14:formula1>
            <xm:f>'Data (hidden)'!$I$3:$I$4</xm:f>
          </x14:formula1>
          <xm:sqref>C37</xm:sqref>
        </x14:dataValidation>
        <x14:dataValidation type="list" allowBlank="1" showInputMessage="1" showErrorMessage="1" xr:uid="{64576EC3-7488-4232-8392-40254AE48CD4}">
          <x14:formula1>
            <xm:f>'Data (hidden)'!$G$3:$G$14</xm:f>
          </x14:formula1>
          <xm:sqref>C29</xm:sqref>
        </x14:dataValidation>
        <x14:dataValidation type="list" allowBlank="1" showInputMessage="1" showErrorMessage="1" xr:uid="{86DC5D60-AE92-4C6B-AD70-9BB737D6AB75}">
          <x14:formula1>
            <xm:f>'Data (hidden)'!$H$3:$H$4</xm:f>
          </x14:formula1>
          <xm:sqref>C34</xm:sqref>
        </x14:dataValidation>
        <x14:dataValidation type="list" allowBlank="1" showInputMessage="1" showErrorMessage="1" xr:uid="{C4F76260-93B9-4173-885A-B1CC3078F11C}">
          <x14:formula1>
            <xm:f>'Data (hidden)'!$H$6:$H$7</xm:f>
          </x14:formula1>
          <xm:sqref>C36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27982-8CAD-4D46-A9F4-89C6CCA2EA91}">
  <sheetPr codeName="Sheet5">
    <tabColor rgb="FF62A60E"/>
    <pageSetUpPr fitToPage="1"/>
  </sheetPr>
  <dimension ref="A1:C23"/>
  <sheetViews>
    <sheetView showGridLines="0" zoomScaleNormal="100" workbookViewId="0">
      <selection sqref="A1:XFD1048576"/>
    </sheetView>
  </sheetViews>
  <sheetFormatPr defaultColWidth="0" defaultRowHeight="13.5" zeroHeight="1" x14ac:dyDescent="0.25"/>
  <cols>
    <col min="1" max="1" width="3.81640625" style="400" customWidth="1"/>
    <col min="2" max="2" width="127.453125" style="400" customWidth="1"/>
    <col min="3" max="3" width="4.453125" style="400" customWidth="1"/>
    <col min="4" max="16384" width="8.7265625" style="400" hidden="1"/>
  </cols>
  <sheetData>
    <row r="1" spans="1:2" x14ac:dyDescent="0.25"/>
    <row r="2" spans="1:2" ht="33" customHeight="1" x14ac:dyDescent="0.45">
      <c r="B2" s="401" t="s">
        <v>102</v>
      </c>
    </row>
    <row r="3" spans="1:2" x14ac:dyDescent="0.25"/>
    <row r="4" spans="1:2" ht="100.5" customHeight="1" x14ac:dyDescent="0.25">
      <c r="B4" s="266" t="s">
        <v>1502</v>
      </c>
    </row>
    <row r="5" spans="1:2" s="403" customFormat="1" ht="17.25" customHeight="1" x14ac:dyDescent="0.35">
      <c r="A5" s="402"/>
      <c r="B5" s="326" t="str">
        <f>HYPERLINK("https://www.gov.uk/government/publications/the-uk-forestry-standard","The UK Forestry Standard - GOV.UK")</f>
        <v>The UK Forestry Standard - GOV.UK</v>
      </c>
    </row>
    <row r="6" spans="1:2" ht="16.5" customHeight="1" x14ac:dyDescent="0.35">
      <c r="B6"/>
    </row>
    <row r="7" spans="1:2" customFormat="1" ht="14.5" x14ac:dyDescent="0.35">
      <c r="B7" s="3" t="s">
        <v>78</v>
      </c>
    </row>
    <row r="8" spans="1:2" customFormat="1" ht="14.5" x14ac:dyDescent="0.35">
      <c r="B8" s="159" t="str">
        <f>IF(ISBLANK('Site Details'!C6),"",'Site Details'!C6)</f>
        <v/>
      </c>
    </row>
    <row r="9" spans="1:2" customFormat="1" ht="14.5" x14ac:dyDescent="0.35">
      <c r="B9" s="3" t="s">
        <v>64</v>
      </c>
    </row>
    <row r="10" spans="1:2" customFormat="1" ht="14.5" x14ac:dyDescent="0.35">
      <c r="B10" s="160" t="str">
        <f>IF(ISBLANK('Site Details'!C7),"",'Site Details'!C7)</f>
        <v/>
      </c>
    </row>
    <row r="11" spans="1:2" x14ac:dyDescent="0.25"/>
    <row r="12" spans="1:2" ht="15" x14ac:dyDescent="0.25">
      <c r="B12" s="12" t="s">
        <v>103</v>
      </c>
    </row>
    <row r="13" spans="1:2" x14ac:dyDescent="0.25">
      <c r="B13" s="404"/>
    </row>
    <row r="14" spans="1:2" ht="14.5" x14ac:dyDescent="0.35">
      <c r="B14"/>
    </row>
    <row r="15" spans="1:2" ht="15" x14ac:dyDescent="0.25">
      <c r="B15" s="12" t="s">
        <v>104</v>
      </c>
    </row>
    <row r="16" spans="1:2" x14ac:dyDescent="0.25">
      <c r="B16" s="404"/>
    </row>
    <row r="17" spans="2:2" x14ac:dyDescent="0.25"/>
    <row r="18" spans="2:2" ht="15" x14ac:dyDescent="0.25">
      <c r="B18" s="12" t="s">
        <v>105</v>
      </c>
    </row>
    <row r="19" spans="2:2" x14ac:dyDescent="0.25">
      <c r="B19" s="404"/>
    </row>
    <row r="20" spans="2:2" x14ac:dyDescent="0.25"/>
    <row r="21" spans="2:2" ht="15" x14ac:dyDescent="0.25">
      <c r="B21" s="12" t="s">
        <v>106</v>
      </c>
    </row>
    <row r="22" spans="2:2" x14ac:dyDescent="0.25">
      <c r="B22" s="405"/>
    </row>
    <row r="23" spans="2:2" x14ac:dyDescent="0.25"/>
  </sheetData>
  <sheetProtection algorithmName="SHA-512" hashValue="SXgIJZwTgI3l8fcOJ+fglOgFclhIbrDKAwkCSqkl8SOd+uBgeaAdBVH/BfCJxh4Nia6KXjHRZ+khLa88fLpy+Q==" saltValue="4MerfeKLzPEM3BDeSLXo5w==" spinCount="100000" sheet="1" objects="1" scenarios="1" selectLockedCells="1"/>
  <conditionalFormatting sqref="B13">
    <cfRule type="containsBlanks" dxfId="68" priority="9">
      <formula>LEN(TRIM(B13))=0</formula>
    </cfRule>
  </conditionalFormatting>
  <conditionalFormatting sqref="B16">
    <cfRule type="containsBlanks" dxfId="67" priority="5">
      <formula>LEN(TRIM(B16))=0</formula>
    </cfRule>
  </conditionalFormatting>
  <conditionalFormatting sqref="B19">
    <cfRule type="containsBlanks" dxfId="66" priority="4">
      <formula>LEN(TRIM(B19))=0</formula>
    </cfRule>
  </conditionalFormatting>
  <conditionalFormatting sqref="B22">
    <cfRule type="containsBlanks" dxfId="65" priority="1">
      <formula>LEN(TRIM(B22))=0</formula>
    </cfRule>
    <cfRule type="notContainsBlanks" dxfId="64" priority="3">
      <formula>LEN(TRIM(B22))&gt;0</formula>
    </cfRule>
  </conditionalFormatting>
  <hyperlinks>
    <hyperlink ref="B5" r:id="rId1" display="https://www.gov.uk/government/publications/the-uk-forestry-standard" xr:uid="{B8585380-3054-4455-8A3F-98528E0F5AB6}"/>
  </hyperlinks>
  <pageMargins left="0.70866141732283472" right="0.70866141732283472" top="0.74803149606299213" bottom="0.74803149606299213" header="0.31496062992125984" footer="0.31496062992125984"/>
  <pageSetup paperSize="9" scale="64" fitToHeight="0"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5ACDF-13B4-4793-B054-E06662D919FA}">
  <sheetPr codeName="Sheet1">
    <tabColor rgb="FF006939"/>
    <pageSetUpPr fitToPage="1"/>
  </sheetPr>
  <dimension ref="A1:J55"/>
  <sheetViews>
    <sheetView showGridLines="0" zoomScaleNormal="100" workbookViewId="0">
      <selection sqref="A1:XFD1048576"/>
    </sheetView>
  </sheetViews>
  <sheetFormatPr defaultColWidth="0" defaultRowHeight="14.5" zeroHeight="1" x14ac:dyDescent="0.35"/>
  <cols>
    <col min="1" max="1" width="2.7265625" customWidth="1"/>
    <col min="2" max="2" width="57" customWidth="1"/>
    <col min="3" max="3" width="62.54296875" customWidth="1"/>
    <col min="4" max="4" width="17.54296875" customWidth="1"/>
    <col min="5" max="5" width="86.453125" customWidth="1"/>
    <col min="6" max="6" width="18.7265625" customWidth="1"/>
    <col min="7" max="7" width="5.1796875" customWidth="1"/>
    <col min="8" max="8" width="0" hidden="1" customWidth="1"/>
  </cols>
  <sheetData>
    <row r="1" spans="1:6" x14ac:dyDescent="0.35"/>
    <row r="2" spans="1:6" ht="36.65" customHeight="1" x14ac:dyDescent="0.45">
      <c r="B2" s="639" t="s">
        <v>107</v>
      </c>
      <c r="C2" s="639"/>
      <c r="D2" s="639"/>
      <c r="E2" s="639"/>
      <c r="F2" s="392"/>
    </row>
    <row r="3" spans="1:6" ht="14.15" customHeight="1" x14ac:dyDescent="0.35">
      <c r="B3" s="406"/>
      <c r="C3" s="406"/>
      <c r="D3" s="406"/>
      <c r="E3" s="406"/>
      <c r="F3" s="406"/>
    </row>
    <row r="4" spans="1:6" ht="31.5" customHeight="1" x14ac:dyDescent="0.35">
      <c r="B4" s="618" t="s">
        <v>1438</v>
      </c>
      <c r="C4" s="619"/>
      <c r="D4" s="619"/>
      <c r="E4" s="619"/>
      <c r="F4" s="407"/>
    </row>
    <row r="5" spans="1:6" x14ac:dyDescent="0.35">
      <c r="B5" s="327" t="str">
        <f>HYPERLINK("https://magic.defra.gov.uk/MagicMap.html","Magic Map Application")</f>
        <v>Magic Map Application</v>
      </c>
      <c r="C5" s="354"/>
      <c r="D5" s="354"/>
      <c r="E5" s="354"/>
      <c r="F5" s="358"/>
    </row>
    <row r="6" spans="1:6" ht="114.75" customHeight="1" x14ac:dyDescent="0.35">
      <c r="B6" s="646" t="s">
        <v>1437</v>
      </c>
      <c r="C6" s="647"/>
      <c r="D6" s="647"/>
      <c r="E6" s="647"/>
      <c r="F6" s="648"/>
    </row>
    <row r="7" spans="1:6" x14ac:dyDescent="0.35">
      <c r="B7" s="410"/>
    </row>
    <row r="8" spans="1:6" ht="21" customHeight="1" x14ac:dyDescent="0.35">
      <c r="B8" s="3" t="s">
        <v>78</v>
      </c>
      <c r="C8" s="159" t="str">
        <f>IF(ISBLANK('Site Details'!C6),"",'Site Details'!C6)</f>
        <v/>
      </c>
    </row>
    <row r="9" spans="1:6" ht="21" customHeight="1" x14ac:dyDescent="0.35">
      <c r="B9" s="3" t="s">
        <v>64</v>
      </c>
      <c r="C9" s="159" t="str">
        <f>IF(ISBLANK('Site Details'!C7),"",'Site Details'!C7)</f>
        <v/>
      </c>
    </row>
    <row r="10" spans="1:6" x14ac:dyDescent="0.35"/>
    <row r="11" spans="1:6" ht="15" x14ac:dyDescent="0.35">
      <c r="B11" s="645" t="s">
        <v>108</v>
      </c>
      <c r="C11" s="645"/>
      <c r="D11" s="645"/>
      <c r="E11" s="645"/>
      <c r="F11" s="645"/>
    </row>
    <row r="12" spans="1:6" ht="27" x14ac:dyDescent="0.35">
      <c r="B12" s="411" t="s">
        <v>109</v>
      </c>
      <c r="C12" s="412" t="s">
        <v>110</v>
      </c>
      <c r="D12" s="412" t="s">
        <v>111</v>
      </c>
      <c r="E12" s="413" t="s">
        <v>112</v>
      </c>
      <c r="F12" s="414" t="s">
        <v>113</v>
      </c>
    </row>
    <row r="13" spans="1:6" ht="41.25" customHeight="1" x14ac:dyDescent="0.35">
      <c r="A13" s="415"/>
      <c r="B13" s="296" t="s">
        <v>114</v>
      </c>
      <c r="C13" s="297" t="s">
        <v>1503</v>
      </c>
      <c r="D13" s="657"/>
      <c r="E13" s="660"/>
      <c r="F13" s="657"/>
    </row>
    <row r="14" spans="1:6" ht="14.15" customHeight="1" x14ac:dyDescent="0.35">
      <c r="A14" s="415"/>
      <c r="B14" s="330" t="str">
        <f>HYPERLINK("https://www.gov.uk/government/publications/habitats-and-species-of-principal-importance-in-england","Habitats and species of principal importance in England")</f>
        <v>Habitats and species of principal importance in England</v>
      </c>
      <c r="C14" s="416" t="s">
        <v>1504</v>
      </c>
      <c r="D14" s="658"/>
      <c r="E14" s="661"/>
      <c r="F14" s="658"/>
    </row>
    <row r="15" spans="1:6" ht="36" customHeight="1" x14ac:dyDescent="0.35">
      <c r="A15" s="415"/>
      <c r="B15" s="417"/>
      <c r="C15" s="418" t="s">
        <v>1393</v>
      </c>
      <c r="D15" s="658"/>
      <c r="E15" s="661"/>
      <c r="F15" s="658"/>
    </row>
    <row r="16" spans="1:6" s="357" customFormat="1" ht="27" customHeight="1" x14ac:dyDescent="0.35">
      <c r="A16" s="398"/>
      <c r="B16" s="419"/>
      <c r="C16" s="329" t="str">
        <f>HYPERLINK("https://www.gov.uk/government/publications/principles-for-afforestation-on-or-near-priority-habitats-operations-note-43","Operations Note 43")</f>
        <v>Operations Note 43</v>
      </c>
      <c r="D16" s="658"/>
      <c r="E16" s="661"/>
      <c r="F16" s="658"/>
    </row>
    <row r="17" spans="2:10" ht="96" customHeight="1" x14ac:dyDescent="0.35">
      <c r="B17" s="298"/>
      <c r="C17" s="299" t="s">
        <v>1510</v>
      </c>
      <c r="D17" s="659"/>
      <c r="E17" s="662"/>
      <c r="F17" s="659"/>
    </row>
    <row r="18" spans="2:10" ht="81" x14ac:dyDescent="0.35">
      <c r="B18" s="420" t="s">
        <v>115</v>
      </c>
      <c r="C18" s="300" t="s">
        <v>1439</v>
      </c>
      <c r="D18" s="649"/>
      <c r="E18" s="651"/>
      <c r="F18" s="649"/>
    </row>
    <row r="19" spans="2:10" s="357" customFormat="1" ht="30.75" customHeight="1" x14ac:dyDescent="0.35">
      <c r="B19" s="422"/>
      <c r="C19" s="328" t="str">
        <f>HYPERLINK("https://www.gov.uk/government/publications/red-squirrels-and-forestry-operations-in-england-operations-note-65","Red squirrels and forestry operations in England - operations note 65 - GOV.UK")</f>
        <v>Red squirrels and forestry operations in England - operations note 65 - GOV.UK</v>
      </c>
      <c r="D19" s="650"/>
      <c r="E19" s="652"/>
      <c r="F19" s="650"/>
    </row>
    <row r="20" spans="2:10" ht="45.75" customHeight="1" x14ac:dyDescent="0.35">
      <c r="B20" s="423" t="s">
        <v>116</v>
      </c>
      <c r="C20" s="424" t="s">
        <v>117</v>
      </c>
      <c r="D20" s="425"/>
      <c r="E20" s="426"/>
      <c r="F20" s="425"/>
    </row>
    <row r="21" spans="2:10" ht="38.25" customHeight="1" x14ac:dyDescent="0.35">
      <c r="B21" s="423" t="s">
        <v>118</v>
      </c>
      <c r="C21" s="424" t="s">
        <v>119</v>
      </c>
      <c r="D21" s="425"/>
      <c r="E21" s="427"/>
      <c r="F21" s="425"/>
    </row>
    <row r="22" spans="2:10" ht="94.5" x14ac:dyDescent="0.35">
      <c r="B22" s="423" t="s">
        <v>120</v>
      </c>
      <c r="C22" s="424" t="s">
        <v>1089</v>
      </c>
      <c r="D22" s="425"/>
      <c r="E22" s="426"/>
      <c r="F22" s="425"/>
    </row>
    <row r="23" spans="2:10" ht="75.75" customHeight="1" x14ac:dyDescent="0.35">
      <c r="B23" s="428" t="s">
        <v>121</v>
      </c>
      <c r="C23" s="663" t="s">
        <v>122</v>
      </c>
      <c r="D23" s="425"/>
      <c r="E23" s="426"/>
      <c r="F23" s="425"/>
    </row>
    <row r="24" spans="2:10" ht="42" customHeight="1" x14ac:dyDescent="0.35">
      <c r="B24" s="430" t="s">
        <v>1505</v>
      </c>
      <c r="C24" s="664"/>
      <c r="D24" s="649"/>
      <c r="E24" s="651"/>
      <c r="F24" s="649"/>
    </row>
    <row r="25" spans="2:10" s="357" customFormat="1" ht="60.75" customHeight="1" x14ac:dyDescent="0.35">
      <c r="B25" s="431" t="s">
        <v>1506</v>
      </c>
      <c r="C25" s="331" t="str">
        <f>HYPERLINK("https://www.gov.uk/guidance/manage-and-protect-woodland-wildlife","Manage and protect woodland wildlife - GOV.UK")</f>
        <v>Manage and protect woodland wildlife - GOV.UK</v>
      </c>
      <c r="D25" s="650"/>
      <c r="E25" s="652"/>
      <c r="F25" s="650"/>
    </row>
    <row r="26" spans="2:10" x14ac:dyDescent="0.35">
      <c r="C26" s="370"/>
    </row>
    <row r="27" spans="2:10" ht="15" x14ac:dyDescent="0.35">
      <c r="B27" s="645" t="s">
        <v>123</v>
      </c>
      <c r="C27" s="645"/>
      <c r="D27" s="645"/>
      <c r="E27" s="645"/>
      <c r="F27" s="645"/>
    </row>
    <row r="28" spans="2:10" ht="27" x14ac:dyDescent="0.35">
      <c r="B28" s="432" t="s">
        <v>109</v>
      </c>
      <c r="C28" s="432" t="s">
        <v>110</v>
      </c>
      <c r="D28" s="432" t="s">
        <v>111</v>
      </c>
      <c r="E28" s="413" t="s">
        <v>112</v>
      </c>
      <c r="F28" s="433" t="s">
        <v>113</v>
      </c>
    </row>
    <row r="29" spans="2:10" ht="81" customHeight="1" x14ac:dyDescent="0.35">
      <c r="B29" s="434" t="s">
        <v>124</v>
      </c>
      <c r="C29" s="424" t="s">
        <v>125</v>
      </c>
      <c r="D29" s="425"/>
      <c r="E29" s="426"/>
      <c r="F29" s="425"/>
    </row>
    <row r="30" spans="2:10" ht="48.75" customHeight="1" x14ac:dyDescent="0.35">
      <c r="B30" s="434" t="s">
        <v>126</v>
      </c>
      <c r="C30" s="434" t="s">
        <v>127</v>
      </c>
      <c r="D30" s="425"/>
      <c r="E30" s="427"/>
      <c r="F30" s="425"/>
    </row>
    <row r="31" spans="2:10" ht="46.5" customHeight="1" x14ac:dyDescent="0.35">
      <c r="B31" s="434" t="s">
        <v>128</v>
      </c>
      <c r="C31" s="422" t="s">
        <v>129</v>
      </c>
      <c r="D31" s="425"/>
      <c r="E31" s="427"/>
      <c r="F31" s="425"/>
    </row>
    <row r="32" spans="2:10" s="435" customFormat="1" ht="138" customHeight="1" x14ac:dyDescent="0.35">
      <c r="B32" s="434" t="s">
        <v>130</v>
      </c>
      <c r="C32" s="424" t="s">
        <v>131</v>
      </c>
      <c r="D32" s="425"/>
      <c r="E32" s="427"/>
      <c r="F32" s="425"/>
      <c r="G32"/>
      <c r="H32"/>
      <c r="I32"/>
      <c r="J32"/>
    </row>
    <row r="33" spans="2:6" ht="54.75" customHeight="1" x14ac:dyDescent="0.35">
      <c r="B33" s="434" t="s">
        <v>132</v>
      </c>
      <c r="C33" s="424" t="s">
        <v>133</v>
      </c>
      <c r="D33" s="425"/>
      <c r="E33" s="426"/>
      <c r="F33" s="425"/>
    </row>
    <row r="34" spans="2:6" ht="76.5" customHeight="1" x14ac:dyDescent="0.35">
      <c r="B34" s="434" t="s">
        <v>134</v>
      </c>
      <c r="C34" s="424" t="s">
        <v>135</v>
      </c>
      <c r="D34" s="425"/>
      <c r="E34" s="426"/>
      <c r="F34" s="425"/>
    </row>
    <row r="35" spans="2:6" ht="48.75" customHeight="1" x14ac:dyDescent="0.35">
      <c r="B35" s="434" t="s">
        <v>136</v>
      </c>
      <c r="C35" s="424" t="s">
        <v>133</v>
      </c>
      <c r="D35" s="425"/>
      <c r="E35" s="426"/>
      <c r="F35" s="425"/>
    </row>
    <row r="36" spans="2:6" ht="108" customHeight="1" x14ac:dyDescent="0.35">
      <c r="B36" s="434" t="s">
        <v>137</v>
      </c>
      <c r="C36" s="424" t="s">
        <v>138</v>
      </c>
      <c r="D36" s="425"/>
      <c r="E36" s="427"/>
      <c r="F36" s="425"/>
    </row>
    <row r="37" spans="2:6" x14ac:dyDescent="0.35"/>
    <row r="38" spans="2:6" ht="15" x14ac:dyDescent="0.35">
      <c r="B38" s="645" t="s">
        <v>139</v>
      </c>
      <c r="C38" s="645"/>
      <c r="D38" s="645"/>
      <c r="E38" s="645"/>
      <c r="F38" s="645"/>
    </row>
    <row r="39" spans="2:6" ht="40" customHeight="1" x14ac:dyDescent="0.35">
      <c r="B39" s="412" t="s">
        <v>109</v>
      </c>
      <c r="C39" s="432" t="s">
        <v>110</v>
      </c>
      <c r="D39" s="432" t="s">
        <v>111</v>
      </c>
      <c r="E39" s="413" t="s">
        <v>112</v>
      </c>
      <c r="F39" s="433" t="s">
        <v>113</v>
      </c>
    </row>
    <row r="40" spans="2:6" ht="13.5" customHeight="1" x14ac:dyDescent="0.35">
      <c r="B40" s="420" t="s">
        <v>1440</v>
      </c>
      <c r="C40" s="301" t="s">
        <v>1442</v>
      </c>
      <c r="D40" s="649"/>
      <c r="E40" s="665"/>
      <c r="F40" s="667"/>
    </row>
    <row r="41" spans="2:6" s="357" customFormat="1" ht="25.5" customHeight="1" x14ac:dyDescent="0.35">
      <c r="B41" s="422" t="s">
        <v>1441</v>
      </c>
      <c r="C41" s="324" t="str">
        <f>HYPERLINK("https://www.forestergis.com/Apps/MapBrowser/","Forestry Commission Map Browser")</f>
        <v>Forestry Commission Map Browser</v>
      </c>
      <c r="D41" s="650"/>
      <c r="E41" s="666"/>
      <c r="F41" s="668"/>
    </row>
    <row r="42" spans="2:6" ht="50.25" customHeight="1" x14ac:dyDescent="0.35">
      <c r="B42" s="423" t="s">
        <v>140</v>
      </c>
      <c r="C42" s="302" t="s">
        <v>141</v>
      </c>
      <c r="D42" s="425"/>
      <c r="E42" s="427"/>
      <c r="F42" s="436"/>
    </row>
    <row r="43" spans="2:6" ht="153" customHeight="1" x14ac:dyDescent="0.35">
      <c r="B43" s="423" t="s">
        <v>142</v>
      </c>
      <c r="C43" s="424" t="s">
        <v>1511</v>
      </c>
      <c r="D43" s="425"/>
      <c r="E43" s="437"/>
      <c r="F43" s="436"/>
    </row>
    <row r="44" spans="2:6" ht="83.25" customHeight="1" x14ac:dyDescent="0.35">
      <c r="B44" s="423" t="s">
        <v>143</v>
      </c>
      <c r="C44" s="424" t="s">
        <v>1512</v>
      </c>
      <c r="D44" s="425"/>
      <c r="E44" s="427"/>
      <c r="F44" s="425"/>
    </row>
    <row r="45" spans="2:6" ht="14.25" customHeight="1" x14ac:dyDescent="0.35">
      <c r="B45" s="420" t="s">
        <v>144</v>
      </c>
      <c r="C45" s="303" t="s">
        <v>1444</v>
      </c>
      <c r="D45" s="649"/>
      <c r="E45" s="654"/>
      <c r="F45" s="649"/>
    </row>
    <row r="46" spans="2:6" s="357" customFormat="1" ht="54" customHeight="1" x14ac:dyDescent="0.35">
      <c r="B46" s="439"/>
      <c r="C46" s="328" t="str">
        <f>HYPERLINK("https://www.gov.uk/government/publications/guidance-for-afforestation-proposed-on-or-near-nationally-important-upland-breeding-wader-areas","Guidance to help inform when an upland breeding wader survey is needed and when woodland creation is likely to be appropriate - GOV.UK")</f>
        <v>Guidance to help inform when an upland breeding wader survey is needed and when woodland creation is likely to be appropriate - GOV.UK</v>
      </c>
      <c r="D46" s="653"/>
      <c r="E46" s="655"/>
      <c r="F46" s="653"/>
    </row>
    <row r="47" spans="2:6" ht="30" customHeight="1" x14ac:dyDescent="0.35">
      <c r="B47" s="422"/>
      <c r="C47" s="304" t="s">
        <v>1443</v>
      </c>
      <c r="D47" s="650"/>
      <c r="E47" s="656"/>
      <c r="F47" s="650"/>
    </row>
    <row r="48" spans="2:6" ht="167.15" customHeight="1" x14ac:dyDescent="0.35">
      <c r="B48" s="420" t="s">
        <v>1090</v>
      </c>
      <c r="C48" s="305" t="s">
        <v>1513</v>
      </c>
      <c r="D48" s="649"/>
      <c r="E48" s="651"/>
      <c r="F48" s="649"/>
    </row>
    <row r="49" spans="2:6" s="357" customFormat="1" ht="30.75" customHeight="1" x14ac:dyDescent="0.35">
      <c r="B49" s="441"/>
      <c r="C49" s="332" t="str">
        <f>HYPERLINK("https://www.gov.uk/government/publications/local-nature-recovery-strategies-areas-and-responsible-authorities","Local nature recovery strategies: areas and responsible authorities - GOV.UK")</f>
        <v>Local nature recovery strategies: areas and responsible authorities - GOV.UK</v>
      </c>
      <c r="D49" s="650"/>
      <c r="E49" s="652"/>
      <c r="F49" s="650"/>
    </row>
    <row r="50" spans="2:6" x14ac:dyDescent="0.35">
      <c r="B50" s="370"/>
      <c r="C50" s="370"/>
      <c r="D50" s="370"/>
      <c r="E50" s="370"/>
      <c r="F50" s="370"/>
    </row>
    <row r="51" spans="2:6" ht="15" x14ac:dyDescent="0.35">
      <c r="B51" s="645" t="s">
        <v>145</v>
      </c>
      <c r="C51" s="645"/>
      <c r="D51" s="645"/>
      <c r="E51" s="645"/>
      <c r="F51" s="645"/>
    </row>
    <row r="52" spans="2:6" ht="27" x14ac:dyDescent="0.35">
      <c r="B52" s="412" t="s">
        <v>109</v>
      </c>
      <c r="C52" s="432" t="s">
        <v>110</v>
      </c>
      <c r="D52" s="432" t="s">
        <v>111</v>
      </c>
      <c r="E52" s="413" t="s">
        <v>112</v>
      </c>
      <c r="F52" s="433" t="s">
        <v>113</v>
      </c>
    </row>
    <row r="53" spans="2:6" ht="77.25" customHeight="1" x14ac:dyDescent="0.35">
      <c r="B53" s="434" t="s">
        <v>146</v>
      </c>
      <c r="C53" s="424" t="s">
        <v>147</v>
      </c>
      <c r="D53" s="425"/>
      <c r="E53" s="426"/>
      <c r="F53" s="425"/>
    </row>
    <row r="54" spans="2:6" ht="125.25" customHeight="1" x14ac:dyDescent="0.35">
      <c r="B54" s="434" t="s">
        <v>148</v>
      </c>
      <c r="C54" s="424" t="s">
        <v>149</v>
      </c>
      <c r="D54" s="425"/>
      <c r="E54" s="427"/>
      <c r="F54" s="425"/>
    </row>
    <row r="55" spans="2:6" ht="27.65" customHeight="1" x14ac:dyDescent="0.35">
      <c r="B55" s="442"/>
      <c r="C55" s="442"/>
      <c r="D55" s="442"/>
      <c r="E55" s="442"/>
      <c r="F55" s="442"/>
    </row>
  </sheetData>
  <sheetProtection algorithmName="SHA-512" hashValue="7XcRobUiXYoXSGt0XSYjvm6Yu/CU65SUb1hkfHsYPO+1e1obJh3rw5lLYcGN36rcdTWTw1HPzQ7JBX+uor+LzQ==" saltValue="VuD0eenJlIYQheIhcXBJGw==" spinCount="100000" sheet="1" objects="1" scenarios="1" selectLockedCells="1"/>
  <mergeCells count="26">
    <mergeCell ref="B51:F51"/>
    <mergeCell ref="B38:F38"/>
    <mergeCell ref="B27:F27"/>
    <mergeCell ref="D13:D17"/>
    <mergeCell ref="F13:F17"/>
    <mergeCell ref="E13:E17"/>
    <mergeCell ref="C23:C24"/>
    <mergeCell ref="D24:D25"/>
    <mergeCell ref="E24:E25"/>
    <mergeCell ref="D40:D41"/>
    <mergeCell ref="E40:E41"/>
    <mergeCell ref="F40:F41"/>
    <mergeCell ref="F45:F47"/>
    <mergeCell ref="B2:E2"/>
    <mergeCell ref="B11:F11"/>
    <mergeCell ref="B6:F6"/>
    <mergeCell ref="B4:E4"/>
    <mergeCell ref="F48:F49"/>
    <mergeCell ref="D18:D19"/>
    <mergeCell ref="E18:E19"/>
    <mergeCell ref="D48:D49"/>
    <mergeCell ref="E48:E49"/>
    <mergeCell ref="F18:F19"/>
    <mergeCell ref="F24:F25"/>
    <mergeCell ref="D45:D47"/>
    <mergeCell ref="E45:E47"/>
  </mergeCells>
  <conditionalFormatting sqref="B34:E34">
    <cfRule type="expression" dxfId="63" priority="2">
      <formula>NOT($D$33="Yes")</formula>
    </cfRule>
  </conditionalFormatting>
  <conditionalFormatting sqref="D13:E13">
    <cfRule type="containsBlanks" dxfId="62" priority="24">
      <formula>LEN(TRIM(D13))=0</formula>
    </cfRule>
  </conditionalFormatting>
  <conditionalFormatting sqref="D18:E18 D20:E24">
    <cfRule type="containsBlanks" dxfId="61" priority="1">
      <formula>LEN(TRIM(D18))=0</formula>
    </cfRule>
  </conditionalFormatting>
  <conditionalFormatting sqref="D29:E36 D53:E54">
    <cfRule type="containsBlanks" dxfId="60" priority="12">
      <formula>LEN(TRIM(D29))=0</formula>
    </cfRule>
  </conditionalFormatting>
  <conditionalFormatting sqref="D40:E40 D42:E45 D48:E48">
    <cfRule type="containsBlanks" dxfId="59" priority="14">
      <formula>LEN(TRIM(D40))=0</formula>
    </cfRule>
  </conditionalFormatting>
  <conditionalFormatting sqref="F13 F18 F20:F24 F29:F36">
    <cfRule type="containsBlanks" dxfId="58" priority="11">
      <formula>LEN(TRIM(F13))=0</formula>
    </cfRule>
  </conditionalFormatting>
  <conditionalFormatting sqref="F40 F42:F45 F48">
    <cfRule type="containsBlanks" dxfId="57" priority="9">
      <formula>LEN(TRIM(F40))=0</formula>
    </cfRule>
  </conditionalFormatting>
  <conditionalFormatting sqref="F53:F54">
    <cfRule type="containsBlanks" dxfId="56" priority="8">
      <formula>LEN(TRIM(F53))=0</formula>
    </cfRule>
  </conditionalFormatting>
  <dataValidations count="4">
    <dataValidation type="list" allowBlank="1" showInputMessage="1" showErrorMessage="1" sqref="D35:D37 D54 D53 D29:D33 D20:D24 D13 D40 D42:D45 D18" xr:uid="{A4F5392B-39E6-44C6-AA82-8E66BD0C6F76}">
      <formula1>"Yes,No"</formula1>
    </dataValidation>
    <dataValidation type="list" allowBlank="1" showInputMessage="1" showErrorMessage="1" sqref="F37" xr:uid="{9A5F708A-8FC2-4809-A900-EDEB3782BDEB}">
      <formula1>#REF!</formula1>
    </dataValidation>
    <dataValidation type="list" allowBlank="1" showInputMessage="1" showErrorMessage="1" sqref="D34" xr:uid="{D7E61D22-44A5-46AF-A6DD-B8E76F6391FB}">
      <formula1>"Favourable, Unfavourable Recovering, Unfavourable No Change, Unfavourable Declining, Destroyed / Part Destroyed"</formula1>
    </dataValidation>
    <dataValidation type="list" allowBlank="1" showInputMessage="1" showErrorMessage="1" sqref="D48:D49" xr:uid="{5CEC5297-1025-4EEE-8ADB-625E4713EA33}">
      <formula1>"Yes,No, No LNRS available"</formula1>
    </dataValidation>
  </dataValidations>
  <hyperlinks>
    <hyperlink ref="B14" r:id="rId1" display="Habitats and species of principal importance in England" xr:uid="{AA4DEE49-03C4-41E3-AEBE-795C8D8AFAC9}"/>
    <hyperlink ref="C16" r:id="rId2" display="Operations Note 43" xr:uid="{A04707B3-D9A3-407D-AE57-D85133392263}"/>
    <hyperlink ref="B5" r:id="rId3" display="https://magic.defra.gov.uk/MagicMap.html" xr:uid="{31DD02DC-D926-4C11-82BA-996658EE7E3E}"/>
    <hyperlink ref="C19" r:id="rId4" display="https://www.gov.uk/government/publications/red-squirrels-and-forestry-operations-in-england-operations-note-65" xr:uid="{7BDD3DF9-775C-4A25-9F81-8DA91D676FAD}"/>
    <hyperlink ref="C25" r:id="rId5" display="https://www.gov.uk/guidance/manage-and-protect-woodland-wildlife" xr:uid="{894E1A2D-3358-424C-B43C-4BB01D309D0D}"/>
    <hyperlink ref="C41" r:id="rId6" display="https://www.forestergis.com/Apps/MapBrowser/" xr:uid="{408C90B8-2DC0-41F6-AEDC-738962AC01F1}"/>
    <hyperlink ref="C46" r:id="rId7" display="https://www.gov.uk/government/publications/guidance-for-afforestation-proposed-on-or-near-nationally-important-upland-breeding-wader-areas" xr:uid="{B822012D-3542-4827-AAC3-9E9E9AD92B0A}"/>
    <hyperlink ref="C49" r:id="rId8" display="https://www.gov.uk/government/publications/local-nature-recovery-strategies-areas-and-responsible-authorities" xr:uid="{34EA7760-3D26-4B84-A866-AEE3D3322A00}"/>
  </hyperlinks>
  <pageMargins left="0.70866141732283472" right="0.70866141732283472" top="0.74803149606299213" bottom="0.74803149606299213" header="0.31496062992125984" footer="0.31496062992125984"/>
  <pageSetup paperSize="9" scale="35" fitToHeight="0" orientation="portrait" r:id="rId9"/>
  <drawing r:id="rId10"/>
  <extLst>
    <ext xmlns:x14="http://schemas.microsoft.com/office/spreadsheetml/2009/9/main" uri="{CCE6A557-97BC-4b89-ADB6-D9C93CAAB3DF}">
      <x14:dataValidations xmlns:xm="http://schemas.microsoft.com/office/excel/2006/main" count="1">
        <x14:dataValidation type="list" allowBlank="1" showInputMessage="1" showErrorMessage="1" xr:uid="{7B97916B-33AC-4537-AC06-C0B2AD3DF59A}">
          <x14:formula1>
            <xm:f>'Data (hidden)'!$J$3:$J$5</xm:f>
          </x14:formula1>
          <xm:sqref>F20:F24 F29:F36 F53:F54 F13 F18 F40 F48 F43:F45 F42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4DD5F-B32E-4127-B5F0-2968CB45318E}">
  <sheetPr codeName="Sheet6">
    <tabColor rgb="FF006939"/>
    <pageSetUpPr fitToPage="1"/>
  </sheetPr>
  <dimension ref="A1:K30"/>
  <sheetViews>
    <sheetView showGridLines="0" zoomScaleNormal="100" workbookViewId="0">
      <selection sqref="A1:XFD1048576"/>
    </sheetView>
  </sheetViews>
  <sheetFormatPr defaultColWidth="0" defaultRowHeight="15" customHeight="1" zeroHeight="1" x14ac:dyDescent="0.35"/>
  <cols>
    <col min="1" max="1" width="2" customWidth="1"/>
    <col min="2" max="2" width="52.54296875" customWidth="1"/>
    <col min="3" max="3" width="52" customWidth="1"/>
    <col min="4" max="4" width="18.453125" customWidth="1"/>
    <col min="5" max="5" width="80.81640625" customWidth="1"/>
    <col min="6" max="6" width="18.453125" customWidth="1"/>
    <col min="7" max="7" width="5.81640625" customWidth="1"/>
    <col min="8" max="8" width="8.7265625" hidden="1" customWidth="1"/>
    <col min="9" max="9" width="58" hidden="1" customWidth="1"/>
    <col min="10" max="10" width="8.7265625" hidden="1" customWidth="1"/>
    <col min="11" max="11" width="59.1796875" hidden="1" customWidth="1"/>
    <col min="12" max="16384" width="8.7265625" hidden="1"/>
  </cols>
  <sheetData>
    <row r="1" spans="2:6" ht="14.5" x14ac:dyDescent="0.35"/>
    <row r="2" spans="2:6" ht="32.5" customHeight="1" x14ac:dyDescent="0.45">
      <c r="B2" s="673" t="s">
        <v>150</v>
      </c>
      <c r="C2" s="673"/>
      <c r="D2" s="673"/>
      <c r="E2" s="673"/>
      <c r="F2" s="443"/>
    </row>
    <row r="3" spans="2:6" ht="10" customHeight="1" x14ac:dyDescent="0.35">
      <c r="B3" s="444"/>
      <c r="C3" s="444"/>
      <c r="D3" s="444"/>
      <c r="E3" s="444"/>
      <c r="F3" s="444"/>
    </row>
    <row r="4" spans="2:6" ht="33" customHeight="1" x14ac:dyDescent="0.35">
      <c r="B4" s="618" t="s">
        <v>1527</v>
      </c>
      <c r="C4" s="619"/>
      <c r="D4" s="619"/>
      <c r="E4" s="619"/>
      <c r="F4" s="683"/>
    </row>
    <row r="5" spans="2:6" ht="15" customHeight="1" x14ac:dyDescent="0.35">
      <c r="B5" s="445" t="str">
        <f>HYPERLINK("https://magic.defra.gov.uk/MagicMap.html","Magic Map Application")</f>
        <v>Magic Map Application</v>
      </c>
      <c r="C5" s="354"/>
      <c r="D5" s="354"/>
      <c r="E5" s="354"/>
      <c r="F5" s="358"/>
    </row>
    <row r="6" spans="2:6" ht="100.5" customHeight="1" x14ac:dyDescent="0.35">
      <c r="B6" s="646" t="s">
        <v>1526</v>
      </c>
      <c r="C6" s="647"/>
      <c r="D6" s="647"/>
      <c r="E6" s="647"/>
      <c r="F6" s="648"/>
    </row>
    <row r="7" spans="2:6" ht="14.5" x14ac:dyDescent="0.35">
      <c r="B7" s="444"/>
      <c r="C7" s="444"/>
      <c r="D7" s="444"/>
      <c r="E7" s="444"/>
      <c r="F7" s="444"/>
    </row>
    <row r="8" spans="2:6" ht="21" customHeight="1" x14ac:dyDescent="0.35">
      <c r="B8" s="3" t="s">
        <v>78</v>
      </c>
      <c r="C8" s="159" t="str">
        <f>IF(ISBLANK('Site Details'!C6),"",'Site Details'!C6)</f>
        <v/>
      </c>
    </row>
    <row r="9" spans="2:6" ht="21" customHeight="1" x14ac:dyDescent="0.35">
      <c r="B9" s="3" t="s">
        <v>64</v>
      </c>
      <c r="C9" s="159" t="str">
        <f>IF(ISBLANK('Site Details'!C7),"",'Site Details'!C7)</f>
        <v/>
      </c>
      <c r="E9" s="446"/>
    </row>
    <row r="10" spans="2:6" ht="14.5" x14ac:dyDescent="0.35">
      <c r="B10" s="444"/>
      <c r="C10" s="444"/>
      <c r="D10" s="444"/>
      <c r="E10" s="444"/>
      <c r="F10" s="444"/>
    </row>
    <row r="11" spans="2:6" x14ac:dyDescent="0.35">
      <c r="B11" s="674" t="s">
        <v>151</v>
      </c>
      <c r="C11" s="675"/>
      <c r="D11" s="675"/>
      <c r="E11" s="675"/>
      <c r="F11" s="676"/>
    </row>
    <row r="12" spans="2:6" ht="15.75" customHeight="1" x14ac:dyDescent="0.35">
      <c r="B12" s="677" t="s">
        <v>1493</v>
      </c>
      <c r="C12" s="678"/>
      <c r="D12" s="678"/>
      <c r="E12" s="678"/>
      <c r="F12" s="679"/>
    </row>
    <row r="13" spans="2:6" s="357" customFormat="1" ht="21" customHeight="1" x14ac:dyDescent="0.35">
      <c r="B13" s="351" t="str">
        <f>HYPERLINK("https://www.gov.uk/guidance/landscape-and-woodland-design-for-woodland-creation","Landscape and woodland design for woodland creation - GOV.UK")</f>
        <v>Landscape and woodland design for woodland creation - GOV.UK</v>
      </c>
      <c r="C13" s="447"/>
      <c r="D13" s="447"/>
      <c r="E13" s="447"/>
      <c r="F13" s="448"/>
    </row>
    <row r="14" spans="2:6" ht="33" customHeight="1" x14ac:dyDescent="0.35">
      <c r="B14" s="412" t="s">
        <v>109</v>
      </c>
      <c r="C14" s="412" t="s">
        <v>110</v>
      </c>
      <c r="D14" s="412" t="s">
        <v>111</v>
      </c>
      <c r="E14" s="412" t="s">
        <v>112</v>
      </c>
      <c r="F14" s="433" t="s">
        <v>113</v>
      </c>
    </row>
    <row r="15" spans="2:6" ht="24.75" customHeight="1" x14ac:dyDescent="0.35">
      <c r="B15" s="680" t="s">
        <v>152</v>
      </c>
      <c r="C15" s="681"/>
      <c r="D15" s="681"/>
      <c r="E15" s="681"/>
      <c r="F15" s="682"/>
    </row>
    <row r="16" spans="2:6" ht="177" customHeight="1" x14ac:dyDescent="0.35">
      <c r="B16" s="434" t="s">
        <v>153</v>
      </c>
      <c r="C16" s="306" t="s">
        <v>154</v>
      </c>
      <c r="D16" s="425"/>
      <c r="E16" s="449"/>
      <c r="F16" s="425"/>
    </row>
    <row r="17" spans="1:6" ht="166.5" customHeight="1" x14ac:dyDescent="0.35">
      <c r="B17" s="450" t="s">
        <v>1514</v>
      </c>
      <c r="C17" s="302" t="s">
        <v>155</v>
      </c>
      <c r="D17" s="425"/>
      <c r="E17" s="449"/>
      <c r="F17" s="425"/>
    </row>
    <row r="18" spans="1:6" ht="143.25" customHeight="1" x14ac:dyDescent="0.35">
      <c r="B18" s="434" t="s">
        <v>156</v>
      </c>
      <c r="C18" s="424" t="s">
        <v>157</v>
      </c>
      <c r="D18" s="425"/>
      <c r="E18" s="449"/>
      <c r="F18" s="425"/>
    </row>
    <row r="19" spans="1:6" ht="70.5" customHeight="1" x14ac:dyDescent="0.35">
      <c r="B19" s="434" t="s">
        <v>158</v>
      </c>
      <c r="C19" s="423" t="s">
        <v>159</v>
      </c>
      <c r="D19" s="425"/>
      <c r="E19" s="449"/>
      <c r="F19" s="425"/>
    </row>
    <row r="20" spans="1:6" ht="52.5" customHeight="1" x14ac:dyDescent="0.35">
      <c r="B20" s="451" t="s">
        <v>160</v>
      </c>
      <c r="C20" s="307" t="s">
        <v>161</v>
      </c>
      <c r="D20" s="649"/>
      <c r="E20" s="654"/>
      <c r="F20" s="649"/>
    </row>
    <row r="21" spans="1:6" s="357" customFormat="1" ht="24" customHeight="1" x14ac:dyDescent="0.35">
      <c r="B21" s="452"/>
      <c r="C21" s="328" t="str">
        <f>HYPERLINK("https://nationalcharacterareas.co.uk/","Natural England – National Character Area Profiles")</f>
        <v>Natural England – National Character Area Profiles</v>
      </c>
      <c r="D21" s="650"/>
      <c r="E21" s="656"/>
      <c r="F21" s="650"/>
    </row>
    <row r="22" spans="1:6" ht="27" customHeight="1" x14ac:dyDescent="0.35">
      <c r="B22" s="451" t="s">
        <v>1516</v>
      </c>
      <c r="C22" s="308" t="s">
        <v>1515</v>
      </c>
      <c r="D22" s="649"/>
      <c r="E22" s="654"/>
      <c r="F22" s="649"/>
    </row>
    <row r="23" spans="1:6" s="357" customFormat="1" ht="72" customHeight="1" x14ac:dyDescent="0.35">
      <c r="B23" s="452" t="s">
        <v>1445</v>
      </c>
      <c r="C23" s="316"/>
      <c r="D23" s="650"/>
      <c r="E23" s="656"/>
      <c r="F23" s="650"/>
    </row>
    <row r="24" spans="1:6" ht="14.5" x14ac:dyDescent="0.35"/>
    <row r="25" spans="1:6" x14ac:dyDescent="0.35">
      <c r="B25" s="645" t="s">
        <v>162</v>
      </c>
      <c r="C25" s="645"/>
      <c r="D25" s="645"/>
      <c r="E25" s="645"/>
      <c r="F25" s="645"/>
    </row>
    <row r="26" spans="1:6" ht="120" customHeight="1" x14ac:dyDescent="0.35">
      <c r="B26" s="671" t="s">
        <v>1522</v>
      </c>
      <c r="C26" s="672"/>
      <c r="D26" s="672"/>
      <c r="E26" s="672"/>
      <c r="F26" s="672"/>
    </row>
    <row r="27" spans="1:6" s="357" customFormat="1" ht="14.5" x14ac:dyDescent="0.35">
      <c r="A27" s="398"/>
      <c r="B27" s="669" t="str">
        <f>HYPERLINK("https://www.gov.uk/government/publications/woodland-creation-design-plan-example-documents/landscape-character-appraisal-examples-for-woodland-creation-a-lowland-site","Landscape character appraisal examples for woodland creation: a lowland site - GOV.UK")</f>
        <v>Landscape character appraisal examples for woodland creation: a lowland site - GOV.UK</v>
      </c>
      <c r="C27" s="670"/>
      <c r="D27" s="453"/>
      <c r="E27" s="453"/>
      <c r="F27" s="454"/>
    </row>
    <row r="28" spans="1:6" s="357" customFormat="1" ht="14.5" x14ac:dyDescent="0.35">
      <c r="A28" s="398"/>
      <c r="B28" s="669" t="str">
        <f>HYPERLINK("https://www.gov.uk/government/publications/woodland-creation-design-plan-example-documents","Landscape character appraisal examples for woodland creation - GOV.UK")</f>
        <v>Landscape character appraisal examples for woodland creation - GOV.UK</v>
      </c>
      <c r="C28" s="670"/>
      <c r="D28" s="453"/>
      <c r="E28" s="453"/>
      <c r="F28" s="454"/>
    </row>
    <row r="29" spans="1:6" s="357" customFormat="1" ht="20.25" customHeight="1" x14ac:dyDescent="0.35">
      <c r="A29" s="398"/>
      <c r="B29" s="319" t="str">
        <f>HYPERLINK("https://www.gov.uk/government/publications/a-guide-to-planning-new-woodland-in-england","A guide to planning new woodland in England - GOV.UK")</f>
        <v>A guide to planning new woodland in England - GOV.UK</v>
      </c>
      <c r="C29" s="455"/>
      <c r="D29" s="455"/>
      <c r="E29" s="455"/>
      <c r="F29" s="456"/>
    </row>
    <row r="30" spans="1:6" ht="15" customHeight="1" x14ac:dyDescent="0.35"/>
  </sheetData>
  <sheetProtection algorithmName="SHA-512" hashValue="XD+gFXB/HDRf0rp9rb39t9ChzL6pzJ7oeKjQ1Xw3g2YkUBjQ750u5DxkdHKPcksx9Hh2GDc+00gBcoaeKKAxOg==" saltValue="5oPSeeDBREOxrrkYahv79g==" spinCount="100000" sheet="1" objects="1" scenarios="1"/>
  <mergeCells count="16">
    <mergeCell ref="B27:C27"/>
    <mergeCell ref="B28:C28"/>
    <mergeCell ref="B26:F26"/>
    <mergeCell ref="B2:E2"/>
    <mergeCell ref="B11:F11"/>
    <mergeCell ref="B12:F12"/>
    <mergeCell ref="B15:F15"/>
    <mergeCell ref="B25:F25"/>
    <mergeCell ref="D20:D21"/>
    <mergeCell ref="D22:D23"/>
    <mergeCell ref="E20:E21"/>
    <mergeCell ref="E22:E23"/>
    <mergeCell ref="F20:F21"/>
    <mergeCell ref="F22:F23"/>
    <mergeCell ref="B6:F6"/>
    <mergeCell ref="B4:F4"/>
  </mergeCells>
  <conditionalFormatting sqref="D16:E20 D22:E22">
    <cfRule type="containsBlanks" dxfId="55" priority="2">
      <formula>LEN(TRIM(D16))=0</formula>
    </cfRule>
  </conditionalFormatting>
  <conditionalFormatting sqref="F16:F20 F22">
    <cfRule type="containsBlanks" dxfId="54" priority="1">
      <formula>LEN(TRIM(F16))=0</formula>
    </cfRule>
  </conditionalFormatting>
  <dataValidations count="1">
    <dataValidation type="list" allowBlank="1" showInputMessage="1" showErrorMessage="1" sqref="D16:D20 D22" xr:uid="{2E6CD1B5-706D-4A47-B97A-6B6B60D7F41F}">
      <formula1>"Yes,No"</formula1>
    </dataValidation>
  </dataValidations>
  <hyperlinks>
    <hyperlink ref="B13" r:id="rId1" display="https://www.gov.uk/guidance/landscape-and-woodland-design-for-woodland-creation" xr:uid="{FCDC5302-9F68-4DA3-9EAF-788DC579C996}"/>
    <hyperlink ref="B27" r:id="rId2" display="https://www.gov.uk/government/publications/woodland-creation-design-plan-example-documents/landscape-character-appraisal-examples-for-woodland-creation-a-lowland-site" xr:uid="{675DFDE0-9015-484E-AB70-3C82D727772B}"/>
    <hyperlink ref="B28" r:id="rId3" display="https://www.gov.uk/government/publications/woodland-creation-design-plan-example-documents" xr:uid="{F7CDF153-C86B-485A-9C6F-8C96C15BB03F}"/>
    <hyperlink ref="B29" r:id="rId4" display="https://www.gov.uk/government/publications/a-guide-to-planning-new-woodland-in-england" xr:uid="{B88FDC4F-B729-4A9F-B319-EC89D0857D6E}"/>
  </hyperlinks>
  <pageMargins left="0.70866141732283472" right="0.70866141732283472" top="0.74803149606299213" bottom="0.74803149606299213" header="0.31496062992125984" footer="0.31496062992125984"/>
  <pageSetup paperSize="9" scale="37" fitToHeight="0" orientation="portrait" r:id="rId5"/>
  <drawing r:id="rId6"/>
  <extLst>
    <ext xmlns:x14="http://schemas.microsoft.com/office/spreadsheetml/2009/9/main" uri="{CCE6A557-97BC-4b89-ADB6-D9C93CAAB3DF}">
      <x14:dataValidations xmlns:xm="http://schemas.microsoft.com/office/excel/2006/main" count="1">
        <x14:dataValidation type="list" allowBlank="1" showInputMessage="1" showErrorMessage="1" xr:uid="{D7726C56-7A05-45A3-AF6E-700DAE5CA470}">
          <x14:formula1>
            <xm:f>'Data (hidden)'!$J$3:$J$5</xm:f>
          </x14:formula1>
          <xm:sqref>F16:F20 F22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B97FC-F8A6-4565-896E-9FAA6AE32934}">
  <sheetPr codeName="Sheet7">
    <tabColor rgb="FF006939"/>
    <pageSetUpPr fitToPage="1"/>
  </sheetPr>
  <dimension ref="A1:K53"/>
  <sheetViews>
    <sheetView showGridLines="0" zoomScaleNormal="100" workbookViewId="0">
      <selection activeCell="C21" sqref="C21"/>
    </sheetView>
  </sheetViews>
  <sheetFormatPr defaultColWidth="0" defaultRowHeight="15" customHeight="1" zeroHeight="1" x14ac:dyDescent="0.35"/>
  <cols>
    <col min="1" max="1" width="2" customWidth="1"/>
    <col min="2" max="2" width="49.81640625" customWidth="1"/>
    <col min="3" max="3" width="52" customWidth="1"/>
    <col min="4" max="4" width="18.453125" customWidth="1"/>
    <col min="5" max="5" width="80.81640625" customWidth="1"/>
    <col min="6" max="6" width="18.453125" customWidth="1"/>
    <col min="7" max="7" width="5.81640625" customWidth="1"/>
    <col min="8" max="8" width="8.7265625" hidden="1" customWidth="1"/>
    <col min="9" max="9" width="58" hidden="1" customWidth="1"/>
    <col min="10" max="10" width="8.7265625" hidden="1" customWidth="1"/>
    <col min="11" max="11" width="59.1796875" hidden="1" customWidth="1"/>
    <col min="12" max="16384" width="8.7265625" hidden="1"/>
  </cols>
  <sheetData>
    <row r="1" spans="2:7" ht="14.5" x14ac:dyDescent="0.35"/>
    <row r="2" spans="2:7" ht="32.5" customHeight="1" x14ac:dyDescent="0.45">
      <c r="B2" s="673" t="s">
        <v>163</v>
      </c>
      <c r="C2" s="673"/>
      <c r="D2" s="673"/>
      <c r="E2" s="673"/>
      <c r="F2" s="443"/>
    </row>
    <row r="3" spans="2:7" ht="10" customHeight="1" x14ac:dyDescent="0.35">
      <c r="B3" s="444"/>
      <c r="C3" s="444"/>
      <c r="D3" s="444"/>
      <c r="E3" s="444"/>
      <c r="F3" s="444"/>
    </row>
    <row r="4" spans="2:7" ht="32.25" customHeight="1" x14ac:dyDescent="0.35">
      <c r="B4" s="618" t="s">
        <v>1527</v>
      </c>
      <c r="C4" s="619"/>
      <c r="D4" s="619"/>
      <c r="E4" s="619"/>
      <c r="F4" s="683"/>
    </row>
    <row r="5" spans="2:7" ht="14.25" customHeight="1" x14ac:dyDescent="0.35">
      <c r="B5" s="445" t="str">
        <f>HYPERLINK("https://magic.defra.gov.uk/MagicMap.html","Magic Map Application")</f>
        <v>Magic Map Application</v>
      </c>
      <c r="C5" s="354"/>
      <c r="D5" s="354"/>
      <c r="E5" s="354"/>
      <c r="F5" s="358"/>
    </row>
    <row r="6" spans="2:7" ht="97.5" customHeight="1" x14ac:dyDescent="0.35">
      <c r="B6" s="646" t="s">
        <v>1528</v>
      </c>
      <c r="C6" s="647"/>
      <c r="D6" s="647"/>
      <c r="E6" s="647"/>
      <c r="F6" s="648"/>
    </row>
    <row r="7" spans="2:7" ht="14.5" x14ac:dyDescent="0.35">
      <c r="B7" s="444"/>
      <c r="C7" s="444"/>
      <c r="D7" s="444"/>
      <c r="E7" s="444"/>
      <c r="F7" s="444"/>
    </row>
    <row r="8" spans="2:7" ht="21" customHeight="1" x14ac:dyDescent="0.35">
      <c r="B8" s="3" t="s">
        <v>78</v>
      </c>
      <c r="C8" s="159" t="str">
        <f>IF(ISBLANK('Site Details'!C6),"",'Site Details'!C6)</f>
        <v/>
      </c>
    </row>
    <row r="9" spans="2:7" ht="28.5" customHeight="1" x14ac:dyDescent="0.35">
      <c r="B9" s="3" t="s">
        <v>64</v>
      </c>
      <c r="C9" s="159" t="str">
        <f>IF(ISBLANK('Site Details'!C7),"",'Site Details'!C7)</f>
        <v/>
      </c>
      <c r="E9" s="446"/>
    </row>
    <row r="10" spans="2:7" ht="14.5" x14ac:dyDescent="0.35"/>
    <row r="11" spans="2:7" x14ac:dyDescent="0.35">
      <c r="B11" s="645" t="s">
        <v>164</v>
      </c>
      <c r="C11" s="645"/>
      <c r="D11" s="645"/>
      <c r="E11" s="645"/>
      <c r="F11" s="645"/>
    </row>
    <row r="12" spans="2:7" ht="27" x14ac:dyDescent="0.35">
      <c r="B12" s="412" t="s">
        <v>109</v>
      </c>
      <c r="C12" s="412" t="s">
        <v>110</v>
      </c>
      <c r="D12" s="412" t="s">
        <v>111</v>
      </c>
      <c r="E12" s="412" t="s">
        <v>112</v>
      </c>
      <c r="F12" s="433" t="s">
        <v>113</v>
      </c>
    </row>
    <row r="13" spans="2:7" ht="39.65" customHeight="1" x14ac:dyDescent="0.35">
      <c r="B13" s="451" t="s">
        <v>1400</v>
      </c>
      <c r="C13" s="457" t="s">
        <v>1399</v>
      </c>
      <c r="D13" s="657"/>
      <c r="E13" s="684"/>
      <c r="F13" s="657"/>
      <c r="G13" s="435"/>
    </row>
    <row r="14" spans="2:7" ht="23.15" customHeight="1" x14ac:dyDescent="0.35">
      <c r="B14" s="458"/>
      <c r="C14" s="333" t="str">
        <f>HYPERLINK("https://environment.data.gov.uk/catchment-planning","Catchment Data Explorer")</f>
        <v>Catchment Data Explorer</v>
      </c>
      <c r="D14" s="658"/>
      <c r="E14" s="685"/>
      <c r="F14" s="658"/>
      <c r="G14" s="435"/>
    </row>
    <row r="15" spans="2:7" ht="40.5" customHeight="1" x14ac:dyDescent="0.35">
      <c r="B15" s="458"/>
      <c r="C15" s="459" t="s">
        <v>1398</v>
      </c>
      <c r="D15" s="658"/>
      <c r="E15" s="685"/>
      <c r="F15" s="658"/>
      <c r="G15" s="435"/>
    </row>
    <row r="16" spans="2:7" ht="15.65" customHeight="1" x14ac:dyDescent="0.35">
      <c r="B16" s="458"/>
      <c r="C16" s="334" t="str">
        <f>HYPERLINK("https://www.forestergis.com/Apps/MapBrowser/","Forestry Commission Map Browser")</f>
        <v>Forestry Commission Map Browser</v>
      </c>
      <c r="D16" s="658"/>
      <c r="E16" s="685"/>
      <c r="F16" s="658"/>
      <c r="G16" s="435"/>
    </row>
    <row r="17" spans="2:7" ht="29.5" customHeight="1" x14ac:dyDescent="0.35">
      <c r="B17" s="458"/>
      <c r="C17" s="460" t="s">
        <v>1396</v>
      </c>
      <c r="D17" s="658"/>
      <c r="E17" s="685"/>
      <c r="F17" s="658"/>
      <c r="G17" s="435"/>
    </row>
    <row r="18" spans="2:7" ht="39" customHeight="1" x14ac:dyDescent="0.35">
      <c r="B18" s="458"/>
      <c r="C18" s="335" t="str">
        <f>HYPERLINK("https://www.gov.uk/government/publications/map-browser-with-land-information-search-operations-note-48","Map browser with Land Information Search: operations note 48 - GOV.UK")</f>
        <v>Map browser with Land Information Search: operations note 48 - GOV.UK</v>
      </c>
      <c r="D18" s="658"/>
      <c r="E18" s="685"/>
      <c r="F18" s="658"/>
      <c r="G18" s="435"/>
    </row>
    <row r="19" spans="2:7" ht="155.25" customHeight="1" x14ac:dyDescent="0.35">
      <c r="B19" s="461"/>
      <c r="C19" s="462" t="s">
        <v>1408</v>
      </c>
      <c r="D19" s="659"/>
      <c r="E19" s="686"/>
      <c r="F19" s="659"/>
      <c r="G19" s="435"/>
    </row>
    <row r="20" spans="2:7" ht="14.25" customHeight="1" x14ac:dyDescent="0.35">
      <c r="B20" s="451" t="s">
        <v>1494</v>
      </c>
      <c r="C20" s="301" t="s">
        <v>1507</v>
      </c>
      <c r="D20" s="657"/>
      <c r="E20" s="687"/>
      <c r="F20" s="657"/>
    </row>
    <row r="21" spans="2:7" ht="36" customHeight="1" x14ac:dyDescent="0.35">
      <c r="B21" s="463" t="s">
        <v>1397</v>
      </c>
      <c r="C21" s="328" t="str">
        <f>HYPERLINK("https://www.gov.uk/check-long-term-flood-risk","Check the long term flood risk for an area in England - GOV.UK")</f>
        <v>Check the long term flood risk for an area in England - GOV.UK</v>
      </c>
      <c r="D21" s="658"/>
      <c r="E21" s="688"/>
      <c r="F21" s="658"/>
    </row>
    <row r="22" spans="2:7" ht="97" customHeight="1" x14ac:dyDescent="0.35">
      <c r="B22" s="458"/>
      <c r="C22" s="464" t="s">
        <v>1403</v>
      </c>
      <c r="D22" s="658"/>
      <c r="E22" s="688"/>
      <c r="F22" s="658"/>
    </row>
    <row r="23" spans="2:7" ht="21.75" customHeight="1" x14ac:dyDescent="0.35">
      <c r="B23" s="463"/>
      <c r="C23" s="334" t="str">
        <f>HYPERLINK("https://www.forestergis.com/Apps/MapBrowser/","Forestry Commission Map Browser")</f>
        <v>Forestry Commission Map Browser</v>
      </c>
      <c r="D23" s="658"/>
      <c r="E23" s="688"/>
      <c r="F23" s="658"/>
    </row>
    <row r="24" spans="2:7" ht="18" customHeight="1" x14ac:dyDescent="0.35">
      <c r="B24" s="463"/>
      <c r="C24" s="465" t="s">
        <v>1396</v>
      </c>
      <c r="D24" s="658"/>
      <c r="E24" s="688"/>
      <c r="F24" s="658"/>
    </row>
    <row r="25" spans="2:7" ht="34" customHeight="1" x14ac:dyDescent="0.35">
      <c r="B25" s="463"/>
      <c r="C25" s="335" t="str">
        <f>HYPERLINK("https://www.gov.uk/government/publications/map-browser-with-land-information-search-operations-note-48","Map browser with Land Information Search: operations note 48 - GOV.UK")</f>
        <v>Map browser with Land Information Search: operations note 48 - GOV.UK</v>
      </c>
      <c r="D25" s="658"/>
      <c r="E25" s="688"/>
      <c r="F25" s="658"/>
    </row>
    <row r="26" spans="2:7" ht="45" customHeight="1" x14ac:dyDescent="0.35">
      <c r="B26" s="452"/>
      <c r="C26" s="298" t="s">
        <v>1407</v>
      </c>
      <c r="D26" s="659"/>
      <c r="E26" s="689"/>
      <c r="F26" s="659"/>
    </row>
    <row r="27" spans="2:7" ht="101.25" customHeight="1" x14ac:dyDescent="0.35">
      <c r="B27" s="451" t="s">
        <v>1498</v>
      </c>
      <c r="C27" s="300" t="s">
        <v>1497</v>
      </c>
      <c r="D27" s="657"/>
      <c r="E27" s="687"/>
      <c r="F27" s="657"/>
    </row>
    <row r="28" spans="2:7" s="357" customFormat="1" ht="22" customHeight="1" x14ac:dyDescent="0.35">
      <c r="B28" s="458"/>
      <c r="C28" s="336" t="str">
        <f>HYPERLINK("https://www.forestergis.com/Apps/MapBrowser/","Forestry Commission Map Browser")</f>
        <v>Forestry Commission Map Browser</v>
      </c>
      <c r="D28" s="658"/>
      <c r="E28" s="688"/>
      <c r="F28" s="658"/>
    </row>
    <row r="29" spans="2:7" ht="14.5" customHeight="1" x14ac:dyDescent="0.35">
      <c r="B29" s="463"/>
      <c r="C29" s="464" t="s">
        <v>1396</v>
      </c>
      <c r="D29" s="658"/>
      <c r="E29" s="688"/>
      <c r="F29" s="658"/>
    </row>
    <row r="30" spans="2:7" ht="40.5" customHeight="1" x14ac:dyDescent="0.35">
      <c r="B30" s="458"/>
      <c r="C30" s="335" t="str">
        <f>HYPERLINK("https://www.gov.uk/government/publications/map-browser-with-land-information-search-operations-note-48","Map browser with Land Information Search: operations note 48 - GOV.UK")</f>
        <v>Map browser with Land Information Search: operations note 48 - GOV.UK</v>
      </c>
      <c r="D30" s="658"/>
      <c r="E30" s="688"/>
      <c r="F30" s="658"/>
    </row>
    <row r="31" spans="2:7" ht="40.5" x14ac:dyDescent="0.35">
      <c r="B31" s="452"/>
      <c r="C31" s="298" t="s">
        <v>1409</v>
      </c>
      <c r="D31" s="659"/>
      <c r="E31" s="689"/>
      <c r="F31" s="659"/>
    </row>
    <row r="32" spans="2:7" ht="39" customHeight="1" x14ac:dyDescent="0.35">
      <c r="B32" s="451" t="s">
        <v>1508</v>
      </c>
      <c r="C32" s="466" t="s">
        <v>1401</v>
      </c>
      <c r="D32" s="657"/>
      <c r="E32" s="687"/>
      <c r="F32" s="657"/>
    </row>
    <row r="33" spans="2:6" ht="30.65" customHeight="1" x14ac:dyDescent="0.35">
      <c r="B33" s="458" t="s">
        <v>1495</v>
      </c>
      <c r="C33" s="336" t="str">
        <f>HYPERLINK("https://www.bgs.ac.uk/map-viewers/bgs-geology-viewer/","BGS Geology Viewer - British Geological Survey")</f>
        <v>BGS Geology Viewer - British Geological Survey</v>
      </c>
      <c r="D33" s="658"/>
      <c r="E33" s="688"/>
      <c r="F33" s="658"/>
    </row>
    <row r="34" spans="2:6" ht="64.5" customHeight="1" x14ac:dyDescent="0.35">
      <c r="B34" s="452"/>
      <c r="C34" s="298" t="s">
        <v>1410</v>
      </c>
      <c r="D34" s="659"/>
      <c r="E34" s="689"/>
      <c r="F34" s="659"/>
    </row>
    <row r="35" spans="2:6" ht="15.75" customHeight="1" x14ac:dyDescent="0.35">
      <c r="B35" s="451" t="s">
        <v>1499</v>
      </c>
      <c r="C35" s="467" t="s">
        <v>1412</v>
      </c>
      <c r="D35" s="657"/>
      <c r="E35" s="687"/>
      <c r="F35" s="657"/>
    </row>
    <row r="36" spans="2:6" ht="47.25" customHeight="1" x14ac:dyDescent="0.35">
      <c r="B36" s="463" t="s">
        <v>1500</v>
      </c>
      <c r="C36" s="337" t="str">
        <f>HYPERLINK("https://environment.data.gov.uk/farmers/","Check for Drinking Water Safeguard Zones and NVZs")</f>
        <v>Check for Drinking Water Safeguard Zones and NVZs</v>
      </c>
      <c r="D36" s="658"/>
      <c r="E36" s="688"/>
      <c r="F36" s="658"/>
    </row>
    <row r="37" spans="2:6" ht="73.5" customHeight="1" x14ac:dyDescent="0.35">
      <c r="B37" s="463"/>
      <c r="C37" s="468" t="s">
        <v>1404</v>
      </c>
      <c r="D37" s="658"/>
      <c r="E37" s="688"/>
      <c r="F37" s="658"/>
    </row>
    <row r="38" spans="2:6" ht="18" customHeight="1" x14ac:dyDescent="0.35">
      <c r="B38" s="458"/>
      <c r="C38" s="336" t="str">
        <f>HYPERLINK("https://www.forestergis.com/Apps/MapBrowser/","Forestry Commission Map Browser")</f>
        <v>Forestry Commission Map Browser</v>
      </c>
      <c r="D38" s="658"/>
      <c r="E38" s="688"/>
      <c r="F38" s="658"/>
    </row>
    <row r="39" spans="2:6" ht="14.15" customHeight="1" x14ac:dyDescent="0.35">
      <c r="B39" s="458"/>
      <c r="C39" s="469" t="s">
        <v>1396</v>
      </c>
      <c r="D39" s="658"/>
      <c r="E39" s="688"/>
      <c r="F39" s="658"/>
    </row>
    <row r="40" spans="2:6" ht="32.25" customHeight="1" x14ac:dyDescent="0.35">
      <c r="B40" s="463"/>
      <c r="C40" s="335" t="str">
        <f>HYPERLINK("https://www.gov.uk/government/publications/map-browser-with-land-information-search-operations-note-48","Map browser with Land Information Search: operations note 48 - GOV.UK")</f>
        <v>Map browser with Land Information Search: operations note 48 - GOV.UK</v>
      </c>
      <c r="D40" s="658"/>
      <c r="E40" s="688"/>
      <c r="F40" s="658"/>
    </row>
    <row r="41" spans="2:6" ht="53.25" customHeight="1" x14ac:dyDescent="0.35">
      <c r="B41" s="461"/>
      <c r="C41" s="470" t="s">
        <v>1411</v>
      </c>
      <c r="D41" s="659"/>
      <c r="E41" s="689"/>
      <c r="F41" s="659"/>
    </row>
    <row r="42" spans="2:6" ht="49.5" customHeight="1" x14ac:dyDescent="0.35">
      <c r="B42" s="451" t="s">
        <v>165</v>
      </c>
      <c r="C42" s="464" t="s">
        <v>1405</v>
      </c>
      <c r="D42" s="657"/>
      <c r="E42" s="687"/>
      <c r="F42" s="657"/>
    </row>
    <row r="43" spans="2:6" ht="21" customHeight="1" x14ac:dyDescent="0.35">
      <c r="B43" s="458"/>
      <c r="C43" s="336" t="str">
        <f>HYPERLINK("https://www.forestergis.com/Apps/MapBrowser/","Forestry Commission Map Browser")</f>
        <v>Forestry Commission Map Browser</v>
      </c>
      <c r="D43" s="658"/>
      <c r="E43" s="688"/>
      <c r="F43" s="658"/>
    </row>
    <row r="44" spans="2:6" ht="15.65" customHeight="1" x14ac:dyDescent="0.35">
      <c r="B44" s="458"/>
      <c r="C44" s="469" t="s">
        <v>1396</v>
      </c>
      <c r="D44" s="658"/>
      <c r="E44" s="688"/>
      <c r="F44" s="658"/>
    </row>
    <row r="45" spans="2:6" ht="35.25" customHeight="1" x14ac:dyDescent="0.35">
      <c r="B45" s="463"/>
      <c r="C45" s="335" t="str">
        <f>HYPERLINK("https://www.gov.uk/government/publications/map-browser-with-land-information-search-operations-note-48","Map browser with Land Information Search: operations note 48 - GOV.UK")</f>
        <v>Map browser with Land Information Search: operations note 48 - GOV.UK</v>
      </c>
      <c r="D45" s="658"/>
      <c r="E45" s="688"/>
      <c r="F45" s="658"/>
    </row>
    <row r="46" spans="2:6" ht="27.5" x14ac:dyDescent="0.35">
      <c r="B46" s="452"/>
      <c r="C46" s="471" t="s">
        <v>1464</v>
      </c>
      <c r="D46" s="659"/>
      <c r="E46" s="689"/>
      <c r="F46" s="659"/>
    </row>
    <row r="47" spans="2:6" ht="51.75" customHeight="1" x14ac:dyDescent="0.35">
      <c r="B47" s="472" t="s">
        <v>1088</v>
      </c>
      <c r="C47" s="300" t="s">
        <v>1406</v>
      </c>
      <c r="D47" s="657"/>
      <c r="E47" s="687"/>
      <c r="F47" s="657"/>
    </row>
    <row r="48" spans="2:6" ht="21.65" customHeight="1" x14ac:dyDescent="0.35">
      <c r="B48" s="463"/>
      <c r="C48" s="336" t="str">
        <f>HYPERLINK("https://www.forestergis.com/Apps/MapBrowser/","Forestry Commission Map Browser")</f>
        <v>Forestry Commission Map Browser</v>
      </c>
      <c r="D48" s="658"/>
      <c r="E48" s="688"/>
      <c r="F48" s="658"/>
    </row>
    <row r="49" spans="2:6" ht="14.5" customHeight="1" x14ac:dyDescent="0.35">
      <c r="B49" s="458"/>
      <c r="C49" s="469" t="s">
        <v>1396</v>
      </c>
      <c r="D49" s="658"/>
      <c r="E49" s="688"/>
      <c r="F49" s="658"/>
    </row>
    <row r="50" spans="2:6" ht="32.25" customHeight="1" x14ac:dyDescent="0.35">
      <c r="B50" s="458"/>
      <c r="C50" s="335" t="str">
        <f>HYPERLINK("https://www.gov.uk/government/publications/map-browser-with-land-information-search-operations-note-48","Map browser with Land Information Search: operations note 48 - GOV.UK")</f>
        <v>Map browser with Land Information Search: operations note 48 - GOV.UK</v>
      </c>
      <c r="D50" s="658"/>
      <c r="E50" s="688"/>
      <c r="F50" s="658"/>
    </row>
    <row r="51" spans="2:6" ht="80.25" customHeight="1" x14ac:dyDescent="0.35">
      <c r="B51" s="461"/>
      <c r="C51" s="298" t="s">
        <v>1402</v>
      </c>
      <c r="D51" s="659"/>
      <c r="E51" s="689"/>
      <c r="F51" s="659"/>
    </row>
    <row r="52" spans="2:6" ht="20.149999999999999" customHeight="1" x14ac:dyDescent="0.35"/>
    <row r="53" spans="2:6" ht="20.149999999999999" hidden="1" customHeight="1" x14ac:dyDescent="0.35"/>
  </sheetData>
  <sheetProtection algorithmName="SHA-512" hashValue="caW9ufrbX8uuOMzHkdlNDcvI6vswIXRTmDQkvQvg7JYi5ByQaFooOfOe1d3/fu6l6s8Bcb5gS55I7r5vsUry4Q==" saltValue="kJ8E4nAlICs5bBoX4n8a/g==" spinCount="100000" sheet="1" objects="1" scenarios="1"/>
  <mergeCells count="25">
    <mergeCell ref="D35:D41"/>
    <mergeCell ref="E35:E41"/>
    <mergeCell ref="D42:D46"/>
    <mergeCell ref="E42:E46"/>
    <mergeCell ref="D47:D51"/>
    <mergeCell ref="E47:E51"/>
    <mergeCell ref="D20:D26"/>
    <mergeCell ref="E20:E26"/>
    <mergeCell ref="D27:D31"/>
    <mergeCell ref="E27:E31"/>
    <mergeCell ref="D32:D34"/>
    <mergeCell ref="E32:E34"/>
    <mergeCell ref="B2:E2"/>
    <mergeCell ref="B11:F11"/>
    <mergeCell ref="D13:D19"/>
    <mergeCell ref="E13:E19"/>
    <mergeCell ref="F13:F19"/>
    <mergeCell ref="B6:F6"/>
    <mergeCell ref="B4:F4"/>
    <mergeCell ref="F47:F51"/>
    <mergeCell ref="F20:F26"/>
    <mergeCell ref="F27:F31"/>
    <mergeCell ref="F32:F34"/>
    <mergeCell ref="F35:F41"/>
    <mergeCell ref="F42:F46"/>
  </mergeCells>
  <conditionalFormatting sqref="D13:E13 D20:E20 D27:E27 D32:E32 D35:E35 D42:E42 D47:E47">
    <cfRule type="containsBlanks" dxfId="53" priority="1">
      <formula>LEN(TRIM(D13))=0</formula>
    </cfRule>
  </conditionalFormatting>
  <conditionalFormatting sqref="F13 F20 F27 F32 F35 F42 F47">
    <cfRule type="containsBlanks" dxfId="52" priority="2">
      <formula>LEN(TRIM(F13))=0</formula>
    </cfRule>
  </conditionalFormatting>
  <dataValidations count="1">
    <dataValidation type="list" allowBlank="1" showInputMessage="1" showErrorMessage="1" sqref="D13 D20 D27 D32 D35 D42 D47" xr:uid="{1C7DD795-E470-4FC3-981B-EF5102C3CDEF}">
      <formula1>"Yes,No"</formula1>
    </dataValidation>
  </dataValidations>
  <hyperlinks>
    <hyperlink ref="C14" r:id="rId1" display="Catchment Data Explorer" xr:uid="{B0349148-4746-45F6-8B0D-B174C4CEDBD5}"/>
    <hyperlink ref="C18" r:id="rId2" display="https://www.gov.uk/government/publications/map-browser-with-land-information-search-operations-note-48" xr:uid="{B1B2BDA2-9357-40DA-A198-3D25AB5CAB30}"/>
    <hyperlink ref="C16" r:id="rId3" display="https://www.forestergis.com/Apps/MapBrowser/" xr:uid="{50C91809-5B70-4258-8ADF-465389248542}"/>
    <hyperlink ref="C21" r:id="rId4" display="https://www.gov.uk/check-long-term-flood-risk" xr:uid="{56EE0171-0357-4368-8390-3C68E0F5CFC4}"/>
    <hyperlink ref="C33" r:id="rId5" display="https://www.bgs.ac.uk/map-viewers/bgs-geology-viewer/" xr:uid="{669563A0-5E86-4C85-A1AC-5BE0B5D91F7B}"/>
    <hyperlink ref="C36" r:id="rId6" display="https://environment.data.gov.uk/farmers/" xr:uid="{5B0B2CB5-7BF6-4C73-B71F-4B5773CDB12A}"/>
    <hyperlink ref="C23" r:id="rId7" display="https://www.forestergis.com/Apps/MapBrowser/" xr:uid="{FEA2A6DD-32FC-46CB-9DD7-EBBCC0DD5EFF}"/>
    <hyperlink ref="C25" r:id="rId8" display="https://www.gov.uk/government/publications/map-browser-with-land-information-search-operations-note-48" xr:uid="{DE0FD5E9-9CE0-4F4E-B806-D7F253E5B1E2}"/>
    <hyperlink ref="C30" r:id="rId9" display="https://www.gov.uk/government/publications/map-browser-with-land-information-search-operations-note-48" xr:uid="{97877B4F-3ED0-4815-9009-02FE12B167C3}"/>
    <hyperlink ref="C28" r:id="rId10" display="https://www.forestergis.com/Apps/MapBrowser/" xr:uid="{5E30FEB3-67FB-4871-A0AD-BE43891B92B5}"/>
    <hyperlink ref="C40" r:id="rId11" display="https://www.gov.uk/government/publications/map-browser-with-land-information-search-operations-note-48" xr:uid="{2EEC147F-FCA0-420A-90F7-30272962F104}"/>
    <hyperlink ref="C38" r:id="rId12" display="https://www.forestergis.com/Apps/MapBrowser/" xr:uid="{9BA107F2-7C27-4323-BE15-FC619CC4CF20}"/>
    <hyperlink ref="C43" r:id="rId13" display="https://www.forestergis.com/Apps/MapBrowser/" xr:uid="{D3809B5B-2A24-40E3-AA86-050ABA3AAFC1}"/>
    <hyperlink ref="C48" r:id="rId14" display="https://www.forestergis.com/Apps/MapBrowser/" xr:uid="{82BC2788-EFAB-4197-BD0D-072B2C5D9BFE}"/>
    <hyperlink ref="C45" r:id="rId15" display="https://www.gov.uk/government/publications/map-browser-with-land-information-search-operations-note-48" xr:uid="{ED9E6E43-442D-43D3-A8AF-28D3047D51EE}"/>
    <hyperlink ref="C50" r:id="rId16" display="https://www.gov.uk/government/publications/map-browser-with-land-information-search-operations-note-48" xr:uid="{56D937BD-86F6-41DB-8620-A8C77A129246}"/>
  </hyperlinks>
  <pageMargins left="0.70866141732283472" right="0.70866141732283472" top="0.74803149606299213" bottom="0.74803149606299213" header="0.31496062992125984" footer="0.31496062992125984"/>
  <pageSetup paperSize="9" scale="37" fitToHeight="0" orientation="portrait" r:id="rId17"/>
  <drawing r:id="rId18"/>
  <extLst>
    <ext xmlns:x14="http://schemas.microsoft.com/office/spreadsheetml/2009/9/main" uri="{CCE6A557-97BC-4b89-ADB6-D9C93CAAB3DF}">
      <x14:dataValidations xmlns:xm="http://schemas.microsoft.com/office/excel/2006/main" count="1">
        <x14:dataValidation type="list" allowBlank="1" showInputMessage="1" showErrorMessage="1" xr:uid="{E1E9EFBC-0829-4FD9-B487-D65BA5EC97E0}">
          <x14:formula1>
            <xm:f>'Data (hidden)'!$J$3:$J$5</xm:f>
          </x14:formula1>
          <xm:sqref>F13 F20 F47 F32 F35 F42 F27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BA4B2-5644-403A-BEDA-25446E1EC9C1}">
  <sheetPr codeName="Sheet8">
    <tabColor rgb="FF006939"/>
    <pageSetUpPr fitToPage="1"/>
  </sheetPr>
  <dimension ref="B1:W58"/>
  <sheetViews>
    <sheetView showGridLines="0" zoomScaleNormal="100" workbookViewId="0">
      <selection sqref="A1:XFD1048576"/>
    </sheetView>
  </sheetViews>
  <sheetFormatPr defaultColWidth="0" defaultRowHeight="15" customHeight="1" zeroHeight="1" x14ac:dyDescent="0.35"/>
  <cols>
    <col min="1" max="1" width="3.81640625" customWidth="1"/>
    <col min="2" max="2" width="52.54296875" customWidth="1"/>
    <col min="3" max="3" width="58.1796875" customWidth="1"/>
    <col min="4" max="4" width="18" customWidth="1"/>
    <col min="5" max="5" width="75.81640625" customWidth="1"/>
    <col min="6" max="6" width="15.81640625" customWidth="1"/>
    <col min="7" max="7" width="6.54296875" customWidth="1"/>
    <col min="8" max="8" width="5.1796875" hidden="1" customWidth="1"/>
    <col min="9" max="23" width="8.7265625" hidden="1" customWidth="1"/>
  </cols>
  <sheetData>
    <row r="1" spans="2:11" ht="15" customHeight="1" x14ac:dyDescent="0.35"/>
    <row r="2" spans="2:11" ht="31" customHeight="1" x14ac:dyDescent="0.45">
      <c r="B2" s="673" t="s">
        <v>166</v>
      </c>
      <c r="C2" s="673"/>
      <c r="D2" s="673"/>
      <c r="E2" s="673"/>
      <c r="F2" s="443"/>
      <c r="G2" s="11"/>
      <c r="H2" s="11"/>
      <c r="I2" s="11"/>
      <c r="J2" s="11"/>
      <c r="K2" s="11"/>
    </row>
    <row r="3" spans="2:11" ht="7.5" customHeight="1" x14ac:dyDescent="0.35">
      <c r="B3" s="11"/>
      <c r="C3" s="11"/>
      <c r="D3" s="11"/>
      <c r="E3" s="11"/>
      <c r="F3" s="11"/>
      <c r="G3" s="11"/>
      <c r="H3" s="11"/>
      <c r="I3" s="11"/>
      <c r="J3" s="11"/>
      <c r="K3" s="11"/>
    </row>
    <row r="4" spans="2:11" ht="33.75" customHeight="1" x14ac:dyDescent="0.35">
      <c r="B4" s="699" t="s">
        <v>1530</v>
      </c>
      <c r="C4" s="700"/>
      <c r="D4" s="700"/>
      <c r="E4" s="700"/>
      <c r="F4" s="701"/>
      <c r="G4" s="11"/>
      <c r="H4" s="11"/>
      <c r="I4" s="11"/>
      <c r="J4" s="11"/>
      <c r="K4" s="11"/>
    </row>
    <row r="5" spans="2:11" ht="15" customHeight="1" x14ac:dyDescent="0.35">
      <c r="B5" s="445" t="str">
        <f>HYPERLINK("https://magic.defra.gov.uk/MagicMap.html","Magic Map Application")</f>
        <v>Magic Map Application</v>
      </c>
      <c r="C5" s="473"/>
      <c r="D5" s="473"/>
      <c r="E5" s="473"/>
      <c r="F5" s="474"/>
      <c r="G5" s="11"/>
      <c r="H5" s="11"/>
      <c r="I5" s="11"/>
      <c r="J5" s="11"/>
      <c r="K5" s="11"/>
    </row>
    <row r="6" spans="2:11" ht="123.75" customHeight="1" x14ac:dyDescent="0.35">
      <c r="B6" s="696" t="s">
        <v>1529</v>
      </c>
      <c r="C6" s="697"/>
      <c r="D6" s="697"/>
      <c r="E6" s="697"/>
      <c r="F6" s="698"/>
      <c r="G6" s="11"/>
      <c r="H6" s="11"/>
      <c r="I6" s="11"/>
      <c r="J6" s="11"/>
      <c r="K6" s="11"/>
    </row>
    <row r="7" spans="2:11" ht="15.75" customHeight="1" x14ac:dyDescent="0.35">
      <c r="B7" s="702" t="str">
        <f>HYPERLINK("https://www.gov.uk/guidance/when-to-notify-historic-environment-organisations-about-forestry-proposals","When to notify historic environment organisations about forestry proposals - GOV.UK")</f>
        <v>When to notify historic environment organisations about forestry proposals - GOV.UK</v>
      </c>
      <c r="C7" s="703"/>
      <c r="D7" s="475"/>
      <c r="E7" s="475"/>
      <c r="F7" s="476"/>
      <c r="G7" s="11"/>
      <c r="H7" s="11"/>
      <c r="I7" s="11"/>
      <c r="J7" s="11"/>
      <c r="K7" s="11"/>
    </row>
    <row r="8" spans="2:11" ht="15" customHeight="1" x14ac:dyDescent="0.35">
      <c r="B8" s="691"/>
      <c r="C8" s="691"/>
      <c r="D8" s="691"/>
      <c r="E8" s="691"/>
      <c r="F8" s="691"/>
      <c r="G8" s="691"/>
      <c r="H8" s="691"/>
      <c r="I8" s="691"/>
      <c r="J8" s="691"/>
      <c r="K8" s="691"/>
    </row>
    <row r="9" spans="2:11" ht="21" customHeight="1" x14ac:dyDescent="0.35">
      <c r="B9" s="3" t="s">
        <v>78</v>
      </c>
      <c r="C9" s="159" t="str">
        <f>IF(ISBLANK('Site Details'!C6),"",'Site Details'!C6)</f>
        <v/>
      </c>
    </row>
    <row r="10" spans="2:11" ht="21" customHeight="1" x14ac:dyDescent="0.35">
      <c r="B10" s="3" t="s">
        <v>64</v>
      </c>
      <c r="C10" s="159" t="str">
        <f>IF(ISBLANK('Site Details'!C7),"",'Site Details'!C7)</f>
        <v/>
      </c>
    </row>
    <row r="11" spans="2:11" ht="15" customHeight="1" x14ac:dyDescent="0.35">
      <c r="B11" s="477"/>
      <c r="C11" s="477"/>
      <c r="D11" s="477"/>
      <c r="E11" s="477"/>
      <c r="F11" s="477"/>
      <c r="G11" s="477"/>
      <c r="H11" s="477"/>
      <c r="I11" s="477"/>
      <c r="J11" s="477"/>
      <c r="K11" s="477"/>
    </row>
    <row r="12" spans="2:11" x14ac:dyDescent="0.35">
      <c r="B12" s="645" t="s">
        <v>167</v>
      </c>
      <c r="C12" s="645"/>
      <c r="D12" s="645"/>
      <c r="E12" s="645"/>
      <c r="F12" s="645"/>
    </row>
    <row r="13" spans="2:11" ht="27" x14ac:dyDescent="0.35">
      <c r="B13" s="412" t="s">
        <v>109</v>
      </c>
      <c r="C13" s="412" t="s">
        <v>110</v>
      </c>
      <c r="D13" s="412" t="s">
        <v>111</v>
      </c>
      <c r="E13" s="412" t="s">
        <v>112</v>
      </c>
      <c r="F13" s="433" t="s">
        <v>113</v>
      </c>
    </row>
    <row r="14" spans="2:11" ht="154.5" customHeight="1" x14ac:dyDescent="0.35">
      <c r="B14" s="434" t="s">
        <v>168</v>
      </c>
      <c r="C14" s="424" t="s">
        <v>169</v>
      </c>
      <c r="D14" s="425"/>
      <c r="E14" s="449"/>
      <c r="F14" s="425"/>
      <c r="H14" s="692"/>
      <c r="I14" s="692"/>
      <c r="J14" s="692"/>
      <c r="K14" s="692"/>
    </row>
    <row r="15" spans="2:11" ht="142" customHeight="1" x14ac:dyDescent="0.35">
      <c r="B15" s="434" t="s">
        <v>170</v>
      </c>
      <c r="C15" s="424" t="s">
        <v>171</v>
      </c>
      <c r="D15" s="425"/>
      <c r="E15" s="449"/>
      <c r="F15" s="425"/>
      <c r="G15" s="435"/>
      <c r="H15" s="693"/>
      <c r="I15" s="693"/>
      <c r="J15" s="693"/>
      <c r="K15" s="693"/>
    </row>
    <row r="16" spans="2:11" ht="146.5" customHeight="1" x14ac:dyDescent="0.35">
      <c r="B16" s="434" t="s">
        <v>172</v>
      </c>
      <c r="C16" s="424" t="s">
        <v>173</v>
      </c>
      <c r="D16" s="425"/>
      <c r="E16" s="449"/>
      <c r="F16" s="425"/>
      <c r="G16" s="435"/>
      <c r="H16" s="693"/>
      <c r="I16" s="693"/>
      <c r="J16" s="693"/>
      <c r="K16" s="693"/>
    </row>
    <row r="17" spans="2:12" ht="138.65" customHeight="1" x14ac:dyDescent="0.35">
      <c r="B17" s="434" t="s">
        <v>174</v>
      </c>
      <c r="C17" s="424" t="s">
        <v>175</v>
      </c>
      <c r="D17" s="425"/>
      <c r="E17" s="449"/>
      <c r="F17" s="425"/>
      <c r="G17" s="435"/>
      <c r="H17" s="693"/>
      <c r="I17" s="693"/>
      <c r="J17" s="693"/>
      <c r="K17" s="693"/>
    </row>
    <row r="18" spans="2:12" ht="142" customHeight="1" x14ac:dyDescent="0.35">
      <c r="B18" s="434" t="s">
        <v>176</v>
      </c>
      <c r="C18" s="424" t="s">
        <v>177</v>
      </c>
      <c r="D18" s="425"/>
      <c r="E18" s="449"/>
      <c r="F18" s="425"/>
      <c r="G18" s="435"/>
      <c r="H18" s="693"/>
      <c r="I18" s="693"/>
      <c r="J18" s="693"/>
      <c r="K18" s="693"/>
    </row>
    <row r="19" spans="2:12" ht="69" customHeight="1" x14ac:dyDescent="0.35">
      <c r="B19" s="434" t="s">
        <v>178</v>
      </c>
      <c r="C19" s="424" t="s">
        <v>179</v>
      </c>
      <c r="D19" s="425"/>
      <c r="E19" s="449"/>
      <c r="F19" s="425"/>
      <c r="G19" s="435"/>
      <c r="H19" s="693"/>
      <c r="I19" s="693"/>
      <c r="J19" s="693"/>
      <c r="K19" s="693"/>
    </row>
    <row r="20" spans="2:12" x14ac:dyDescent="0.35">
      <c r="B20" s="674" t="s">
        <v>180</v>
      </c>
      <c r="C20" s="675"/>
      <c r="D20" s="675"/>
      <c r="E20" s="675"/>
      <c r="F20" s="675"/>
      <c r="H20" s="693"/>
      <c r="I20" s="693"/>
      <c r="J20" s="693"/>
      <c r="K20" s="693"/>
    </row>
    <row r="21" spans="2:12" ht="27" x14ac:dyDescent="0.35">
      <c r="B21" s="412" t="s">
        <v>109</v>
      </c>
      <c r="C21" s="412" t="s">
        <v>110</v>
      </c>
      <c r="D21" s="412" t="s">
        <v>111</v>
      </c>
      <c r="E21" s="412" t="s">
        <v>112</v>
      </c>
      <c r="F21" s="433" t="s">
        <v>113</v>
      </c>
      <c r="H21" s="693"/>
      <c r="I21" s="693"/>
      <c r="J21" s="693"/>
      <c r="K21" s="693"/>
    </row>
    <row r="22" spans="2:12" ht="67.5" x14ac:dyDescent="0.35">
      <c r="B22" s="478" t="s">
        <v>181</v>
      </c>
      <c r="C22" s="479" t="s">
        <v>1446</v>
      </c>
      <c r="D22" s="649"/>
      <c r="E22" s="651"/>
      <c r="F22" s="649"/>
      <c r="H22" s="693"/>
      <c r="I22" s="693"/>
      <c r="J22" s="693"/>
      <c r="K22" s="693"/>
    </row>
    <row r="23" spans="2:12" s="357" customFormat="1" ht="31.5" customHeight="1" x14ac:dyDescent="0.3">
      <c r="B23" s="452"/>
      <c r="C23" s="338" t="str">
        <f>HYPERLINK("https://www.gov.uk/guidance/when-to-notify-historic-environment-organisations-about-forestry-proposals","When to notify historic environment organisations about forestry proposals - GOV.UK")</f>
        <v>When to notify historic environment organisations about forestry proposals - GOV.UK</v>
      </c>
      <c r="D23" s="650"/>
      <c r="E23" s="652"/>
      <c r="F23" s="650"/>
      <c r="G23" s="435"/>
      <c r="H23" s="693"/>
      <c r="I23" s="693"/>
      <c r="J23" s="693"/>
      <c r="K23" s="693"/>
    </row>
    <row r="24" spans="2:12" x14ac:dyDescent="0.35">
      <c r="B24" s="674" t="s">
        <v>1538</v>
      </c>
      <c r="C24" s="675"/>
      <c r="D24" s="675"/>
      <c r="E24" s="675"/>
      <c r="F24" s="675"/>
      <c r="G24" s="435"/>
      <c r="H24" s="693"/>
      <c r="I24" s="693"/>
      <c r="J24" s="693"/>
      <c r="K24" s="693"/>
    </row>
    <row r="25" spans="2:12" ht="27" x14ac:dyDescent="0.35">
      <c r="B25" s="412" t="s">
        <v>109</v>
      </c>
      <c r="C25" s="412" t="s">
        <v>110</v>
      </c>
      <c r="D25" s="412" t="s">
        <v>111</v>
      </c>
      <c r="E25" s="412" t="s">
        <v>112</v>
      </c>
      <c r="F25" s="433" t="s">
        <v>113</v>
      </c>
      <c r="G25" s="435"/>
      <c r="H25" s="693"/>
      <c r="I25" s="693"/>
      <c r="J25" s="693"/>
      <c r="K25" s="693"/>
    </row>
    <row r="26" spans="2:12" ht="54.75" customHeight="1" x14ac:dyDescent="0.35">
      <c r="B26" s="434" t="s">
        <v>182</v>
      </c>
      <c r="C26" s="423" t="s">
        <v>183</v>
      </c>
      <c r="D26" s="425"/>
      <c r="E26" s="449"/>
      <c r="F26" s="425"/>
      <c r="H26" s="693"/>
      <c r="I26" s="693"/>
      <c r="J26" s="693"/>
      <c r="K26" s="693"/>
    </row>
    <row r="27" spans="2:12" ht="20.5" customHeight="1" x14ac:dyDescent="0.35">
      <c r="B27" s="435"/>
      <c r="C27" s="435"/>
      <c r="D27" s="435"/>
      <c r="E27" s="435"/>
      <c r="F27" s="435"/>
      <c r="G27" s="435"/>
      <c r="H27" s="693"/>
      <c r="I27" s="693"/>
      <c r="J27" s="693"/>
      <c r="K27" s="693"/>
    </row>
    <row r="28" spans="2:12" ht="80.25" hidden="1" customHeight="1" x14ac:dyDescent="0.35">
      <c r="B28" s="435"/>
      <c r="C28" s="435"/>
      <c r="D28" s="435"/>
      <c r="E28" s="435"/>
      <c r="F28" s="435"/>
      <c r="G28" s="435"/>
      <c r="H28" s="693"/>
      <c r="I28" s="693"/>
      <c r="J28" s="693"/>
      <c r="K28" s="693"/>
      <c r="L28" s="435"/>
    </row>
    <row r="29" spans="2:12" ht="14.5" hidden="1" customHeight="1" x14ac:dyDescent="0.35">
      <c r="H29" s="693"/>
      <c r="I29" s="693"/>
      <c r="J29" s="693"/>
      <c r="K29" s="693"/>
      <c r="L29" s="435"/>
    </row>
    <row r="30" spans="2:12" ht="15" hidden="1" customHeight="1" x14ac:dyDescent="0.35">
      <c r="B30" s="435"/>
      <c r="C30" s="435"/>
      <c r="D30" s="435"/>
      <c r="E30" s="435"/>
      <c r="F30" s="435"/>
      <c r="G30" s="435"/>
      <c r="H30" s="693"/>
      <c r="I30" s="693"/>
      <c r="J30" s="693"/>
      <c r="K30" s="693"/>
      <c r="L30" s="435"/>
    </row>
    <row r="31" spans="2:12" ht="87" hidden="1" customHeight="1" x14ac:dyDescent="0.35">
      <c r="B31" s="435"/>
      <c r="C31" s="435"/>
      <c r="D31" s="435"/>
      <c r="E31" s="435"/>
      <c r="F31" s="435"/>
      <c r="G31" s="435"/>
      <c r="H31" s="693"/>
      <c r="I31" s="693"/>
      <c r="J31" s="693"/>
      <c r="K31" s="693"/>
      <c r="L31" s="435"/>
    </row>
    <row r="32" spans="2:12" ht="14.5" hidden="1" customHeight="1" x14ac:dyDescent="0.35">
      <c r="H32" s="693"/>
      <c r="I32" s="693"/>
      <c r="J32" s="693"/>
      <c r="K32" s="693"/>
      <c r="L32" s="435"/>
    </row>
    <row r="33" spans="2:12" ht="15" hidden="1" customHeight="1" x14ac:dyDescent="0.35">
      <c r="B33" s="435"/>
      <c r="C33" s="435"/>
      <c r="D33" s="435"/>
      <c r="E33" s="435"/>
      <c r="F33" s="435"/>
      <c r="G33" s="435"/>
      <c r="H33" s="693"/>
      <c r="I33" s="693"/>
      <c r="J33" s="693"/>
      <c r="K33" s="693"/>
      <c r="L33" s="435"/>
    </row>
    <row r="34" spans="2:12" ht="72.75" hidden="1" customHeight="1" x14ac:dyDescent="0.35">
      <c r="B34" s="435"/>
      <c r="C34" s="435"/>
      <c r="D34" s="435"/>
      <c r="E34" s="435"/>
      <c r="F34" s="435"/>
      <c r="G34" s="435"/>
      <c r="H34" s="693"/>
      <c r="I34" s="693"/>
      <c r="J34" s="693"/>
      <c r="K34" s="693"/>
      <c r="L34" s="435"/>
    </row>
    <row r="35" spans="2:12" ht="14.5" hidden="1" x14ac:dyDescent="0.35">
      <c r="H35" s="693"/>
      <c r="I35" s="693"/>
      <c r="J35" s="693"/>
      <c r="K35" s="693"/>
    </row>
    <row r="36" spans="2:12" ht="68.25" hidden="1" customHeight="1" x14ac:dyDescent="0.35">
      <c r="B36" s="435"/>
      <c r="C36" s="435"/>
      <c r="D36" s="435"/>
      <c r="E36" s="435"/>
      <c r="F36" s="435"/>
      <c r="G36" s="435"/>
      <c r="H36" s="693"/>
      <c r="I36" s="693"/>
      <c r="J36" s="693"/>
      <c r="K36" s="693"/>
    </row>
    <row r="37" spans="2:12" ht="12.75" hidden="1" customHeight="1" x14ac:dyDescent="0.35">
      <c r="B37" s="435"/>
      <c r="C37" s="435"/>
      <c r="D37" s="435"/>
      <c r="E37" s="435"/>
      <c r="F37" s="435"/>
      <c r="G37" s="435"/>
    </row>
    <row r="38" spans="2:12" ht="12.75" hidden="1" customHeight="1" x14ac:dyDescent="0.35">
      <c r="B38" s="444"/>
      <c r="C38" s="444"/>
      <c r="D38" s="444"/>
      <c r="E38" s="444"/>
      <c r="F38" s="444"/>
      <c r="G38" s="444"/>
    </row>
    <row r="39" spans="2:12" ht="18.649999999999999" hidden="1" customHeight="1" x14ac:dyDescent="0.35">
      <c r="B39" s="357"/>
      <c r="C39" s="357"/>
      <c r="D39" s="357"/>
      <c r="E39" s="357"/>
      <c r="F39" s="357"/>
      <c r="G39" s="357"/>
    </row>
    <row r="40" spans="2:12" ht="16" hidden="1" customHeight="1" x14ac:dyDescent="0.35">
      <c r="B40" s="480"/>
      <c r="C40" s="480"/>
      <c r="D40" s="480"/>
      <c r="E40" s="480"/>
      <c r="F40" s="480"/>
      <c r="G40" s="480"/>
    </row>
    <row r="41" spans="2:12" ht="16.5" hidden="1" customHeight="1" x14ac:dyDescent="0.35">
      <c r="B41" s="444"/>
      <c r="C41" s="444"/>
      <c r="D41" s="444"/>
      <c r="E41" s="444"/>
      <c r="F41" s="444"/>
      <c r="G41" s="444"/>
    </row>
    <row r="42" spans="2:12" ht="16.5" hidden="1" customHeight="1" x14ac:dyDescent="0.35">
      <c r="B42" s="481"/>
      <c r="C42" s="444"/>
      <c r="D42" s="444"/>
      <c r="E42" s="444"/>
      <c r="F42" s="444"/>
      <c r="G42" s="444"/>
    </row>
    <row r="43" spans="2:12" ht="14.5" hidden="1" customHeight="1" x14ac:dyDescent="0.35">
      <c r="B43" s="357"/>
      <c r="C43" s="435"/>
      <c r="D43" s="435"/>
      <c r="E43" s="435"/>
      <c r="F43" s="435"/>
      <c r="G43" s="435"/>
      <c r="H43" s="435"/>
      <c r="I43" s="435"/>
      <c r="J43" s="435"/>
      <c r="K43" s="435"/>
    </row>
    <row r="44" spans="2:12" ht="14.5" hidden="1" customHeight="1" x14ac:dyDescent="0.35">
      <c r="B44" s="357"/>
      <c r="C44" s="435"/>
      <c r="D44" s="435"/>
      <c r="E44" s="435"/>
      <c r="F44" s="435"/>
      <c r="G44" s="435"/>
      <c r="H44" s="435"/>
      <c r="I44" s="435"/>
      <c r="J44" s="435"/>
      <c r="K44" s="435"/>
    </row>
    <row r="45" spans="2:12" ht="117.75" hidden="1" customHeight="1" x14ac:dyDescent="0.35">
      <c r="B45" s="357"/>
      <c r="C45" s="444"/>
      <c r="D45" s="444"/>
      <c r="E45" s="444"/>
      <c r="F45" s="444"/>
      <c r="G45" s="444"/>
      <c r="H45" s="435"/>
      <c r="I45" s="435"/>
      <c r="J45" s="435"/>
      <c r="K45" s="435"/>
    </row>
    <row r="46" spans="2:12" ht="15" hidden="1" customHeight="1" x14ac:dyDescent="0.35">
      <c r="B46" s="693"/>
      <c r="C46" s="693"/>
      <c r="D46" s="693"/>
      <c r="E46" s="693"/>
      <c r="F46" s="693"/>
      <c r="G46" s="693"/>
      <c r="H46" s="694"/>
      <c r="I46" s="694"/>
      <c r="J46" s="694"/>
      <c r="K46" s="694"/>
    </row>
    <row r="47" spans="2:12" ht="121.5" hidden="1" customHeight="1" x14ac:dyDescent="0.35">
      <c r="B47" s="693"/>
      <c r="C47" s="693"/>
      <c r="D47" s="693"/>
      <c r="E47" s="693"/>
      <c r="F47" s="693"/>
      <c r="G47" s="693"/>
      <c r="H47" s="694"/>
      <c r="I47" s="694"/>
      <c r="J47" s="694"/>
      <c r="K47" s="694"/>
    </row>
    <row r="48" spans="2:12" ht="17.25" hidden="1" customHeight="1" x14ac:dyDescent="0.35">
      <c r="B48" s="444"/>
      <c r="C48" s="444"/>
      <c r="D48" s="444"/>
      <c r="E48" s="444"/>
      <c r="F48" s="444"/>
      <c r="G48" s="444"/>
      <c r="H48" s="435"/>
      <c r="I48" s="435"/>
      <c r="J48" s="435"/>
      <c r="K48" s="435"/>
    </row>
    <row r="49" spans="2:11" ht="15.75" hidden="1" customHeight="1" x14ac:dyDescent="0.35">
      <c r="B49" s="482"/>
      <c r="C49" s="444"/>
      <c r="D49" s="444"/>
      <c r="E49" s="444"/>
      <c r="F49" s="444"/>
      <c r="G49" s="444"/>
      <c r="H49" s="435"/>
      <c r="I49" s="435"/>
      <c r="J49" s="435"/>
      <c r="K49" s="435"/>
    </row>
    <row r="50" spans="2:11" ht="15.75" hidden="1" customHeight="1" x14ac:dyDescent="0.35">
      <c r="C50" s="444"/>
      <c r="D50" s="444"/>
      <c r="E50" s="444"/>
      <c r="F50" s="444"/>
      <c r="G50" s="444"/>
      <c r="H50" s="435"/>
      <c r="I50" s="435"/>
      <c r="J50" s="435"/>
      <c r="K50" s="435"/>
    </row>
    <row r="51" spans="2:11" ht="15.75" hidden="1" customHeight="1" x14ac:dyDescent="0.35">
      <c r="C51" s="444"/>
      <c r="D51" s="444"/>
      <c r="E51" s="444"/>
      <c r="F51" s="444"/>
      <c r="G51" s="444"/>
      <c r="H51" s="435"/>
      <c r="I51" s="435"/>
      <c r="J51" s="435"/>
      <c r="K51" s="435"/>
    </row>
    <row r="52" spans="2:11" ht="14.5" hidden="1" x14ac:dyDescent="0.35">
      <c r="H52" s="694"/>
      <c r="I52" s="694"/>
      <c r="J52" s="694"/>
      <c r="K52" s="694"/>
    </row>
    <row r="53" spans="2:11" ht="72.75" hidden="1" customHeight="1" x14ac:dyDescent="0.35">
      <c r="B53" s="695"/>
      <c r="C53" s="695"/>
      <c r="D53" s="695"/>
      <c r="E53" s="695"/>
      <c r="F53" s="695"/>
      <c r="G53" s="695"/>
      <c r="H53" s="694"/>
      <c r="I53" s="694"/>
      <c r="J53" s="694"/>
      <c r="K53" s="694"/>
    </row>
    <row r="54" spans="2:11" ht="14.5" hidden="1" x14ac:dyDescent="0.35">
      <c r="B54" s="481"/>
      <c r="H54" s="435"/>
      <c r="I54" s="435"/>
      <c r="J54" s="435"/>
      <c r="K54" s="435"/>
    </row>
    <row r="55" spans="2:11" ht="14.5" hidden="1" x14ac:dyDescent="0.35">
      <c r="H55" s="435"/>
      <c r="I55" s="435"/>
      <c r="J55" s="435"/>
      <c r="K55" s="435"/>
    </row>
    <row r="56" spans="2:11" ht="14.5" hidden="1" customHeight="1" x14ac:dyDescent="0.35">
      <c r="B56" s="690"/>
      <c r="C56" s="690"/>
      <c r="D56" s="690"/>
      <c r="E56" s="690"/>
      <c r="F56" s="690"/>
      <c r="G56" s="690"/>
      <c r="H56" s="435"/>
      <c r="I56" s="435"/>
      <c r="J56" s="435"/>
      <c r="K56" s="435"/>
    </row>
    <row r="57" spans="2:11" ht="14.5" hidden="1" customHeight="1" x14ac:dyDescent="0.35">
      <c r="H57" s="444"/>
      <c r="I57" s="444"/>
      <c r="J57" s="444"/>
      <c r="K57" s="444"/>
    </row>
    <row r="58" spans="2:11" ht="14.5" hidden="1" x14ac:dyDescent="0.35">
      <c r="H58" s="435"/>
      <c r="I58" s="435"/>
      <c r="J58" s="435"/>
      <c r="K58" s="435"/>
    </row>
  </sheetData>
  <sheetProtection algorithmName="SHA-512" hashValue="q3pH9HjGBE/MXOWjZUjSwKYkHW8ffovn6HDvdOKJm8gjrhYIMsQ+Y9MVE+nEJYEL/8pEJ5V1tiTpEIvGA0k9yQ==" saltValue="/gOVkf862+8hfc8eXffccQ==" spinCount="100000" sheet="1" objects="1" scenarios="1"/>
  <mergeCells count="19">
    <mergeCell ref="B2:E2"/>
    <mergeCell ref="B6:F6"/>
    <mergeCell ref="B4:F4"/>
    <mergeCell ref="B7:C7"/>
    <mergeCell ref="B56:G56"/>
    <mergeCell ref="B8:K8"/>
    <mergeCell ref="H14:K14"/>
    <mergeCell ref="H15:K27"/>
    <mergeCell ref="B12:F12"/>
    <mergeCell ref="B20:F20"/>
    <mergeCell ref="B24:F24"/>
    <mergeCell ref="H46:K47"/>
    <mergeCell ref="H52:K53"/>
    <mergeCell ref="B53:G53"/>
    <mergeCell ref="B46:G47"/>
    <mergeCell ref="H28:K36"/>
    <mergeCell ref="D22:D23"/>
    <mergeCell ref="E22:E23"/>
    <mergeCell ref="F22:F23"/>
  </mergeCells>
  <conditionalFormatting sqref="D14:E19">
    <cfRule type="containsBlanks" dxfId="51" priority="8">
      <formula>LEN(TRIM(D14))=0</formula>
    </cfRule>
  </conditionalFormatting>
  <conditionalFormatting sqref="D22:E22">
    <cfRule type="containsBlanks" dxfId="50" priority="2">
      <formula>LEN(TRIM(D22))=0</formula>
    </cfRule>
  </conditionalFormatting>
  <conditionalFormatting sqref="D26:E26">
    <cfRule type="containsBlanks" dxfId="49" priority="6">
      <formula>LEN(TRIM(D26))=0</formula>
    </cfRule>
  </conditionalFormatting>
  <conditionalFormatting sqref="F14:F19">
    <cfRule type="containsBlanks" dxfId="48" priority="5">
      <formula>LEN(TRIM(F14))=0</formula>
    </cfRule>
  </conditionalFormatting>
  <conditionalFormatting sqref="F22">
    <cfRule type="containsBlanks" dxfId="47" priority="1">
      <formula>LEN(TRIM(F22))=0</formula>
    </cfRule>
  </conditionalFormatting>
  <conditionalFormatting sqref="F26">
    <cfRule type="containsBlanks" dxfId="46" priority="3">
      <formula>LEN(TRIM(F26))=0</formula>
    </cfRule>
  </conditionalFormatting>
  <dataValidations count="1">
    <dataValidation type="list" allowBlank="1" showInputMessage="1" showErrorMessage="1" sqref="D14:D19 D26 D22:D23" xr:uid="{949D7BCE-0BBC-465F-BC23-931FC80B8595}">
      <formula1>"Yes,No"</formula1>
    </dataValidation>
  </dataValidations>
  <hyperlinks>
    <hyperlink ref="B7" r:id="rId1" display="https://www.gov.uk/guidance/when-to-notify-historic-environment-organisations-about-forestry-proposals" xr:uid="{21E50CE7-5D58-44AB-A407-84302E41463A}"/>
    <hyperlink ref="C23" r:id="rId2" display="https://www.gov.uk/guidance/when-to-notify-historic-environment-organisations-about-forestry-proposals" xr:uid="{9BF4B18C-92DD-4CFD-9792-309B8DE0EEF4}"/>
  </hyperlinks>
  <pageMargins left="0.70866141732283472" right="0.70866141732283472" top="0.74803149606299213" bottom="0.74803149606299213" header="0.31496062992125984" footer="0.31496062992125984"/>
  <pageSetup paperSize="9" scale="37" orientation="portrait" r:id="rId3"/>
  <drawing r:id="rId4"/>
  <extLst>
    <ext xmlns:x14="http://schemas.microsoft.com/office/spreadsheetml/2009/9/main" uri="{CCE6A557-97BC-4b89-ADB6-D9C93CAAB3DF}">
      <x14:dataValidations xmlns:xm="http://schemas.microsoft.com/office/excel/2006/main" count="1">
        <x14:dataValidation type="list" allowBlank="1" showInputMessage="1" showErrorMessage="1" xr:uid="{0D0746C6-5E20-450B-871E-8348257E71CF}">
          <x14:formula1>
            <xm:f>'Data (hidden)'!$J$3:$J$5</xm:f>
          </x14:formula1>
          <xm:sqref>F26 F14:F18 F19 F22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D72CD-AFBC-4427-A853-A3B6100F2743}">
  <sheetPr codeName="Sheet9">
    <tabColor rgb="FF006939"/>
    <pageSetUpPr fitToPage="1"/>
  </sheetPr>
  <dimension ref="A1:T64"/>
  <sheetViews>
    <sheetView showGridLines="0" zoomScaleNormal="100" workbookViewId="0">
      <selection activeCell="E25" sqref="E25:E27"/>
    </sheetView>
  </sheetViews>
  <sheetFormatPr defaultColWidth="0" defaultRowHeight="15" customHeight="1" zeroHeight="1" x14ac:dyDescent="0.35"/>
  <cols>
    <col min="1" max="1" width="3.453125" customWidth="1"/>
    <col min="2" max="2" width="52.54296875" customWidth="1"/>
    <col min="3" max="3" width="49.453125" customWidth="1"/>
    <col min="4" max="4" width="21.453125" customWidth="1"/>
    <col min="5" max="5" width="72.81640625" customWidth="1"/>
    <col min="6" max="6" width="22.7265625" customWidth="1"/>
    <col min="7" max="7" width="5.453125" customWidth="1"/>
    <col min="8" max="18" width="8.7265625" hidden="1" customWidth="1"/>
    <col min="19" max="20" width="0" hidden="1" customWidth="1"/>
    <col min="21" max="16384" width="8.7265625" hidden="1"/>
  </cols>
  <sheetData>
    <row r="1" spans="2:7" ht="15" customHeight="1" x14ac:dyDescent="0.35"/>
    <row r="2" spans="2:7" ht="32.15" customHeight="1" x14ac:dyDescent="0.45">
      <c r="B2" s="673" t="s">
        <v>184</v>
      </c>
      <c r="C2" s="673"/>
      <c r="D2" s="673"/>
      <c r="E2" s="673"/>
      <c r="F2" s="443"/>
      <c r="G2" s="443"/>
    </row>
    <row r="3" spans="2:7" ht="10.5" customHeight="1" x14ac:dyDescent="0.35"/>
    <row r="4" spans="2:7" ht="31.5" customHeight="1" x14ac:dyDescent="0.35">
      <c r="B4" s="725" t="s">
        <v>1532</v>
      </c>
      <c r="C4" s="726"/>
      <c r="D4" s="726"/>
      <c r="E4" s="726"/>
      <c r="F4" s="727"/>
    </row>
    <row r="5" spans="2:7" ht="18.75" customHeight="1" x14ac:dyDescent="0.35">
      <c r="B5" s="728" t="str">
        <f>HYPERLINK("https://magic.defra.gov.uk/MagicMap.html","Magic Map Application")</f>
        <v>Magic Map Application</v>
      </c>
      <c r="C5" s="729"/>
      <c r="D5" s="729"/>
      <c r="E5" s="729"/>
      <c r="F5" s="730"/>
    </row>
    <row r="6" spans="2:7" ht="98.25" customHeight="1" x14ac:dyDescent="0.35">
      <c r="B6" s="646" t="s">
        <v>1531</v>
      </c>
      <c r="C6" s="720"/>
      <c r="D6" s="720"/>
      <c r="E6" s="720"/>
      <c r="F6" s="721"/>
      <c r="G6" s="435"/>
    </row>
    <row r="7" spans="2:7" ht="14.5" x14ac:dyDescent="0.35">
      <c r="B7" s="693"/>
      <c r="C7" s="693"/>
      <c r="D7" s="693"/>
      <c r="E7" s="693"/>
      <c r="F7" s="693"/>
      <c r="G7" s="693"/>
    </row>
    <row r="8" spans="2:7" ht="21" customHeight="1" x14ac:dyDescent="0.35">
      <c r="B8" s="3" t="s">
        <v>78</v>
      </c>
      <c r="C8" s="159" t="str">
        <f>IF(ISBLANK('Site Details'!C6),"",'Site Details'!C6)</f>
        <v/>
      </c>
    </row>
    <row r="9" spans="2:7" ht="30.75" customHeight="1" x14ac:dyDescent="0.35">
      <c r="B9" s="347" t="s">
        <v>64</v>
      </c>
      <c r="C9" s="159" t="str">
        <f>IF(ISBLANK('Site Details'!C7),"",'Site Details'!C7)</f>
        <v/>
      </c>
    </row>
    <row r="10" spans="2:7" ht="14.5" x14ac:dyDescent="0.35">
      <c r="B10" s="444"/>
      <c r="C10" s="444"/>
      <c r="D10" s="444"/>
      <c r="E10" s="444"/>
      <c r="F10" s="444"/>
      <c r="G10" s="444"/>
    </row>
    <row r="11" spans="2:7" x14ac:dyDescent="0.35">
      <c r="B11" s="19" t="s">
        <v>185</v>
      </c>
      <c r="C11" s="19"/>
      <c r="D11" s="19"/>
      <c r="E11" s="19"/>
      <c r="F11" s="19"/>
      <c r="G11" s="435"/>
    </row>
    <row r="12" spans="2:7" ht="27" x14ac:dyDescent="0.35">
      <c r="B12" s="412" t="s">
        <v>109</v>
      </c>
      <c r="C12" s="412" t="s">
        <v>110</v>
      </c>
      <c r="D12" s="412" t="s">
        <v>111</v>
      </c>
      <c r="E12" s="412" t="s">
        <v>112</v>
      </c>
      <c r="F12" s="433" t="s">
        <v>113</v>
      </c>
    </row>
    <row r="13" spans="2:7" ht="29.5" customHeight="1" x14ac:dyDescent="0.35">
      <c r="B13" s="716" t="s">
        <v>1392</v>
      </c>
      <c r="C13" s="718" t="s">
        <v>1469</v>
      </c>
      <c r="D13" s="484"/>
      <c r="E13" s="485"/>
      <c r="F13" s="649"/>
    </row>
    <row r="14" spans="2:7" ht="43.5" customHeight="1" x14ac:dyDescent="0.35">
      <c r="B14" s="716"/>
      <c r="C14" s="718"/>
      <c r="D14" s="486" t="s">
        <v>186</v>
      </c>
      <c r="E14" s="487"/>
      <c r="F14" s="653"/>
    </row>
    <row r="15" spans="2:7" ht="90" customHeight="1" x14ac:dyDescent="0.35">
      <c r="B15" s="717"/>
      <c r="C15" s="719"/>
      <c r="D15" s="486" t="s">
        <v>187</v>
      </c>
      <c r="E15" s="487"/>
      <c r="F15" s="653"/>
    </row>
    <row r="16" spans="2:7" ht="44.5" customHeight="1" x14ac:dyDescent="0.35">
      <c r="B16" s="490"/>
      <c r="C16" s="339" t="str">
        <f>HYPERLINK("https://assets.publishing.service.gov.uk/media/60bfdbbde90e0743ae8c2884/ON053_-_Appendix_2_-_Classifying_Agricultural_Soils_for_use_in_Woodland_Creation_Grants_v1.0_issued_09062021.pdf","'Operations Note 53: 'Appendix 2 - Classifying Agricultural Soils for use in Woodland Creation Grant'")</f>
        <v>'Operations Note 53: 'Appendix 2 - Classifying Agricultural Soils for use in Woodland Creation Grant'</v>
      </c>
      <c r="D16" s="486" t="s">
        <v>1471</v>
      </c>
      <c r="E16" s="421"/>
      <c r="F16" s="653"/>
    </row>
    <row r="17" spans="2:7" ht="75" customHeight="1" x14ac:dyDescent="0.35">
      <c r="B17" s="490"/>
      <c r="C17" s="309" t="s">
        <v>1472</v>
      </c>
      <c r="D17" s="486" t="s">
        <v>1470</v>
      </c>
      <c r="E17" s="491"/>
      <c r="F17" s="650"/>
    </row>
    <row r="18" spans="2:7" ht="26.15" customHeight="1" x14ac:dyDescent="0.35">
      <c r="B18" s="704" t="s">
        <v>1479</v>
      </c>
      <c r="C18" s="489" t="s">
        <v>1394</v>
      </c>
      <c r="D18" s="707"/>
      <c r="E18" s="649"/>
      <c r="F18" s="649"/>
    </row>
    <row r="19" spans="2:7" ht="42.75" customHeight="1" x14ac:dyDescent="0.35">
      <c r="B19" s="706"/>
      <c r="C19" s="340" t="str">
        <f>HYPERLINK("https://www.gov.uk/government/publications/guidance-on-cultivation-and-ukfs-compliance-for-application-in-england-operations-note-53/guidance-on-cultivation-and-ukfs-compliance-for-application-in-england-operations-note-53","Operations Note 53: 'Guidance on cultivation and UKFS compliance for application in England'")</f>
        <v>Operations Note 53: 'Guidance on cultivation and UKFS compliance for application in England'</v>
      </c>
      <c r="D19" s="709"/>
      <c r="E19" s="650"/>
      <c r="F19" s="650"/>
    </row>
    <row r="20" spans="2:7" ht="14.15" customHeight="1" x14ac:dyDescent="0.35">
      <c r="B20" s="704" t="s">
        <v>188</v>
      </c>
      <c r="C20" s="310" t="s">
        <v>1394</v>
      </c>
      <c r="D20" s="649"/>
      <c r="E20" s="731"/>
      <c r="F20" s="649"/>
      <c r="G20" s="494"/>
    </row>
    <row r="21" spans="2:7" ht="15" customHeight="1" x14ac:dyDescent="0.35">
      <c r="B21" s="705"/>
      <c r="C21" s="341" t="str">
        <f>HYPERLINK("https://www.forestergis.com/Apps/MapBrowser/","FC Map Browser")</f>
        <v>FC Map Browser</v>
      </c>
      <c r="D21" s="653"/>
      <c r="E21" s="732"/>
      <c r="F21" s="653"/>
      <c r="G21" s="494"/>
    </row>
    <row r="22" spans="2:7" ht="17.149999999999999" customHeight="1" x14ac:dyDescent="0.35">
      <c r="B22" s="724"/>
      <c r="C22" s="311" t="s">
        <v>1525</v>
      </c>
      <c r="D22" s="650"/>
      <c r="E22" s="733"/>
      <c r="F22" s="650"/>
      <c r="G22" s="494"/>
    </row>
    <row r="23" spans="2:7" ht="57" customHeight="1" x14ac:dyDescent="0.35">
      <c r="B23" s="483" t="s">
        <v>1535</v>
      </c>
      <c r="C23" s="348" t="s">
        <v>1536</v>
      </c>
      <c r="D23" s="421"/>
      <c r="E23" s="493"/>
      <c r="F23" s="421"/>
      <c r="G23" s="494"/>
    </row>
    <row r="24" spans="2:7" ht="78" customHeight="1" x14ac:dyDescent="0.35">
      <c r="B24" s="492" t="s">
        <v>1509</v>
      </c>
      <c r="C24" s="483" t="s">
        <v>1391</v>
      </c>
      <c r="D24" s="484"/>
      <c r="E24" s="426"/>
      <c r="F24" s="425"/>
      <c r="G24" s="494"/>
    </row>
    <row r="25" spans="2:7" ht="15.65" customHeight="1" x14ac:dyDescent="0.35">
      <c r="B25" s="488" t="s">
        <v>1483</v>
      </c>
      <c r="C25" s="310" t="s">
        <v>1481</v>
      </c>
      <c r="D25" s="649"/>
      <c r="E25" s="651"/>
      <c r="F25" s="649"/>
      <c r="G25" s="494"/>
    </row>
    <row r="26" spans="2:7" ht="30.65" customHeight="1" x14ac:dyDescent="0.35">
      <c r="B26" s="490" t="s">
        <v>1537</v>
      </c>
      <c r="C26" s="341" t="str">
        <f>HYPERLINK("https://www.forestresearch.gov.uk/tools-and-resources/fthr/ecological-site-classification/","Ecological Site Classification (ESC) report")</f>
        <v>Ecological Site Classification (ESC) report</v>
      </c>
      <c r="D26" s="653"/>
      <c r="E26" s="710"/>
      <c r="F26" s="653"/>
      <c r="G26" s="494"/>
    </row>
    <row r="27" spans="2:7" ht="115.5" customHeight="1" x14ac:dyDescent="0.35">
      <c r="B27" s="495" t="s">
        <v>1484</v>
      </c>
      <c r="C27" s="311" t="s">
        <v>1480</v>
      </c>
      <c r="D27" s="650"/>
      <c r="E27" s="652"/>
      <c r="F27" s="650"/>
      <c r="G27" s="494"/>
    </row>
    <row r="28" spans="2:7" x14ac:dyDescent="0.35">
      <c r="B28" s="645" t="s">
        <v>189</v>
      </c>
      <c r="C28" s="722"/>
      <c r="D28" s="645"/>
      <c r="E28" s="645"/>
      <c r="F28" s="645"/>
      <c r="G28" s="435"/>
    </row>
    <row r="29" spans="2:7" ht="144.65" customHeight="1" x14ac:dyDescent="0.35">
      <c r="B29" s="704" t="s">
        <v>190</v>
      </c>
      <c r="C29" s="312" t="s">
        <v>191</v>
      </c>
      <c r="D29" s="707"/>
      <c r="E29" s="651"/>
      <c r="F29" s="649"/>
      <c r="G29" s="435"/>
    </row>
    <row r="30" spans="2:7" ht="31" customHeight="1" x14ac:dyDescent="0.35">
      <c r="B30" s="711"/>
      <c r="C30" s="342" t="str">
        <f>HYPERLINK("https://www.gov.uk/government/publications/woodland-creation-and-mitigating-the-impacts-of-deer/woodland-creation-and-mitigating-the-impacts-of-deer","Woodland creation and mitigating the impacts of deer")</f>
        <v>Woodland creation and mitigating the impacts of deer</v>
      </c>
      <c r="D30" s="650"/>
      <c r="E30" s="652"/>
      <c r="F30" s="650"/>
      <c r="G30" s="435"/>
    </row>
    <row r="31" spans="2:7" x14ac:dyDescent="0.35">
      <c r="B31" s="645" t="s">
        <v>192</v>
      </c>
      <c r="C31" s="722"/>
      <c r="D31" s="645"/>
      <c r="E31" s="645"/>
      <c r="F31" s="645"/>
    </row>
    <row r="32" spans="2:7" ht="14.5" customHeight="1" x14ac:dyDescent="0.35">
      <c r="B32" s="704" t="s">
        <v>1489</v>
      </c>
      <c r="C32" s="438" t="s">
        <v>1490</v>
      </c>
      <c r="D32" s="707"/>
      <c r="E32" s="651"/>
      <c r="F32" s="649"/>
      <c r="G32" s="435"/>
    </row>
    <row r="33" spans="2:7" ht="16" customHeight="1" x14ac:dyDescent="0.35">
      <c r="B33" s="705"/>
      <c r="C33" s="341" t="str">
        <f>HYPERLINK("https://www.forestergis.com/Apps/MapBrowser/","FC Map Browser")</f>
        <v>FC Map Browser</v>
      </c>
      <c r="D33" s="708"/>
      <c r="E33" s="710"/>
      <c r="F33" s="653"/>
      <c r="G33" s="435"/>
    </row>
    <row r="34" spans="2:7" ht="56.5" customHeight="1" x14ac:dyDescent="0.35">
      <c r="B34" s="706"/>
      <c r="C34" s="311" t="s">
        <v>1482</v>
      </c>
      <c r="D34" s="709"/>
      <c r="E34" s="652"/>
      <c r="F34" s="650"/>
      <c r="G34" s="435"/>
    </row>
    <row r="35" spans="2:7" x14ac:dyDescent="0.35">
      <c r="B35" s="645" t="s">
        <v>1395</v>
      </c>
      <c r="C35" s="723"/>
      <c r="D35" s="645"/>
      <c r="E35" s="645"/>
      <c r="F35" s="645"/>
    </row>
    <row r="36" spans="2:7" ht="67.5" customHeight="1" x14ac:dyDescent="0.35">
      <c r="B36" s="704" t="s">
        <v>193</v>
      </c>
      <c r="C36" s="310" t="s">
        <v>1485</v>
      </c>
      <c r="D36" s="707"/>
      <c r="E36" s="651"/>
      <c r="F36" s="649"/>
      <c r="G36" s="496"/>
    </row>
    <row r="37" spans="2:7" ht="23.5" customHeight="1" x14ac:dyDescent="0.35">
      <c r="B37" s="706"/>
      <c r="C37" s="343" t="str">
        <f>HYPERLINK("https://www.gov.uk/government/publications/assessment-of-potential-wildfire-risk-resulting-from-planned-deforestation-to-open-habitat-operations-note-40","Operations Note 40")</f>
        <v>Operations Note 40</v>
      </c>
      <c r="D37" s="709"/>
      <c r="E37" s="652"/>
      <c r="F37" s="650"/>
      <c r="G37" s="496"/>
    </row>
    <row r="38" spans="2:7" x14ac:dyDescent="0.35">
      <c r="B38" s="645" t="s">
        <v>194</v>
      </c>
      <c r="C38" s="723"/>
      <c r="D38" s="645"/>
      <c r="E38" s="645"/>
      <c r="F38" s="645"/>
      <c r="G38" s="496"/>
    </row>
    <row r="39" spans="2:7" ht="15.65" customHeight="1" x14ac:dyDescent="0.35">
      <c r="B39" s="717" t="s">
        <v>195</v>
      </c>
      <c r="C39" s="313" t="s">
        <v>196</v>
      </c>
      <c r="D39" s="649"/>
      <c r="E39" s="651"/>
      <c r="F39" s="649"/>
      <c r="G39" s="496"/>
    </row>
    <row r="40" spans="2:7" ht="32.15" customHeight="1" x14ac:dyDescent="0.35">
      <c r="B40" s="705"/>
      <c r="C40" s="341" t="str">
        <f>HYPERLINK("https://www.gov.uk/guidance/manage-threats-to-woodland-destructive-animals-invasive-species","Manage threats to woodland: destructive animals, invasive species")</f>
        <v>Manage threats to woodland: destructive animals, invasive species</v>
      </c>
      <c r="D40" s="653"/>
      <c r="E40" s="710"/>
      <c r="F40" s="653"/>
      <c r="G40" s="496"/>
    </row>
    <row r="41" spans="2:7" ht="75" customHeight="1" x14ac:dyDescent="0.35">
      <c r="B41" s="711"/>
      <c r="C41" s="346" t="s">
        <v>1523</v>
      </c>
      <c r="D41" s="650"/>
      <c r="E41" s="652"/>
      <c r="F41" s="650"/>
      <c r="G41" s="496"/>
    </row>
    <row r="42" spans="2:7" ht="14.5" customHeight="1" x14ac:dyDescent="0.35">
      <c r="B42" s="717" t="s">
        <v>1094</v>
      </c>
      <c r="C42" s="317" t="s">
        <v>1473</v>
      </c>
      <c r="D42" s="649"/>
      <c r="E42" s="651"/>
      <c r="F42" s="707"/>
      <c r="G42" s="496"/>
    </row>
    <row r="43" spans="2:7" ht="21" customHeight="1" x14ac:dyDescent="0.35">
      <c r="B43" s="705"/>
      <c r="C43" s="497" t="str">
        <f>HYPERLINK("https://www.forestresearch.gov.uk/climate-change/adaptation-measures/establishment-and-management/","Climate change adaptation measures")</f>
        <v>Climate change adaptation measures</v>
      </c>
      <c r="D43" s="653"/>
      <c r="E43" s="710"/>
      <c r="F43" s="708"/>
      <c r="G43" s="496"/>
    </row>
    <row r="44" spans="2:7" ht="43.5" customHeight="1" x14ac:dyDescent="0.35">
      <c r="B44" s="706"/>
      <c r="C44" s="311" t="s">
        <v>1517</v>
      </c>
      <c r="D44" s="709"/>
      <c r="E44" s="652"/>
      <c r="F44" s="709"/>
      <c r="G44" s="496"/>
    </row>
    <row r="45" spans="2:7" ht="14.5" customHeight="1" x14ac:dyDescent="0.35">
      <c r="B45" s="496"/>
      <c r="C45" s="496"/>
      <c r="D45" s="496"/>
      <c r="E45" s="496"/>
      <c r="F45" s="496"/>
      <c r="G45" s="496"/>
    </row>
    <row r="46" spans="2:7" ht="14.5" customHeight="1" x14ac:dyDescent="0.35">
      <c r="B46" s="645" t="s">
        <v>1524</v>
      </c>
      <c r="C46" s="645"/>
      <c r="D46" s="645"/>
      <c r="E46" s="645"/>
      <c r="F46" s="645"/>
      <c r="G46" s="496"/>
    </row>
    <row r="47" spans="2:7" ht="40.5" customHeight="1" x14ac:dyDescent="0.35">
      <c r="B47" s="412" t="s">
        <v>1092</v>
      </c>
      <c r="C47" s="712" t="s">
        <v>197</v>
      </c>
      <c r="D47" s="713"/>
      <c r="E47" s="413" t="s">
        <v>198</v>
      </c>
      <c r="F47" s="433" t="s">
        <v>113</v>
      </c>
      <c r="G47" s="498"/>
    </row>
    <row r="48" spans="2:7" ht="14.5" customHeight="1" x14ac:dyDescent="0.35">
      <c r="B48" s="449"/>
      <c r="C48" s="714"/>
      <c r="D48" s="715"/>
      <c r="E48" s="426"/>
      <c r="F48" s="449"/>
      <c r="G48" s="498"/>
    </row>
    <row r="49" spans="2:7" ht="14.5" customHeight="1" x14ac:dyDescent="0.35">
      <c r="B49" s="449"/>
      <c r="C49" s="714"/>
      <c r="D49" s="715"/>
      <c r="E49" s="426"/>
      <c r="F49" s="449"/>
      <c r="G49" s="496"/>
    </row>
    <row r="50" spans="2:7" ht="14.5" customHeight="1" x14ac:dyDescent="0.35">
      <c r="B50" s="449"/>
      <c r="C50" s="714"/>
      <c r="D50" s="715"/>
      <c r="E50" s="426"/>
      <c r="F50" s="449"/>
      <c r="G50" s="496"/>
    </row>
    <row r="51" spans="2:7" ht="14.5" customHeight="1" x14ac:dyDescent="0.35">
      <c r="B51" s="449"/>
      <c r="C51" s="714"/>
      <c r="D51" s="715"/>
      <c r="E51" s="426"/>
      <c r="F51" s="449"/>
      <c r="G51" s="496"/>
    </row>
    <row r="52" spans="2:7" ht="14.5" x14ac:dyDescent="0.35">
      <c r="B52" s="449"/>
      <c r="C52" s="714"/>
      <c r="D52" s="715"/>
      <c r="F52" s="449"/>
      <c r="G52" s="498"/>
    </row>
    <row r="53" spans="2:7" ht="14.5" x14ac:dyDescent="0.35">
      <c r="B53" s="449"/>
      <c r="C53" s="714"/>
      <c r="D53" s="715"/>
      <c r="E53" s="426"/>
      <c r="F53" s="449"/>
    </row>
    <row r="54" spans="2:7" ht="14.5" x14ac:dyDescent="0.35">
      <c r="B54" s="449"/>
      <c r="C54" s="714"/>
      <c r="D54" s="715"/>
      <c r="E54" s="426"/>
      <c r="F54" s="449"/>
    </row>
    <row r="55" spans="2:7" ht="14.5" customHeight="1" x14ac:dyDescent="0.35">
      <c r="B55" s="498"/>
      <c r="C55" s="498"/>
      <c r="D55" s="498"/>
      <c r="E55" s="498"/>
      <c r="F55" s="498"/>
      <c r="G55" s="498"/>
    </row>
    <row r="56" spans="2:7" ht="14.5" hidden="1" x14ac:dyDescent="0.35">
      <c r="B56" s="498"/>
      <c r="C56" s="498"/>
      <c r="D56" s="498"/>
      <c r="E56" s="498"/>
      <c r="F56" s="498"/>
      <c r="G56" s="498"/>
    </row>
    <row r="57" spans="2:7" ht="14.5" hidden="1" customHeight="1" x14ac:dyDescent="0.35">
      <c r="B57" s="499"/>
      <c r="C57" s="496"/>
      <c r="D57" s="496"/>
      <c r="E57" s="496"/>
      <c r="F57" s="496"/>
      <c r="G57" s="496"/>
    </row>
    <row r="58" spans="2:7" ht="14.5" hidden="1" x14ac:dyDescent="0.35">
      <c r="B58" s="496"/>
      <c r="C58" s="496"/>
      <c r="D58" s="496"/>
      <c r="E58" s="496"/>
      <c r="F58" s="496"/>
      <c r="G58" s="496"/>
    </row>
    <row r="59" spans="2:7" ht="14.5" hidden="1" x14ac:dyDescent="0.35">
      <c r="B59" s="496"/>
      <c r="C59" s="496"/>
      <c r="D59" s="496"/>
      <c r="E59" s="496"/>
      <c r="F59" s="496"/>
      <c r="G59" s="496"/>
    </row>
    <row r="60" spans="2:7" ht="14.5" hidden="1" x14ac:dyDescent="0.35"/>
    <row r="61" spans="2:7" ht="14.5" hidden="1" x14ac:dyDescent="0.35"/>
    <row r="62" spans="2:7" ht="14.5" hidden="1" x14ac:dyDescent="0.35"/>
    <row r="63" spans="2:7" ht="14.5" hidden="1" x14ac:dyDescent="0.35"/>
    <row r="64" spans="2:7" ht="14.5" hidden="1" x14ac:dyDescent="0.35"/>
  </sheetData>
  <sheetProtection algorithmName="SHA-512" hashValue="QXBUnFVOqL9I9pGQ642Zn6VRusnuGhwhL8esoM3pWgetsoCdepY0m7qfF9C/IZwcWJ9YslxhexTLS6KCN2V1HQ==" saltValue="sBtC2MNsyBukokibM+yaEQ==" spinCount="100000" sheet="1" objects="1" scenarios="1"/>
  <mergeCells count="52">
    <mergeCell ref="B4:F4"/>
    <mergeCell ref="B5:F5"/>
    <mergeCell ref="B42:B44"/>
    <mergeCell ref="D42:D44"/>
    <mergeCell ref="E42:E44"/>
    <mergeCell ref="F42:F44"/>
    <mergeCell ref="D39:D41"/>
    <mergeCell ref="E39:E41"/>
    <mergeCell ref="F39:F41"/>
    <mergeCell ref="B39:B41"/>
    <mergeCell ref="E20:E22"/>
    <mergeCell ref="F20:F22"/>
    <mergeCell ref="B18:B19"/>
    <mergeCell ref="D18:D19"/>
    <mergeCell ref="E18:E19"/>
    <mergeCell ref="F18:F19"/>
    <mergeCell ref="C50:D50"/>
    <mergeCell ref="C51:D51"/>
    <mergeCell ref="C52:D52"/>
    <mergeCell ref="C53:D53"/>
    <mergeCell ref="C54:D54"/>
    <mergeCell ref="B2:E2"/>
    <mergeCell ref="C47:D47"/>
    <mergeCell ref="C48:D48"/>
    <mergeCell ref="C49:D49"/>
    <mergeCell ref="B13:B15"/>
    <mergeCell ref="C13:C15"/>
    <mergeCell ref="B7:G7"/>
    <mergeCell ref="B6:F6"/>
    <mergeCell ref="B28:F28"/>
    <mergeCell ref="B31:F31"/>
    <mergeCell ref="B35:F35"/>
    <mergeCell ref="B38:F38"/>
    <mergeCell ref="B46:F46"/>
    <mergeCell ref="F13:F17"/>
    <mergeCell ref="B20:B22"/>
    <mergeCell ref="D20:D22"/>
    <mergeCell ref="D25:D27"/>
    <mergeCell ref="E25:E27"/>
    <mergeCell ref="F25:F27"/>
    <mergeCell ref="B29:B30"/>
    <mergeCell ref="D29:D30"/>
    <mergeCell ref="E29:E30"/>
    <mergeCell ref="F29:F30"/>
    <mergeCell ref="B32:B34"/>
    <mergeCell ref="D32:D34"/>
    <mergeCell ref="E32:E34"/>
    <mergeCell ref="F32:F34"/>
    <mergeCell ref="B36:B37"/>
    <mergeCell ref="D36:D37"/>
    <mergeCell ref="E36:E37"/>
    <mergeCell ref="F36:F37"/>
  </mergeCells>
  <conditionalFormatting sqref="D13:E13">
    <cfRule type="containsBlanks" dxfId="45" priority="37">
      <formula>LEN(TRIM(D13))=0</formula>
    </cfRule>
  </conditionalFormatting>
  <conditionalFormatting sqref="D23:E25">
    <cfRule type="containsBlanks" dxfId="44" priority="2">
      <formula>LEN(TRIM(D23))=0</formula>
    </cfRule>
  </conditionalFormatting>
  <conditionalFormatting sqref="D29:E29">
    <cfRule type="containsBlanks" dxfId="43" priority="14">
      <formula>LEN(TRIM(D29))=0</formula>
    </cfRule>
  </conditionalFormatting>
  <conditionalFormatting sqref="D32:E32">
    <cfRule type="containsBlanks" dxfId="42" priority="13">
      <formula>LEN(TRIM(D32))=0</formula>
    </cfRule>
  </conditionalFormatting>
  <conditionalFormatting sqref="D36:E36 D39:E39 D42:E42">
    <cfRule type="containsBlanks" dxfId="41" priority="12">
      <formula>LEN(TRIM(D36))=0</formula>
    </cfRule>
  </conditionalFormatting>
  <conditionalFormatting sqref="E14:E18 D18 D20:E20 B48:C54">
    <cfRule type="containsBlanks" dxfId="40" priority="16">
      <formula>LEN(TRIM(B14))=0</formula>
    </cfRule>
  </conditionalFormatting>
  <conditionalFormatting sqref="E48:E54">
    <cfRule type="containsBlanks" dxfId="39" priority="10">
      <formula>LEN(TRIM(E48))=0</formula>
    </cfRule>
  </conditionalFormatting>
  <conditionalFormatting sqref="F13 F18 F20 F23:F25">
    <cfRule type="containsBlanks" dxfId="38" priority="9">
      <formula>LEN(TRIM(F13))=0</formula>
    </cfRule>
  </conditionalFormatting>
  <conditionalFormatting sqref="F29">
    <cfRule type="containsBlanks" dxfId="37" priority="8">
      <formula>LEN(TRIM(F29))=0</formula>
    </cfRule>
  </conditionalFormatting>
  <conditionalFormatting sqref="F32 F36 F39 F42">
    <cfRule type="containsBlanks" dxfId="36" priority="7">
      <formula>LEN(TRIM(F32))=0</formula>
    </cfRule>
  </conditionalFormatting>
  <conditionalFormatting sqref="F48:F54">
    <cfRule type="containsBlanks" dxfId="35" priority="6">
      <formula>LEN(TRIM(F48))=0</formula>
    </cfRule>
  </conditionalFormatting>
  <dataValidations count="2">
    <dataValidation type="list" allowBlank="1" showInputMessage="1" showErrorMessage="1" sqref="D13 D24:D25 D29 D36 D20 D18 D39 D42" xr:uid="{37955233-D42F-4B55-9DB3-9B8105DFC7AB}">
      <formula1>"Yes,No"</formula1>
    </dataValidation>
    <dataValidation type="list" allowBlank="1" showInputMessage="1" showErrorMessage="1" sqref="D32" xr:uid="{8D284D5A-80EB-4561-8141-97772A5917A7}">
      <formula1>"Yes, No"</formula1>
    </dataValidation>
  </dataValidations>
  <hyperlinks>
    <hyperlink ref="C16" r:id="rId1" display="Operations Note 53: 'Appendix 2 - Classifying Agricultural Soils for use in Woodland Creation Grant'" xr:uid="{63A120A1-2FEC-4572-8D6D-C1702559622D}"/>
    <hyperlink ref="C43" r:id="rId2" display="Climate change adapation measures" xr:uid="{2F46043D-3699-45D4-A1C0-751E733EE8DC}"/>
    <hyperlink ref="C30" r:id="rId3" display="Woodland creation and mitigating the impacts of deer" xr:uid="{1669F4F9-F50B-4F55-BE3B-DF3B373CFF07}"/>
    <hyperlink ref="C19" r:id="rId4" display="Operations Note 53: 'Guidance on cultivation and UKFS compliance for application in England'" xr:uid="{F4F6496A-28D5-4986-8E12-AE851F9F5676}"/>
    <hyperlink ref="C26" r:id="rId5" display="Ecological Site Classification (ESC) report" xr:uid="{65D6FC82-191E-4E53-988E-AB51C501EF43}"/>
    <hyperlink ref="C33" r:id="rId6" display="FC Map Browser" xr:uid="{F4DAA416-C895-4D1C-9135-BCA42A6B2E6D}"/>
    <hyperlink ref="C37" r:id="rId7" display="Operations Note 40" xr:uid="{8C6F2547-5573-4ACA-95DE-ACB6DB73157A}"/>
    <hyperlink ref="C40" r:id="rId8" display="Manage threats to woodland: destructive animals, invasive species" xr:uid="{59FAA227-6E08-407A-8EF0-8776FFE9962B}"/>
    <hyperlink ref="C21" r:id="rId9" display="FC Map Browser" xr:uid="{7162B1E9-BE0A-4218-BE99-39D5EA296D9B}"/>
  </hyperlinks>
  <pageMargins left="0.70866141732283472" right="0.70866141732283472" top="0.74803149606299213" bottom="0.74803149606299213" header="0.31496062992125984" footer="0.31496062992125984"/>
  <pageSetup paperSize="9" scale="38" orientation="portrait" r:id="rId10"/>
  <drawing r:id="rId11"/>
  <extLst>
    <ext xmlns:x14="http://schemas.microsoft.com/office/spreadsheetml/2009/9/main" uri="{CCE6A557-97BC-4b89-ADB6-D9C93CAAB3DF}">
      <x14:dataValidations xmlns:xm="http://schemas.microsoft.com/office/excel/2006/main" count="3">
        <x14:dataValidation type="list" allowBlank="1" showInputMessage="1" showErrorMessage="1" xr:uid="{746BCC94-FA54-4B0B-A40E-BBE3E1DF18B7}">
          <x14:formula1>
            <xm:f>'Data (hidden)'!$K$3:$K$32</xm:f>
          </x14:formula1>
          <xm:sqref>E14:E15</xm:sqref>
        </x14:dataValidation>
        <x14:dataValidation type="list" allowBlank="1" showInputMessage="1" showErrorMessage="1" xr:uid="{FF2CB7E1-78E4-4CEA-924D-4232CB6EA080}">
          <x14:formula1>
            <xm:f>'Data (hidden)'!$J$3:$J$5</xm:f>
          </x14:formula1>
          <xm:sqref>F42 F24:F25 F29 F36 F32 F13 F20 F18 F39 F48:F54 F23</xm:sqref>
        </x14:dataValidation>
        <x14:dataValidation type="list" allowBlank="1" showInputMessage="1" showErrorMessage="1" xr:uid="{E05C78CB-BFE8-4EE1-AA62-C304CBE31E9A}">
          <x14:formula1>
            <xm:f>'Data (hidden)'!$L$3:$L$8</xm:f>
          </x14:formula1>
          <xm:sqref>D23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5BD369E5F489342BD1DAF2FB9F2398A" ma:contentTypeVersion="12" ma:contentTypeDescription="Create a new document." ma:contentTypeScope="" ma:versionID="36f666f11bd5bb8f19cda4d88e85c574">
  <xsd:schema xmlns:xsd="http://www.w3.org/2001/XMLSchema" xmlns:xs="http://www.w3.org/2001/XMLSchema" xmlns:p="http://schemas.microsoft.com/office/2006/metadata/properties" xmlns:ns2="a6e94cc5-be27-4591-ab1b-3d072d6b726f" xmlns:ns3="8c0eb733-1c82-4680-97fe-a45799771161" targetNamespace="http://schemas.microsoft.com/office/2006/metadata/properties" ma:root="true" ma:fieldsID="20117214f69fa8141b1ed2a5e55d4f83" ns2:_="" ns3:_="">
    <xsd:import namespace="a6e94cc5-be27-4591-ab1b-3d072d6b726f"/>
    <xsd:import namespace="8c0eb733-1c82-4680-97fe-a4579977116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e94cc5-be27-4591-ab1b-3d072d6b72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c44b88a2-1063-41c3-ba40-5f24348f805a"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c0eb733-1c82-4680-97fe-a45799771161"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e10be9e-db41-43e6-a9ac-02d34de9af0e}" ma:internalName="TaxCatchAll" ma:showField="CatchAllData" ma:web="8c0eb733-1c82-4680-97fe-a4579977116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Q D A A B Q S w M E F A A C A A g A Z X 5 o V y 6 a / 9 y k A A A A 9 g A A A B I A H A B D b 2 5 m a W c v U G F j a 2 F n Z S 5 4 b W w g o h g A K K A U A A A A A A A A A A A A A A A A A A A A A A A A A A A A h Y + x D o I w F E V / h X S n L X U x 5 F E T H V w k M T E x r k 2 p 0 A g P Q 4 v l 3 x z 8 J H 9 B j K J u j v f c M 9 x 7 v 9 5 g M T R 1 d D G d s y 1 m J K G c R A Z 1 W 1 g s M 9 L 7 Y z w n C w l b p U + q N N E o o 0 s H V 2 S k 8 v 6 c M h Z C o G F G 2 6 5 k g v O E H f L N T l e m U e Q j 2 / 9 y b N F 5 h d o Q C f v X G C l o I j g V Q l A O b I K Q W / w K Y t z 7 b H 8 g r P r a 9 5 2 R B u P 1 E t g U g b 0 / y A d Q S w M E F A A C A A g A Z X 5 o V 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G V + a F c o i k e 4 D g A A A B E A A A A T A B w A R m 9 y b X V s Y X M v U 2 V j d G l v b j E u b S C i G A A o o B Q A A A A A A A A A A A A A A A A A A A A A A A A A A A A r T k 0 u y c z P U w i G 0 I b W A F B L A Q I t A B Q A A g A I A G V + a F c u m v / c p A A A A P Y A A A A S A A A A A A A A A A A A A A A A A A A A A A B D b 2 5 m a W c v U G F j a 2 F n Z S 5 4 b W x Q S w E C L Q A U A A I A C A B l f m h X D 8 r p q 6 Q A A A D p A A A A E w A A A A A A A A A A A A A A A A D w A A A A W 0 N v b n R l b n R f V H l w Z X N d L n h t b F B L A Q I t A B Q A A g A I A G V + a F c 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C L Z 3 H q j J d Q r C b i Y u j f q 0 N A A A A A A I A A A A A A A N m A A D A A A A A E A A A A C m w V m N l 2 c 0 l 0 N H / M V L z j V 4 A A A A A B I A A A K A A A A A Q A A A A K S r Q z b O I 4 i i K M o Z b C n 6 K 6 1 A A A A A f t 0 q K / D P F 7 3 g 7 c l l k W 0 f t 0 t n V e A Z U o N g L y a o 7 b F z L k 7 9 u h / m Z e b l + E s A 8 9 v b U 0 U 2 B / u b t k k Y y t v 4 W u U 7 l H q 1 x 4 Z X Y w a Z L 8 W 0 6 G N E Y Y b z H I x Q A A A D C U 6 x l x 6 p O 2 9 P 5 Y K K f J R g j 2 w Z v W A = = < / D a t a M a s h u p > 
</file>

<file path=customXml/item4.xml><?xml version="1.0" encoding="utf-8"?>
<p:properties xmlns:p="http://schemas.microsoft.com/office/2006/metadata/properties" xmlns:xsi="http://www.w3.org/2001/XMLSchema-instance" xmlns:pc="http://schemas.microsoft.com/office/infopath/2007/PartnerControls">
  <documentManagement>
    <TaxCatchAll xmlns="8c0eb733-1c82-4680-97fe-a45799771161" xsi:nil="true"/>
    <lcf76f155ced4ddcb4097134ff3c332f xmlns="a6e94cc5-be27-4591-ab1b-3d072d6b726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0A0DE3E-23F1-4F0F-8567-3E3B9625B8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e94cc5-be27-4591-ab1b-3d072d6b726f"/>
    <ds:schemaRef ds:uri="8c0eb733-1c82-4680-97fe-a457997711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BA2BA9D-C9F1-41FF-AD8A-EE80A702E3C6}">
  <ds:schemaRefs>
    <ds:schemaRef ds:uri="http://schemas.microsoft.com/sharepoint/v3/contenttype/forms"/>
  </ds:schemaRefs>
</ds:datastoreItem>
</file>

<file path=customXml/itemProps3.xml><?xml version="1.0" encoding="utf-8"?>
<ds:datastoreItem xmlns:ds="http://schemas.openxmlformats.org/officeDocument/2006/customXml" ds:itemID="{396F32C5-F949-4AEA-BAC4-2E3910CF8A23}">
  <ds:schemaRefs>
    <ds:schemaRef ds:uri="http://schemas.microsoft.com/DataMashup"/>
  </ds:schemaRefs>
</ds:datastoreItem>
</file>

<file path=customXml/itemProps4.xml><?xml version="1.0" encoding="utf-8"?>
<ds:datastoreItem xmlns:ds="http://schemas.openxmlformats.org/officeDocument/2006/customXml" ds:itemID="{7F29451F-9A30-461D-9AED-5296D3FAA64D}">
  <ds:schemaRefs>
    <ds:schemaRef ds:uri="http://schemas.microsoft.com/office/2006/documentManagement/types"/>
    <ds:schemaRef ds:uri="http://www.w3.org/XML/1998/namespace"/>
    <ds:schemaRef ds:uri="http://schemas.microsoft.com/office/2006/metadata/properties"/>
    <ds:schemaRef ds:uri="http://schemas.openxmlformats.org/package/2006/metadata/core-properties"/>
    <ds:schemaRef ds:uri="http://purl.org/dc/terms/"/>
    <ds:schemaRef ds:uri="http://schemas.microsoft.com/office/infopath/2007/PartnerControls"/>
    <ds:schemaRef ds:uri="http://purl.org/dc/elements/1.1/"/>
    <ds:schemaRef ds:uri="8c0eb733-1c82-4680-97fe-a45799771161"/>
    <ds:schemaRef ds:uri="a6e94cc5-be27-4591-ab1b-3d072d6b726f"/>
    <ds:schemaRef ds:uri="http://purl.org/dc/dcmitype/"/>
  </ds:schemaRefs>
</ds:datastoreItem>
</file>

<file path=docMetadata/LabelInfo.xml><?xml version="1.0" encoding="utf-8"?>
<clbl:labelList xmlns:clbl="http://schemas.microsoft.com/office/2020/mipLabelMetadata">
  <clbl:label id="{5ad63538-a7d0-4d63-95ef-ceb71aab01ba}" enabled="1" method="Standard" siteId="{05c525e9-f9e4-4ca2-8c55-e4740272c3bc}"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20</vt:i4>
      </vt:variant>
      <vt:variant>
        <vt:lpstr>Named Ranges</vt:lpstr>
      </vt:variant>
      <vt:variant>
        <vt:i4>20</vt:i4>
      </vt:variant>
    </vt:vector>
  </HeadingPairs>
  <TitlesOfParts>
    <vt:vector size="40" baseType="lpstr">
      <vt:lpstr>Introduction</vt:lpstr>
      <vt:lpstr>Site Details</vt:lpstr>
      <vt:lpstr>Applicant Details</vt:lpstr>
      <vt:lpstr>Objectives</vt:lpstr>
      <vt:lpstr>Biodiversity &amp; Geology</vt:lpstr>
      <vt:lpstr>Landscape</vt:lpstr>
      <vt:lpstr>Water</vt:lpstr>
      <vt:lpstr>Historic Environment</vt:lpstr>
      <vt:lpstr>Silviculture, Soil &amp; Climate</vt:lpstr>
      <vt:lpstr>Access &amp; Local Interests</vt:lpstr>
      <vt:lpstr>Stage 1 Assessment &amp; Summary</vt:lpstr>
      <vt:lpstr>EPS Assessment</vt:lpstr>
      <vt:lpstr>Survey &amp; Analysis</vt:lpstr>
      <vt:lpstr>Design Concept Development</vt:lpstr>
      <vt:lpstr>Stakeholder Engagement</vt:lpstr>
      <vt:lpstr>Final Design Plan</vt:lpstr>
      <vt:lpstr>SpeciesBreakdown</vt:lpstr>
      <vt:lpstr>Tree Procurement Summary </vt:lpstr>
      <vt:lpstr>CCLPs</vt:lpstr>
      <vt:lpstr>Data (hidden)</vt:lpstr>
      <vt:lpstr>Checks</vt:lpstr>
      <vt:lpstr>Local_Authorities</vt:lpstr>
      <vt:lpstr>'Access &amp; Local Interests'!Print_Area</vt:lpstr>
      <vt:lpstr>'Applicant Details'!Print_Area</vt:lpstr>
      <vt:lpstr>'Biodiversity &amp; Geology'!Print_Area</vt:lpstr>
      <vt:lpstr>'Design Concept Development'!Print_Area</vt:lpstr>
      <vt:lpstr>'EPS Assessment'!Print_Area</vt:lpstr>
      <vt:lpstr>'Final Design Plan'!Print_Area</vt:lpstr>
      <vt:lpstr>'Historic Environment'!Print_Area</vt:lpstr>
      <vt:lpstr>Introduction!Print_Area</vt:lpstr>
      <vt:lpstr>Landscape!Print_Area</vt:lpstr>
      <vt:lpstr>Objectives!Print_Area</vt:lpstr>
      <vt:lpstr>'Silviculture, Soil &amp; Climate'!Print_Area</vt:lpstr>
      <vt:lpstr>'Site Details'!Print_Area</vt:lpstr>
      <vt:lpstr>SpeciesBreakdown!Print_Area</vt:lpstr>
      <vt:lpstr>'Stage 1 Assessment &amp; Summary'!Print_Area</vt:lpstr>
      <vt:lpstr>'Stakeholder Engagement'!Print_Area</vt:lpstr>
      <vt:lpstr>'Survey &amp; Analysis'!Print_Area</vt:lpstr>
      <vt:lpstr>'Tree Procurement Summary '!Print_Area</vt:lpstr>
      <vt:lpstr>Water!Print_Area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2023-01-03T11:37:05Z</dcterms:created>
  <dcterms:modified xsi:type="dcterms:W3CDTF">2026-03-24T08:42:09Z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0x010100C5BD369E5F489342BD1DAF2FB9F2398A</vt:lpwstr>
  </property>
  <property fmtid="{D5CDD505-2E9C-101B-9397-08002B2CF9AE}" pid="3" name="MediaServiceImageTags">
    <vt:lpwstr/>
  </property>
  <property fmtid="{D5CDD505-2E9C-101B-9397-08002B2CF9AE}" pid="4" name="Order">
    <vt:r8>15238000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_ColorHex">
    <vt:lpwstr/>
  </property>
  <property fmtid="{D5CDD505-2E9C-101B-9397-08002B2CF9AE}" pid="9" name="_Emoji">
    <vt:lpwstr/>
  </property>
  <property fmtid="{D5CDD505-2E9C-101B-9397-08002B2CF9AE}" pid="10" name="ComplianceAssetId">
    <vt:lpwstr/>
  </property>
  <property fmtid="{D5CDD505-2E9C-101B-9397-08002B2CF9AE}" pid="11" name="TemplateUrl">
    <vt:lpwstr/>
  </property>
  <property fmtid="{D5CDD505-2E9C-101B-9397-08002B2CF9AE}" pid="12" name="_ColorTag">
    <vt:lpwstr/>
  </property>
  <property fmtid="{D5CDD505-2E9C-101B-9397-08002B2CF9AE}" pid="13" name="_ExtendedDescription">
    <vt:lpwstr/>
  </property>
  <property fmtid="{D5CDD505-2E9C-101B-9397-08002B2CF9AE}" pid="14" name="MSIP_Label_5ad63538-a7d0-4d63-95ef-ceb71aab01ba_Enabled">
    <vt:lpwstr>true</vt:lpwstr>
  </property>
  <property fmtid="{D5CDD505-2E9C-101B-9397-08002B2CF9AE}" pid="15" name="MSIP_Label_5ad63538-a7d0-4d63-95ef-ceb71aab01ba_SetDate">
    <vt:lpwstr>2024-06-05T14:03:00Z</vt:lpwstr>
  </property>
  <property fmtid="{D5CDD505-2E9C-101B-9397-08002B2CF9AE}" pid="16" name="MSIP_Label_5ad63538-a7d0-4d63-95ef-ceb71aab01ba_Method">
    <vt:lpwstr>Standard</vt:lpwstr>
  </property>
  <property fmtid="{D5CDD505-2E9C-101B-9397-08002B2CF9AE}" pid="17" name="MSIP_Label_5ad63538-a7d0-4d63-95ef-ceb71aab01ba_Name">
    <vt:lpwstr>Official</vt:lpwstr>
  </property>
  <property fmtid="{D5CDD505-2E9C-101B-9397-08002B2CF9AE}" pid="18" name="MSIP_Label_5ad63538-a7d0-4d63-95ef-ceb71aab01ba_SiteId">
    <vt:lpwstr>05c525e9-f9e4-4ca2-8c55-e4740272c3bc</vt:lpwstr>
  </property>
  <property fmtid="{D5CDD505-2E9C-101B-9397-08002B2CF9AE}" pid="19" name="MSIP_Label_5ad63538-a7d0-4d63-95ef-ceb71aab01ba_ActionId">
    <vt:lpwstr>b0e70e9e-c5da-4d8f-b171-c1fd68459a43</vt:lpwstr>
  </property>
  <property fmtid="{D5CDD505-2E9C-101B-9397-08002B2CF9AE}" pid="20" name="MSIP_Label_5ad63538-a7d0-4d63-95ef-ceb71aab01ba_ContentBits">
    <vt:lpwstr>0</vt:lpwstr>
  </property>
</Properties>
</file>